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tables/table1.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7500" windowHeight="22500"/>
  </bookViews>
  <sheets>
    <sheet name="Sheet1" sheetId="1" r:id="rId1"/>
  </sheets>
  <calcPr calcId="124519" fullCalcOnLoad="1"/>
</workbook>
</file>

<file path=xl/sharedStrings.xml><?xml version="1.0" encoding="utf-8"?>
<sst xmlns="http://schemas.openxmlformats.org/spreadsheetml/2006/main" count="4" uniqueCount="4">
  <si>
    <t>Status</t>
  </si>
  <si>
    <t>Score</t>
  </si>
  <si>
    <t>HUA</t>
  </si>
  <si>
    <t>Sabine</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</si>
</sst>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D7985" totalsRowShown="0">
  <autoFilter ref="A1:D7985"/>
  <tableColumns count="4">
    <tableColumn id="1" name="Status"/>
    <tableColumn id="2" name="Score"/>
    <tableColumn id="3" name="HUA"/>
    <tableColumn id="4" name="Sabin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D7985"/>
  <sheetViews>
    <sheetView tabSelected="1" workbookViewId="0">
      <pane ySplit="1" topLeftCell="A2" activePane="bottomLeft" state="frozen"/>
      <selection pane="bottomLeft"/>
    </sheetView>
  </sheetViews>
  <sheetFormatPr defaultRowHeight="15"/>
  <cols>
    <col min="1" max="1" width="10.7109375" customWidth="1"/>
    <col min="2" max="2" width="10.7109375" customWidth="1"/>
    <col min="3" max="3" width="130.7109375" style="1" customWidth="1"/>
    <col min="4" max="4" width="130.7109375" style="1" customWidth="1"/>
  </cols>
  <sheetData>
    <row r="1" spans="1:4">
      <c r="A1" t="s">
        <v>0</v>
      </c>
      <c r="B1" t="s">
        <v>1</v>
      </c>
      <c r="C1" s="1" t="s">
        <v>2</v>
      </c>
      <c r="D1" s="1" t="s">
        <v>3</v>
      </c>
    </row>
    <row r="2" spans="1:4">
      <c r="B2">
        <v>100</v>
      </c>
      <c r="C2" s="1">
        <f>hyperlink("https://hetutrechtsarchief.nl/collectie/FA3F2DBFD5005E27AE564F86EBBC91E9","en hij was een vermaard ossenweider Dick Slebos 97-99 2001")</f>
        <v>0</v>
      </c>
      <c r="D2" s="1">
        <f>hyperlink("http://dspace.library.uu.nl/handle/1874/300958","en hij was een vermaard ossenweider Dick Slebos 97-99 2001")</f>
        <v>0</v>
      </c>
    </row>
    <row r="3" spans="1:4">
      <c r="B3">
        <v>54</v>
      </c>
      <c r="C3" s="1">
        <f>hyperlink("https://hetutrechtsarchief.nl/collectie/3A078EF0187D5A70A70F1FA01DA8B05B","Inventaris van het archief van het veenraadschap der Gelderse en Stichtse veenen te Veenendaal J de Hullu 605 -669 1901")</f>
        <v>0</v>
      </c>
      <c r="D3" s="1">
        <f>hyperlink("file:///C:/Users/Stass101/AppData/Local/Google/Chrome/Downloads/05-alice_van_schuppen-veenraadschap.pdf","Verenigd in het veen het Veenraadschap van de Stichtse en Gelderse venen als institutie voor collectieve actie 1546-1650 Alice van Schuppen 21-39 2010")</f>
        <v>0</v>
      </c>
    </row>
    <row r="4" spans="1:4">
      <c r="B4">
        <v>61</v>
      </c>
      <c r="C4" s="1">
        <f>hyperlink("https://hetutrechtsarchief.nl/collectie/E286E43A58AC57FE949B8958F18D0B64","De bouwgeschiedenis van Achterstraat 86 te Vianen Martin van Es 4-7 2010")</f>
        <v>0</v>
      </c>
      <c r="D4" s="1">
        <f>hyperlink("file:///C:/Users/Stass101/AppData/Local/Google/Chrome/Downloads/Maliebaan.2011%20(1).pdf","Bouwgeschiedenis van de Maliebaan 1830-1900 T de Vries 2011")</f>
        <v>0</v>
      </c>
    </row>
    <row r="5" spans="1:4">
      <c r="B5">
        <v>56</v>
      </c>
      <c r="C5" s="1">
        <f>hyperlink("https://hetutrechtsarchief.nl/collectie/0A3AE02ADC41531D80B433C8D1E8FD9F","Bankieren met de menselijke maat Rabobank De Bilt en Omstreken 20-21 2003")</f>
        <v>0</v>
      </c>
      <c r="D5" s="1">
        <f>hyperlink("http://100jaarrabobanksamenbereikjemeer.nl/","Samen bereik je meer samen vieren 100 jaar Rabobank Vallei en Rijn 2011")</f>
        <v>0</v>
      </c>
    </row>
    <row r="6" spans="1:4">
      <c r="B6">
        <v>65</v>
      </c>
      <c r="C6" s="1">
        <f>hyperlink("https://hetutrechtsarchief.nl/collectie/A31E6FD4FB1C5BAAACA96B1BC79271E9","De betekenis van de Jaarbeurs voor Utrecht J Milius 12-13 1948")</f>
        <v>0</v>
      </c>
      <c r="D6" s="1">
        <f>hyperlink("http://195.242.171.17/hga/gedruktmateriaal/WebsitePubliek/detail.aspx?nn=3&amp;containerid=-1&amp;jbcid=-1&amp;db_id=3456382&amp;jaarboekjeindex=0","Het beurtveer van s-Gravenhage op Utrecht J M Fuchs 118-133 1940")</f>
        <v>0</v>
      </c>
    </row>
    <row r="7" spans="1:4">
      <c r="B7">
        <v>56</v>
      </c>
      <c r="C7" s="1">
        <f>hyperlink("https://hetutrechtsarchief.nl/collectie/B91377DDF2D45700AEB1889AEE6A6A38","Het begon in Amersfoort R P M Rhoen 3-5 2007")</f>
        <v>0</v>
      </c>
      <c r="D7" s="1">
        <f>hyperlink("http://amersfoorteo.ngv.nl/periodiek11-1.html","Een heraldische zwerftocht door Amersfoort J P C Hoogendijk 77 2002")</f>
        <v>0</v>
      </c>
    </row>
    <row r="8" spans="1:4">
      <c r="B8">
        <v>58</v>
      </c>
      <c r="C8" s="1">
        <f>hyperlink("https://hetutrechtsarchief.nl/collectie/D274571472C3584FBB5EF46C864E9FCA","Amersfoortse geveltekens Cor van den Braber 7 2005")</f>
        <v>0</v>
      </c>
      <c r="D8" s="1">
        <f>hyperlink("http://amersfoorteo.ngv.nl/periodiek14-2.html","Amersfoorters in het voetspoor van Willem Barentsz Anje G Bousema-Valkema 2005")</f>
        <v>0</v>
      </c>
    </row>
    <row r="9" spans="1:4">
      <c r="B9">
        <v>80</v>
      </c>
      <c r="C9" s="1">
        <f>hyperlink("https://hetutrechtsarchief.nl/collectie/8690584F5C295D4981D77CE9A2DCA648","Graven in de oude kerk deel 2 Ton Hartman 23-32 2006")</f>
        <v>0</v>
      </c>
      <c r="D9" s="1">
        <f>hyperlink("http://amersfoorteo.ngv.nl/periodiek16-2.html; http://amersfoorteo.ngv.nl/periodiek16-3.html","Graven in de Oude Kerk van Soest Ton Hartman nr 3 p 2007")</f>
        <v>0</v>
      </c>
    </row>
    <row r="10" spans="1:4">
      <c r="B10">
        <v>52</v>
      </c>
      <c r="C10" s="1">
        <f>hyperlink("https://hetutrechtsarchief.nl/collectie/88745DBFCD48E731E0534701000AB773","Narcissen in bos Voordaan Tonneke Wilmink 4-9 2018")</f>
        <v>0</v>
      </c>
      <c r="D10" s="1">
        <f>hyperlink("http://amersfoorteo.ngv.nl/periodiek16-3.html","Passie voor amateurtoneel Paul Welling 2007")</f>
        <v>0</v>
      </c>
    </row>
    <row r="11" spans="1:4">
      <c r="B11">
        <v>65</v>
      </c>
      <c r="C11" s="1">
        <f>hyperlink("https://hetutrechtsarchief.nl/collectie/6791B3BA4DE153CD956EC55303D8A649","De voorde n van Amersfoort Wim de Gans 6-81 2003")</f>
        <v>0</v>
      </c>
      <c r="D11" s="1">
        <f>hyperlink("http://amersfoorteo.ngv.nl/periodiek17-2.html","Het garnizoen van Amersfoort Wim Zevenboom 2008")</f>
        <v>0</v>
      </c>
    </row>
    <row r="12" spans="1:4">
      <c r="B12">
        <v>55</v>
      </c>
      <c r="C12" s="1">
        <f>hyperlink("https://hetutrechtsarchief.nl/collectie/2BC110D1BC535FCFBB10CC9F70AD8C93","Kwartierstaat van Ad Joh en Cees van Santen Ludmilla van Santen 90-92 2008")</f>
        <v>0</v>
      </c>
      <c r="D12" s="1">
        <f>hyperlink("http://amersfoorteo.ngv.nl/periodiek17-2.html","Inkwartiering van soldaten en stalling van paarden Wim Zevenboom 2008")</f>
        <v>0</v>
      </c>
    </row>
    <row r="13" spans="1:4">
      <c r="B13">
        <v>58</v>
      </c>
      <c r="C13" s="1">
        <f>hyperlink("https://hetutrechtsarchief.nl/collectie/970E60C39FC052089B15427008D2B42B","Ook Amersfoort had een vleeshuis Anton van Nostrum 22-23 2011")</f>
        <v>0</v>
      </c>
      <c r="D13" s="1">
        <f>hyperlink("http://amersfoorteo.ngv.nl/periodiek18-2.html","Het testament van Cornelis Volckensz Anton van Nostrum 2009")</f>
        <v>0</v>
      </c>
    </row>
    <row r="14" spans="1:4">
      <c r="B14">
        <v>60</v>
      </c>
      <c r="C14" s="1">
        <f>hyperlink("https://hetutrechtsarchief.nl/collectie/D274571472C3584FBB5EF46C864E9FCA","Amersfoortse geveltekens Cor van den Braber 7 2005")</f>
        <v>0</v>
      </c>
      <c r="D14" s="1">
        <f>hyperlink("http://amersfoorteo.ngv.nl/periodiek19-1.html","Amersfoortse volmolens Anje G Bousema-Valkema 2010")</f>
        <v>0</v>
      </c>
    </row>
    <row r="15" spans="1:4">
      <c r="B15">
        <v>58</v>
      </c>
      <c r="C15" s="1">
        <f>hyperlink("https://hetutrechtsarchief.nl/collectie/BF75A921703552DF8168C85B392428A5","Wandeling over de Utrechtse kermis in de 17e eeuw H J H Knoester 156-158 1964")</f>
        <v>0</v>
      </c>
      <c r="D15" s="1">
        <f>hyperlink("http://amersfoorteo.ngv.nl/periodiek4-1.html","Het erf en goed Schothorst en zijn bewoners in de 17e eeuw C I Schothorst 14-18 1995")</f>
        <v>0</v>
      </c>
    </row>
    <row r="16" spans="1:4">
      <c r="B16">
        <v>56</v>
      </c>
      <c r="C16" s="1">
        <f>hyperlink("https://hetutrechtsarchief.nl/collectie/6624A8A779965FE691EF4B130F7AD3F4","Nieuw licht op Utrechts donkere eeuwen Ren de Kam 30 2006")</f>
        <v>0</v>
      </c>
      <c r="D16" s="1">
        <f>hyperlink("http://archeologieonline.nl/artikel/stad-van-licht-en-steen","Stad van licht en steen Utrecht koestert merkwaardige fenomenen Ren de Lichtenberg Lou Kam 26-30 2008")</f>
        <v>0</v>
      </c>
    </row>
    <row r="17" spans="2:4">
      <c r="B17">
        <v>55</v>
      </c>
      <c r="C17" s="1">
        <f>hyperlink("https://hetutrechtsarchief.nl/collectie/1815B936A79C56E4A8B528152B927345","Aanleg van het Merwedekanaal in Maarssen Hans van Bemmel 126-129 2008")</f>
        <v>0</v>
      </c>
      <c r="D17" s="1">
        <f>hyperlink("http://archief.zorgvisie.nl/zorgvisie/2008/03/01/nummer-3/Een-halve-stap-voorwaarts.htm","Een halve stap voorwaarts huisartsen verbreden hun aanbod Philip van de Poel 26-29 2008")</f>
        <v>0</v>
      </c>
    </row>
    <row r="18" spans="2:4">
      <c r="B18">
        <v>54</v>
      </c>
      <c r="C18" s="1">
        <f>hyperlink("https://hetutrechtsarchief.nl/collectie/422A6F08B77254B8B74864558D97F6C3","Ethiek geen rem op wetenschap Olaf Stomp 6-9 2003")</f>
        <v>0</v>
      </c>
      <c r="D18" s="1">
        <f>hyperlink("http://archief.zorgvisie.nl/zorgvisiespecial/2008/03/01/nummer-3/Innovaties-3-Dolende-dementerenden-traceren-met-gps.htm","Innovaties 3 Dolende dementerenden traceren met gps Olaf Stomp 29 2008")</f>
        <v>0</v>
      </c>
    </row>
    <row r="19" spans="2:4">
      <c r="B19">
        <v>51</v>
      </c>
      <c r="C19" s="1">
        <f>hyperlink("https://hetutrechtsarchief.nl/collectie/62686634C24C56B8AFF00344A57E9B92","De kerk komt naar je toe Hans van Dolder 5 ill 1996")</f>
        <v>0</v>
      </c>
      <c r="D19" s="1">
        <f>hyperlink("http://archiv.squat.net/nl/kraakgelukt/index.html","Als de kraak gelukt is - 2e herz dr Edo Pepijn 1996")</f>
        <v>0</v>
      </c>
    </row>
    <row r="20" spans="2:4">
      <c r="B20">
        <v>88</v>
      </c>
      <c r="C20" s="1">
        <f>hyperlink("https://hetutrechtsarchief.nl/collectie/716F35F7D7675AA2A72058CA529886FD","Over drie jaar speelt FC Utrecht quitte op de huid van Wilco van Schaik tekst Mart Rienstra fotografie FCUPHOTO 12-13 2013")</f>
        <v>0</v>
      </c>
      <c r="D20" s="1">
        <f>hyperlink("http://blocks.mvmm.nl/images/pdf/1838.pdf","Over drie jaar speelt FC Utrecht quitte op de huid van Wilco van Schaik Mart Rienstra 12-13 2013")</f>
        <v>0</v>
      </c>
    </row>
    <row r="21" spans="2:4">
      <c r="B21">
        <v>82</v>
      </c>
      <c r="C21" s="1">
        <f>hyperlink("https://hetutrechtsarchief.nl/collectie/3C5DB5777A495006A17410C3F3F4592A","Ik kook zoals mijn hart dat wil Luce tekst Jason van de Veltmaete fotogr Hans Kokx 56-57 2013")</f>
        <v>0</v>
      </c>
      <c r="D21" s="1">
        <f>hyperlink("http://blocks.mvmm.nl/images/pdf/1850.pdf","Ik kook zoals mijn hart dat wil Luce Jason van de Veltmaete 2013")</f>
        <v>0</v>
      </c>
    </row>
    <row r="22" spans="2:4">
      <c r="B22">
        <v>58</v>
      </c>
      <c r="C22" s="1">
        <f>hyperlink("https://hetutrechtsarchief.nl/collectie/E1E1D201A48B53D88D58D82A5EF20B14","Het Utrecht van Anthony Grolman Tolien Wilmer 12-15 2008")</f>
        <v>0</v>
      </c>
      <c r="D22" s="1">
        <f>hyperlink("http://boek425.library.uu.nl/pdflink/01_bijz_ond.pdf","Het Utrechtse draakje Gisela Gerritsen-Geywitz 18-25 2009")</f>
        <v>0</v>
      </c>
    </row>
    <row r="23" spans="2:4">
      <c r="B23">
        <v>60</v>
      </c>
      <c r="C23" s="1">
        <f>hyperlink("https://hetutrechtsarchief.nl/collectie/D8A613939FA55D48B6353A3FC07FBC4D","Sprengen aan de rand van de Utrechtse Heuvelrug Adriaan Haartsen 4-12 2015")</f>
        <v>0</v>
      </c>
      <c r="D23" s="1">
        <f>hyperlink("http://boek425.library.uu.nl/pdflink/02_bijz_ond.pdf","Op zoek naar de betekenis van de Utrechtse penwerkdraakjes Wim Gerritsen 26-31 2009")</f>
        <v>0</v>
      </c>
    </row>
    <row r="24" spans="2:4">
      <c r="B24">
        <v>62</v>
      </c>
      <c r="C24" s="1">
        <f>hyperlink("https://hetutrechtsarchief.nl/collectie/6E69FC69BDE256BCA7BC0285B340A4DC","Van onbesproken gedrag herders leraren en onderwijzers in De Bilt Maartensdijk en Westbroek in de zeventiende en achttiende eeuw Anne Doedens 34-43 2004")</f>
        <v>0</v>
      </c>
      <c r="D24" s="1">
        <f>hyperlink("http://boek425.library.uu.nl/pdflink/07_bijz_ond.pdf","Over omlopers liedjeszangers en marskramers drukwerk in de straten van Utrecht in de zeventiende en achttiende eeuw Jeroen Salman 62-65 2009")</f>
        <v>0</v>
      </c>
    </row>
    <row r="25" spans="2:4">
      <c r="B25">
        <v>52</v>
      </c>
      <c r="C25" s="1">
        <f>hyperlink("https://hetutrechtsarchief.nl/collectie/A6C3D9D6DC365CCFA7CD688C8273A861","Belevenissen van een Gennepse evacu 1944-1945 dagboek van Hendrik Thijssen - deel 1 Hendrik Thijssen en Mieke Heurneman 29-37 2016")</f>
        <v>0</v>
      </c>
      <c r="D25" s="1">
        <f>hyperlink("http://boek425.library.uu.nl/pdflink/09_bijz_ond.pdf","Revolutieverslag op receptenpapiertjes het dagverhaal van Hendrik Keetell 1793-1816 Hendrik Bruin Renger de Keetell 72-76 2009")</f>
        <v>0</v>
      </c>
    </row>
    <row r="26" spans="2:4">
      <c r="B26">
        <v>59</v>
      </c>
      <c r="C26" s="1">
        <f>hyperlink("https://hetutrechtsarchief.nl/collectie/CC180A28EB8BCA1CE0538F04000A281B","De Kuyperkaartjes van De Ronde Venen Kees Floor 124-128 2021")</f>
        <v>0</v>
      </c>
      <c r="D26" s="1">
        <f>hyperlink("http://boek425.library.uu.nl/pdflink/25_bijz_ond.pdf","De kaart van de Slaperdijk bij Veenendaal Hans Renes 182-187 2009")</f>
        <v>0</v>
      </c>
    </row>
    <row r="27" spans="2:4">
      <c r="B27">
        <v>98</v>
      </c>
      <c r="C27" s="1">
        <f>hyperlink("https://hetutrechtsarchief.nl/collectie/79BD1520A8FB5313970D1695E18B63A5","De tuin van kasteel Heemstede bij Houten Otto Wttewaall 73-87 1999")</f>
        <v>0</v>
      </c>
      <c r="D27" s="1">
        <f>hyperlink("http://books.google.com/books?id=A3sExFazvXkC&amp;pg=PA73&amp;dq=De+tuin+van+kasteel+Heemstede+bij+Houten&amp;hl=nl","De tuin van kasteel Heemstede bij Houten Otto Wttewaall 73-98 1999")</f>
        <v>0</v>
      </c>
    </row>
    <row r="28" spans="2:4">
      <c r="B28">
        <v>56</v>
      </c>
      <c r="C28" s="1">
        <f>hyperlink("https://hetutrechtsarchief.nl/collectie/647DCA048F6B5196ABC35C87BACD42B9","Bijdragen tot de geschiedenis van de gemeenten der hervormden in de provincie Utrecht 1619 P J Vermeulen 209-272 1852")</f>
        <v>0</v>
      </c>
      <c r="D28" s="1">
        <f>hyperlink("http://books.google.com/books?id=mPRAAAAAYAAJ&amp;printsec=frontcover&amp;dq=utrecht&amp;hl=nl&amp;ei=OZMNTvT6AsiAOr-n0bEL&amp;sa=X&amp;oi=book_result&amp;ct=result&amp;resnum=2&amp;ved=0CDwQ6AEwAQ#v=onepage&amp;q&amp;f=false","De stad Utrecht en hare geschiedenis voorafgegaan door eene algemeene geschied- en aardrijkskundige beschouwing over de provincie Utrecht F Allan 1856")</f>
        <v>0</v>
      </c>
    </row>
    <row r="29" spans="2:4">
      <c r="B29">
        <v>55</v>
      </c>
      <c r="C29" s="1">
        <f>hyperlink("https://hetutrechtsarchief.nl/collectie/820AF32B00DE58F5A29BF8B778591D65","Studeren en promoveren in Utrecht onder red van H C Teitler en P van Hees 1-60 ill 1996")</f>
        <v>0</v>
      </c>
      <c r="D29" s="1">
        <f>hyperlink("http://books.google.com/books/p/uitgeverij_verloren?id=3YEIXfdNiN8C&amp;pg=PT1&amp;dq=Utrecht+tussen+kerk+en+staat&amp;hl=nl#PPP1,M1","Utrecht tussen kerk en staat onder red van R E V Stuip en C Vellekoop C Stuip R E V Vellekoop 1991")</f>
        <v>0</v>
      </c>
    </row>
    <row r="30" spans="2:4">
      <c r="B30">
        <v>56</v>
      </c>
      <c r="C30" s="1">
        <f>hyperlink("https://hetutrechtsarchief.nl/collectie/3D3976528E4258B88755E610F6457C8C","Pieter Langendijk 1683-1756 in Loenen Wim van Schaik 3-7 2011")</f>
        <v>0</v>
      </c>
      <c r="D30" s="1">
        <f>hyperlink("http://books.google.com/books/p/uitgeverij_verloren?id=AfdMoykMfUkC&amp;pg=PA180&amp;dq=Pieter+Langendijk&amp;hl=nl#PPP1,M1","Pieter Langendijk Kees Smit 2000")</f>
        <v>0</v>
      </c>
    </row>
    <row r="31" spans="2:4">
      <c r="B31">
        <v>60</v>
      </c>
      <c r="C31" s="1">
        <f>hyperlink("https://hetutrechtsarchief.nl/collectie/2F3F5BACFB9B5C1BAD890F5787CD5892","Vermoeden van fraude in achttiende-eeuws Montfoort Kees Vossestein 152-160 1999")</f>
        <v>0</v>
      </c>
      <c r="D31" s="1">
        <f>hyperlink("http://books.google.com/books/p/uitgeverij_verloren?id=aWFMV3Y13WEC&amp;pg=PA1&amp;dq=Verwisselde+loterijbriefjes&amp;hl=nl#PPA1,M1","Verwisselde loterijbriefjes Montfoort 1783-1803 Kees Vossestein 1999")</f>
        <v>0</v>
      </c>
    </row>
    <row r="32" spans="2:4">
      <c r="B32">
        <v>55</v>
      </c>
      <c r="C32" s="1">
        <f>hyperlink("https://hetutrechtsarchief.nl/collectie/DC901392FE7651A8926C1C9478CFF894","Advies van het Kapittel van St Marie te Utrecht op een rekwest van de Regeering van IJsselstein om zekere belasting te mogen heffen 141-146 1875")</f>
        <v>0</v>
      </c>
      <c r="D32" s="1">
        <f>hyperlink("http://books.google.com/books/p/uitgeverij_verloren?id=CtvI3AP6fRkC&amp;pg=PA17&amp;dq=Het+kapittel+van+Sint+Jan+te+Utrecht&amp;hl=nl#PPA3,M1","Het kapittel van Sint Jan te Utrecht een onderzoek naar verwerving beheer en administratie van het oudste goederenbezit elfde-veertiende eeuw E N Palmboom 1995")</f>
        <v>0</v>
      </c>
    </row>
    <row r="33" spans="2:4">
      <c r="B33">
        <v>55</v>
      </c>
      <c r="C33" s="1">
        <f>hyperlink("https://hetutrechtsarchief.nl/collectie/B0C65ACB928C5A049CFB4B7973F4A633","De vele gedaanten van de oude Amersfoortse Eemhaven Johan Teters 14-19 2008")</f>
        <v>0</v>
      </c>
      <c r="D33" s="1">
        <f>hyperlink("http://books.google.nl/books?hl=en&amp;id=Pj9PztzL4LYC&amp;dq=%22bedevaart+en+kerkeraad%22&amp;printsec=frontcover&amp;source=web&amp;ots=lSxe66d4vv&amp;sig=d9wSpyVaqrSrNdAZFaus-2sPAEs&amp;sa=X&amp;oi=book_result&amp;resnum=1&amp;ct=result#PPA3,M1","Bedevaart en kerkeraad de Amersfoortse vrouwevaart van 1444 tot 1720 Ottie Thiers 1994")</f>
        <v>0</v>
      </c>
    </row>
    <row r="34" spans="2:4">
      <c r="B34">
        <v>51</v>
      </c>
      <c r="C34" s="1">
        <f>hyperlink("https://hetutrechtsarchief.nl/collectie/AD0906BEDDB45F3CBB4C6DA0E7398F80","De Utrechtse school de geschiedenis van de Utrechtse psychologie tussen 1945 en 1965 Frederieke Schenk Speciaal nr 1982")</f>
        <v>0</v>
      </c>
      <c r="D34" s="1">
        <f>hyperlink("http://books.google.nl/books?id=_3lJAAAAcAAJ&amp;printsec=frontcover&amp;dq=Bericht+des+kerckenraats&amp;hl=nl&amp;sa=X&amp;ei=mpuPUJLAF6O10QWt7oCQBQ&amp;ved=0CDAQ6AEwAA","Bericht des kerckenraats van Utrecht over seeckere Apologie tegen de remonstrantie des kerckenraadts in-gegeven 1669")</f>
        <v>0</v>
      </c>
    </row>
    <row r="35" spans="2:4">
      <c r="B35">
        <v>52</v>
      </c>
      <c r="C35" s="1">
        <f>hyperlink("https://hetutrechtsarchief.nl/collectie/A9FF8E6FCB679DD8E0534701000A26DC","Het raam in de trouwzaal oftewel De Bilt tast in de buidel Joke van der Wiel en Abe Postems 71-79 2020")</f>
        <v>0</v>
      </c>
      <c r="D35" s="1">
        <f>hyperlink("http://books.google.nl/books?id=1MamlMJblwkC&amp;pg=PA171&amp;dq=dorestad&amp;as_brr=3&amp;sig=ACfU3U34G0Lwlwz6fA1oU46MxPLT6ZllFg#","Terug naar Dorestad op zoek naar vroege stedelijke stelsels in de noordelijke delta Ed Taverne 171-186 2005")</f>
        <v>0</v>
      </c>
    </row>
    <row r="36" spans="2:4">
      <c r="B36">
        <v>51</v>
      </c>
      <c r="C36" s="1">
        <f>hyperlink("https://hetutrechtsarchief.nl/collectie/674021DC35235F84BD47CE7E06504416","Afbeeldingen van gezichten te of bij Utrecht 1-36 1999")</f>
        <v>0</v>
      </c>
      <c r="D36" s="1">
        <f>hyperlink("http://books.google.nl/books?id=30ZQAAAAcAAJ&amp;pg=PT9&amp;hl=nl&amp;source=gbs_selected_pages&amp;cad=2#v=onepage&amp;q&amp;f=false","Afbeeldingen van gezichten te of bij Utrecht Collection de vues de la ville d Utrecht et de ses environs Cornelis van Hardenbergh 1830")</f>
        <v>0</v>
      </c>
    </row>
    <row r="37" spans="2:4">
      <c r="B37">
        <v>63</v>
      </c>
      <c r="C37" s="1">
        <f>hyperlink("https://hetutrechtsarchief.nl/collectie/BB89626851FF56FEE0538F04000A1596","De ommuurde stad Ren de Kam 254-267 2020")</f>
        <v>0</v>
      </c>
      <c r="D37" s="1">
        <f>hyperlink("http://books.google.nl/books?id=6VShM6kAU_4C&amp;pg=PA253&amp;dq=dorestad+777&amp;as_brr=3&amp;sig=ACfU3U1TkEpCpPIKHqumJoAl0KLvY8VB-Q#v=onepage&amp;q=dorestad%20777&amp;f=false","Zum Namen Dorestad Arend Quak 252-260 2004")</f>
        <v>0</v>
      </c>
    </row>
    <row r="38" spans="2:4">
      <c r="B38">
        <v>50</v>
      </c>
      <c r="C38" s="1">
        <f>hyperlink("https://hetutrechtsarchief.nl/collectie/92FC465CBA4F56699790B2FFECE13347","De lijfrenteregisters en kameraarsrekeningen der stad Utrecht in verband met de genealogie van het geslacht Van Helsdingen L J van Beuningen van Helsdingen 414-444 1910")</f>
        <v>0</v>
      </c>
      <c r="D38" s="1">
        <f>hyperlink("http://books.google.nl/books?id=A3pJAAAAcAAJ&amp;printsec=frontcover&amp;dq=Tweede+bericht&amp;hl=nl&amp;sa=X&amp;ei=2ZSPUK2FCoOc0QXR-YCYCA&amp;ved=0CC4Q6AEwAA","Tweede bericht des kerkenraads van Utrecht aen de edele achtb vroedtschap tegen de tweede apologie van de heer L van Velthuysen wegens sijn Tractaat van afgodery en superstitie 1669")</f>
        <v>0</v>
      </c>
    </row>
    <row r="39" spans="2:4">
      <c r="B39">
        <v>50</v>
      </c>
      <c r="C39" s="1">
        <f>hyperlink("https://hetutrechtsarchief.nl/collectie/C13E397AB1825A7F8C87D649AE8C5310","Rekening van den Utrechtschen schutmeester Jan Hermansz houdende de door de stad Utrecht gemaakte onkosten gedurende den IJselsteinschen oorlog 1511 medeged door A M C van Asch van Wijck 379-398 1853")</f>
        <v>0</v>
      </c>
      <c r="D39" s="1">
        <f>hyperlink("http://books.google.nl/books?id=AWxJAAAAcAAJ&amp;printsec=frontcover&amp;dq=beantwoordinge&amp;hl=nl&amp;sa=X&amp;ei=95KPUOyZNPCA0AX58IDQCw&amp;ved=0CDMQ6AEwAQ","Beantwoordinge van den Staten van Hollandt ghesonden aen den schoudt burghermeesteren schepenen ende raden der stadt Utrecht Op zeeckere missive op heurluyder naem ghemaeckt ende aenden Staten voornoemt ghesonden Staten van Holland 1587")</f>
        <v>0</v>
      </c>
    </row>
    <row r="40" spans="2:4">
      <c r="B40">
        <v>51</v>
      </c>
      <c r="C40" s="1">
        <f>hyperlink("https://hetutrechtsarchief.nl/collectie/AD4BD9FDFB237D55E0534701000ACC3F","De geschiedenis van het uitgaan in Soest en Soesterberg Peter Beijer 32-34 2020")</f>
        <v>0</v>
      </c>
      <c r="D40" s="1">
        <f>hyperlink("http://books.google.nl/books?id=bGZ1kP3O8BYC&amp;pg=PP1&amp;dq=%22Geschiedenis+als+ambacht%22&amp;as_brr=1&amp;hl=en","Geschiedenis als ambacht oudheidkunde in de Gouden Eeuw Arnoldus Buchelius en Petrus Scriverius Sandra Langereis 2001")</f>
        <v>0</v>
      </c>
    </row>
    <row r="41" spans="2:4">
      <c r="B41">
        <v>52</v>
      </c>
      <c r="C41" s="1">
        <f>hyperlink("https://hetutrechtsarchief.nl/collectie/6D6F77984EB85A07A1E2590824249B05","De geschiedenis van de Rhenense Radiocentrale Jaap Schouten met medew van Ad J de Jong 12-31 2006")</f>
        <v>0</v>
      </c>
      <c r="D41" s="1">
        <f>hyperlink("http://books.google.nl/books?id=C6Iy5ysZYEAC&amp;printsec=frontcover&amp;dq=Dopers+in+de+Domstad&amp;as_brr=1&amp;hl=en","Dopers in de Domstad geschiedenis van de Doopsgezinde Gemeente Utrecht 1639-1939 door A M L Hajenius met medew van R Hofman R Hajenius A M L Hofman 2003")</f>
        <v>0</v>
      </c>
    </row>
    <row r="42" spans="2:4">
      <c r="B42">
        <v>54</v>
      </c>
      <c r="C42" s="1">
        <f>hyperlink("https://hetutrechtsarchief.nl/collectie/10FBDD81DC005597844C386E64AE27A6","L Enrag de Traiteridski of de Poolse Emmer Willem Emmery de Perponcher Sedlnitzky van Wolphaartsdijk Utrechts schrijver en dichter 1741-1819 Renger E de Bruin 1-4 2012")</f>
        <v>0</v>
      </c>
      <c r="D42" s="1">
        <f>hyperlink("http://books.google.nl/books?id=CHqgt3At2VAC&amp;printsec=frontcover&amp;dq=Ma+patrie+est+au+ciel+leven+en+werk&amp;as_brr=1&amp;hl=en#PPA4,M1","Ma patrie est au ciel leven en werk van Willem Emmery de Perponcher Sedlnitzky 1741-1819 Francis Bulhof 1993")</f>
        <v>0</v>
      </c>
    </row>
    <row r="43" spans="2:4">
      <c r="B43">
        <v>55</v>
      </c>
      <c r="C43" s="1">
        <f>hyperlink("https://hetutrechtsarchief.nl/collectie/46C99F29700353F59D9C1E29B349D128","De Vrede van Utrecht 11 april 1713 W A F Bannier 103-137 ill 1934")</f>
        <v>0</v>
      </c>
      <c r="D43" s="1">
        <f>hyperlink("http://books.google.nl/books?id=CjdNAAAAcAAJ&amp;printsec=frontcover&amp;hl=nl&amp;source=gbs_ge_summary_r&amp;cad=0#v=onepage&amp;q&amp;f=false","Zeege der vrede behaald in Utrecht den 11den van Grasmaand in t 1713de jaar Adriaan Spinniker 1713")</f>
        <v>0</v>
      </c>
    </row>
    <row r="44" spans="2:4">
      <c r="B44">
        <v>73</v>
      </c>
      <c r="C44" s="1">
        <f>hyperlink("https://hetutrechtsarchief.nl/collectie/1D0D4C5C0EDC523BA4421A85A87ECC4F","De buitenplaats VreedenHoff aan de Vecht Wiesje Dijkxhoorn 60-61 2008")</f>
        <v>0</v>
      </c>
      <c r="D44" s="1">
        <f>hyperlink("http://books.google.nl/books?id=DgmcYdYXjToC&amp;printsec=frontcover&amp;dq=De+buitenplaats+VreedenHoff+aan+de+Vecht&amp;as_brr=1&amp;hl=en","De buitenplaats VreedenHoff aan de Vecht A J A M Lisman 1999")</f>
        <v>0</v>
      </c>
    </row>
    <row r="45" spans="2:4">
      <c r="B45">
        <v>93</v>
      </c>
      <c r="C45" s="1">
        <f>hyperlink("https://hetutrechtsarchief.nl/collectie/DFD110B758BA5E1C87B021F2DA0A1814","Deductie ge xhibeert bij de heere borgemeester Moreelse in het collegie van de vroedtschap der stadt Utrecht den XXIIJe Januarij 1664 raeckende de verbeteringe ende het nodigh uytleggen der selver stadt 373 -396 1840")</f>
        <v>0</v>
      </c>
      <c r="D45" s="1">
        <f>hyperlink("http://books.google.nl/books?id=dGxNAAAAcAAJ&amp;printsec=frontcover&amp;dq=borgermeester+Moreelse&amp;hl=nl&amp;sa=X&amp;ei=94qPUP_mMOva0QWTsoCQCA&amp;ved=0CDAQ6AEwAA","Copye van de deductie ge xhibeert by de heere borgermeester Moreelse in het collegie van de vroedtschap der stadt Utrecht den xxiijen Januarij 1664 Raeckende de verbeteringe ende het nodigh uyt-leggen der selver stadt 1664")</f>
        <v>0</v>
      </c>
    </row>
    <row r="46" spans="2:4">
      <c r="B46">
        <v>52</v>
      </c>
      <c r="C46" s="1">
        <f>hyperlink("https://hetutrechtsarchief.nl/collectie/0D5ED6DC82285E84858C4BDE404C2591","Geschiedenis der vicari n in de provincie Utrecht en der geestelijke en gebeneficieerde goederen in het algemeen na de Reformatie medeged door H Verloren van Themaat 98 -664 1881")</f>
        <v>0</v>
      </c>
      <c r="D46" s="1">
        <f>hyperlink("http://books.google.nl/books?id=E4tJAAAAcAAJ&amp;printsec=frontcover&amp;dq=%22%22Verdediging+van+de+proceduren%22%22&amp;hl=nl&amp;sa=X&amp;ei=-4iPUP76MPOa1AXnm4C4CQ&amp;ved=0CDMQ6AEwAA","Verdediging van de proceduren van de acht magist en de synode van de provintie Utrecht gehouden den 4 5 6 7 September deses jaers 1667 dienende tot tegen-bericht t samen op de remonstrantie en kort bericht vande kercken-raedt van Utrecht 1667")</f>
        <v>0</v>
      </c>
    </row>
    <row r="47" spans="2:4">
      <c r="B47">
        <v>59</v>
      </c>
      <c r="C47" s="1">
        <f>hyperlink("https://hetutrechtsarchief.nl/collectie/F51B4777626755E1896835A78BB4804C","Over het bezit in Baarn van het stift te Elten Jos G M Hilhorst 51- 65 2007")</f>
        <v>0</v>
      </c>
      <c r="D47" s="1">
        <f>hyperlink("http://books.google.nl/books?id=FnhsRyaQwV0C&amp;printsec=frontcover&amp;dq=Soest,+Hees+en+De+Birkt&amp;as_brr=1&amp;hl=en","Soest Hees en De Birkt van de achtste tot de zeventiende eeuw Jos G M Hilhorst Jan H M Hilhorst 2001")</f>
        <v>0</v>
      </c>
    </row>
    <row r="48" spans="2:4">
      <c r="B48">
        <v>55</v>
      </c>
      <c r="C48" s="1">
        <f>hyperlink("https://hetutrechtsarchief.nl/collectie/77270278F647E433E0534701000AB084","Het reliek van Franciscus Xaverius Henri Defoer 20-21 2018")</f>
        <v>0</v>
      </c>
      <c r="D48" s="1">
        <f>hyperlink("http://books.google.nl/books?id=I3uY5_zDiO0C&amp;pg=PA205&amp;dq=de+derde+orde+voorstudie+koen+goudriaan&amp;lr=lang_nl&amp;as_brr=1&amp;hl=en","De derde orde van Sint Franciscus in het bisdom Utrecht een voorstudie Koen Goudriaan 205 -260 1998")</f>
        <v>0</v>
      </c>
    </row>
    <row r="49" spans="2:4">
      <c r="B49">
        <v>50</v>
      </c>
      <c r="C49" s="1">
        <f>hyperlink("https://hetutrechtsarchief.nl/collectie/4D96BE2DC2815607A8DD9EA31E0CA91E","Een toren van achteren en van voren over de Domtoren en Aart Mekkings Spel met toren en kapel A J van den Hoven van Genderen 150-171 ill 1992")</f>
        <v>0</v>
      </c>
      <c r="D49" s="1">
        <f>hyperlink("http://books.google.nl/books?id=KDJNAAAAcAAJ&amp;printsec=frontcover&amp;dq=Namen,+woonplaatsen,+en+livreyen&amp;hl=nl&amp;sa=X&amp;ei=Z8FKUeqZAomp0AW9nYDoDg&amp;ved=0CDQQ6AEwAA","Namen woonplaatsen en livreyen van Haare Excellentien de Heeren Plenipotentiarissen Welke haar laten vinden op het Congres Van een Generale Vrede t Utrecht 1712")</f>
        <v>0</v>
      </c>
    </row>
    <row r="50" spans="2:4">
      <c r="B50">
        <v>56</v>
      </c>
      <c r="C50" s="1">
        <f>hyperlink("https://hetutrechtsarchief.nl/collectie/0991568C80655618AE02FF2DD3EB1E6F","Joris Vercammen de nieuwe aartsbisschop van Utrecht van de Oud-Katholieke Kerk geloven doe je samen Otto Grevink 3 2000")</f>
        <v>0</v>
      </c>
      <c r="D50" s="1">
        <f>hyperlink("http://books.google.nl/books?id=kKY-LHG8t1UC&amp;pg=PA166&amp;lpg=PA166&amp;dq=%22Oude+en+nieuwe+bisschoppen%22+:+de+'oud-katholieken'+en+'1853'&amp;source=bl&amp;ots=HEJtoXMNN6&amp;sig=6E5fqyUtUkklWqG-QeODJOp8XVU&amp;hl=en&amp;ei=F5dpSquFKoXe-Qad-Y2MCw&amp;sa=X&amp;oi=book_result&amp;ct=result&amp;res","Oude en nieuwe bisschoppen de oud-katholieken en 1853 Dick Schoon 166 -187 2002")</f>
        <v>0</v>
      </c>
    </row>
    <row r="51" spans="2:4">
      <c r="B51">
        <v>52</v>
      </c>
      <c r="C51" s="1">
        <f>hyperlink("https://hetutrechtsarchief.nl/collectie/72D3CE1A1D1E8275E0534701000ACEA1","Paviljoen Loosdrechtse Rade 1939-1945 Claudette Baar 105-109 2018")</f>
        <v>0</v>
      </c>
      <c r="D51" s="1">
        <f>hyperlink("http://books.google.nl/books?id=l7HRWx4vM8wC&amp;printsec=frontcover&amp;dq=De+jeugdalijah&amp;lr=lang_nl&amp;as_brr=1&amp;hl=en","De jeugdalijah van het Paviljoen Loosdrechtsche Rade 1939-1945 samengest door Mirjam Pinkhof - 2de gew dr Mirjam Pinkhof 1998")</f>
        <v>0</v>
      </c>
    </row>
    <row r="52" spans="2:4">
      <c r="B52">
        <v>55</v>
      </c>
      <c r="C52" s="1">
        <f>hyperlink("https://hetutrechtsarchief.nl/collectie/711AE8DF1569768FE0534701000A7C50","Bakkerij Verkerk ruim 400 jaar verbonden met de geschiedenis van De Meern Marjo van der Woerd 22-25 2018")</f>
        <v>0</v>
      </c>
      <c r="D52" s="1">
        <f>hyperlink("http://books.google.nl/books?id=lD2s_RFrJeAC&amp;printsec=frontcover&amp;dq=Wijk+bij+Duurstede+700+jaar+stad&amp;as_brr=1&amp;hl=en","Wijk bij Duurstede 700 jaar stad ruimtelijke structuur en bouwgeschiedenis G W J van Eerden-Vonk M A van der Hauer J Omme 2000")</f>
        <v>0</v>
      </c>
    </row>
    <row r="53" spans="2:4">
      <c r="B53">
        <v>51</v>
      </c>
      <c r="C53" s="1">
        <f>hyperlink("https://hetutrechtsarchief.nl/collectie/AC81EA2667C8551C81AD0A6D042D3DD4","Het huis van de paus Paushuize gerestaureerd Steven Braat en Marceline Dolfin 22-23 2012")</f>
        <v>0</v>
      </c>
      <c r="D53" s="1">
        <f>hyperlink("http://books.google.nl/books?id=lk3KtYnuMSYC&amp;printsec=frontcover&amp;dq=het+weeshuis+van+woerden&amp;lr=lang_nl&amp;as_brr=1&amp;hl=en","Het weeshuis van Woerden 400 jaar Stadsweeshuis en Gereformeerd Wees- en Oudeliedenhuis te Woerden 1595-1995 G N M Vis 1996")</f>
        <v>0</v>
      </c>
    </row>
    <row r="54" spans="2:4">
      <c r="B54">
        <v>83</v>
      </c>
      <c r="C54" s="1">
        <f>hyperlink("https://hetutrechtsarchief.nl/collectie/A31EBD5E1B875D17BDE7E5A469B5A032","De Stichtse ministerialiteit en de ontginning in de Vechtstreek A L P Buitelaar 110-118 krt 1991")</f>
        <v>0</v>
      </c>
      <c r="D54" s="1">
        <f>hyperlink("http://books.google.nl/books?id=MV74PPAXm9sC&amp;printsec=frontcover&amp;dq=De+Stichtse+ministerialiteit&amp;hl=en","De Stichtse ministerialiteit en de ontginningen in de Utrechtse Vechtstreek Arie Leo Peter Buitelaar 1993")</f>
        <v>0</v>
      </c>
    </row>
    <row r="55" spans="2:4">
      <c r="B55">
        <v>51</v>
      </c>
      <c r="C55" s="1">
        <f>hyperlink("https://hetutrechtsarchief.nl/collectie/4377E99359F55800993681C942C58A05","Recre ren tussen Utrecht Muiden A J A M Lisman 63-69 ill 1986")</f>
        <v>0</v>
      </c>
      <c r="D55" s="1">
        <f>hyperlink("http://books.google.nl/books?id=PSWgVDG07jUC&amp;printsec=frontcover&amp;dq=De+lustrumfeesten+te+Utrecht+in+1906&amp;as_brr=1&amp;hl=en#PPP1,M1","De lustrumfeesten te Utrecht in 1906 samengest door J M Jekel en A J A M Lisman A J A M Jekel J M Lisman 2006")</f>
        <v>0</v>
      </c>
    </row>
    <row r="56" spans="2:4">
      <c r="B56">
        <v>50</v>
      </c>
      <c r="C56" s="1">
        <f>hyperlink("https://hetutrechtsarchief.nl/collectie/30215B541A0851FB9C8AE9028ADA582A","Requeste van die van de Kerkeraad der Nederd Gereform Gemeente binnen Utrecht aan de Vroedschap der stad Utrecht tegen de comedie 259 -261 1840")</f>
        <v>0</v>
      </c>
      <c r="D56" s="1">
        <f>hyperlink("http://books.google.nl/books?id=TP1PAAAAcAAJ&amp;printsec=frontcover&amp;dq=Project+om&amp;hl=nl&amp;sa=X&amp;ei=a5SPUMgoqtLRBaaAgbgD&amp;ved=0CDEQ6AEwAA","Project om vyftich duysent man en meer in wapenen te brengen ende te onderhouden sonder eenige lasten vande Generaliteyt Opgestelt door den heer Nicolaas van Solingen raedt in de vroedtschap der stadt Utrecht Nicolaas van Solingen 1671")</f>
        <v>0</v>
      </c>
    </row>
    <row r="57" spans="2:4">
      <c r="B57">
        <v>57</v>
      </c>
      <c r="C57" s="1">
        <f>hyperlink("https://hetutrechtsarchief.nl/collectie/23A4E3E91CD15B6C82D02BC61562C623","Thuis in het verleden historische interieurs in de provincie Utrecht Esther Tob en Steven Coenen 4-7 2001")</f>
        <v>0</v>
      </c>
      <c r="D57" s="1">
        <f>hyperlink("http://books.google.nl/books?id=Ug9WAAAAcAAJ&amp;pg=PA001","Het reglement op het onderhoud en gebruik der wegen in de provincie Utrecht met geschied- en regtskundige aanteekeningen J Ro ll 1872")</f>
        <v>0</v>
      </c>
    </row>
    <row r="58" spans="2:4">
      <c r="B58">
        <v>59</v>
      </c>
      <c r="C58" s="1">
        <f>hyperlink("https://hetutrechtsarchief.nl/collectie/D98A96FA596956B78D9A49D63C1C3781","Ansfried bisschop van Utrecht een man van de ijzeren eeuw W Moll 26-53 1859")</f>
        <v>0</v>
      </c>
      <c r="D58" s="1">
        <f>hyperlink("http://books.google.nl/books?id=W-iqbePMlJkC&amp;printsec=frontcover&amp;dq=Everwach&amp;as_brr=1&amp;hl=en#PPA5,M1","Everwach de rentmeester van de bisschop van Utrecht een verhaal uit het begin van de dertiende eeuw J L van der Gouw 1994")</f>
        <v>0</v>
      </c>
    </row>
    <row r="59" spans="2:4">
      <c r="B59">
        <v>62</v>
      </c>
      <c r="C59" s="1">
        <f>hyperlink("https://hetutrechtsarchief.nl/collectie/FAF60F7FD30152398A6F7D893B3DD06D","De boodschap en de ridderorde van St Hubert in het voormalig bisdom van Utrecht eene bijdrage tot de geschiedenis van den aflaathandel en de heiligen-vereering W Moll 153 -257 1870")</f>
        <v>0</v>
      </c>
      <c r="D59" s="1">
        <f>hyperlink("http://books.google.nl/books?id=WdV_lwbLlboC&amp;printsec=frontcover&amp;dq=de+derde+orde&amp;lr=lang_nl&amp;as_brr=1&amp;hl=en","De derde orde van Sint-Franciscus in het middeleeuwse bisdom Utrecht een bijdrage tot de institutionele geschiedenis van de Moderne Devotie Hildo van Engen 2006")</f>
        <v>0</v>
      </c>
    </row>
    <row r="60" spans="2:4">
      <c r="B60">
        <v>56</v>
      </c>
      <c r="C60" s="1">
        <f>hyperlink("https://hetutrechtsarchief.nl/collectie/6F787402C5BB595886ED5F298F0F5BC5","Het zwakke geslacht in Utrecht enkele momentopnamen van mannen en vrouwen uit de late middeleeuwen G M de Meyer en E W F van den Elzen 70-77 1986")</f>
        <v>0</v>
      </c>
      <c r="D60" s="1">
        <f>hyperlink("http://books.google.nl/books?id=xEotIIKRsTMC&amp;pg=PP1&amp;dq=Min+en+onmin&amp;as_brr=1&amp;hl=en","Min en onmin mannen en vrouwen over hun omgang aan het einde van de vijftiende eeuw G M de Meyer met medew van E W F van den Elzen E W F van den Meyer G M de Elzen 1989")</f>
        <v>0</v>
      </c>
    </row>
    <row r="61" spans="2:4">
      <c r="B61">
        <v>54</v>
      </c>
      <c r="C61" s="1">
        <f>hyperlink("https://hetutrechtsarchief.nl/collectie/6594B75EF181520D8AC50F36D625828F","Verleden van Utrecht driedimensionaal Ren de Kam 16-18 2009")</f>
        <v>0</v>
      </c>
      <c r="D61" s="1">
        <f>hyperlink("http://books.google.nl/books?id=z9Xhx93wD2EC&amp;printsec=frontcover&amp;dq=Leven+in+Utrecht,+1850-1914&amp;as_brr=1&amp;hl=en","Leven in Utrecht 1850-1914 groei naar een moderne stad P D t Hart 2005")</f>
        <v>0</v>
      </c>
    </row>
    <row r="62" spans="2:4">
      <c r="B62">
        <v>55</v>
      </c>
      <c r="C62" s="1">
        <f>hyperlink("https://hetutrechtsarchief.nl/collectie/ABE5AF62D12D5341BF9CA16E9ECD825D","Nogmaals de dertig hoeven in Oostveen Johanna Maria van Winter en A L P Buitelaar 124-125 1992")</f>
        <v>0</v>
      </c>
      <c r="D62" s="1">
        <f>hyperlink("http://books.google.nl/books/p/uitgeverij_verloren?id=3YEIXfdNiN8C&amp;pg=PT1&amp;dq=Utrecht+tussen+kerk+en+staat&amp;hl=nl&amp;redir_esc=y#v=onepage&amp;q=Utrecht%20tussen%20kerk%20en%20staat&amp;f=false","Utrecht centraal of marginaal Johanna Maria van Winter - Hilversum Verloren 1991 - P 15-30 1991")</f>
        <v>0</v>
      </c>
    </row>
    <row r="63" spans="2:4">
      <c r="B63">
        <v>60</v>
      </c>
      <c r="C63" s="1">
        <f>hyperlink("https://hetutrechtsarchief.nl/collectie/58CEBF059C225EC6A5587E69EB2CDF2A","H ndel s Utrechtsche Te deum en Jubilate - M J R 46-47 1930")</f>
        <v>0</v>
      </c>
      <c r="D63" s="1">
        <f>hyperlink("http://bsb-mdz12-spiegel.bsb.lrz.de/~db/0001/bsb00016769/images/index.html?seite=52&amp;pdfseitex=","Utrechter Te Deum und Jubilate Georg Friedrich H ndel 1870")</f>
        <v>0</v>
      </c>
    </row>
    <row r="64" spans="2:4">
      <c r="B64">
        <v>92</v>
      </c>
      <c r="C64" s="1">
        <f>hyperlink("https://hetutrechtsarchief.nl/collectie/9B515BB948BB5202A35CDFFAF552FC3C","Oudegracht 288 in Utrecht de groei van een middeleeuws koopmanshuis 226-237 2000")</f>
        <v>0</v>
      </c>
      <c r="D64" s="1">
        <f>hyperlink("http://bulletin.knob.nl/article/view/Alberts226/472","Oudegracht 288 in Utrecht de groei van een middeleeuws koopmanshuis Sanne Alberts 226-237 2000")</f>
        <v>0</v>
      </c>
    </row>
    <row r="65" spans="2:4">
      <c r="B65">
        <v>88</v>
      </c>
      <c r="C65" s="1">
        <f>hyperlink("https://hetutrechtsarchief.nl/collectie/205FCDEC146E5B3E9BE6EEFC6FDAC9D7","De tiende-eeuwse Heilig-Kruiskapel in Utrecht en haar relatie met Willibrord Charlotte J C Broer en Martin W J de Bruijn 81-89 2008")</f>
        <v>0</v>
      </c>
      <c r="D65" s="1">
        <f>hyperlink("http://bulletin.knob.nl/article/view/Broer81/294","De tiende-eeuwse Heilig-Kruiskapel in Utrecht en haar relatie met Willibrord Martin W J de Broer Charlotte J C Bruijn 81-89 2008")</f>
        <v>0</v>
      </c>
    </row>
    <row r="66" spans="2:4">
      <c r="B66">
        <v>100</v>
      </c>
      <c r="C66" s="1">
        <f>hyperlink("https://hetutrechtsarchief.nl/collectie/DB09DC59C7A95F3F9C4D6074DCDDAB8F","Jan Mast een Utrechtse beeldhouwer van grafmonumenten in de achttiende eeuw Carry Copp e 172-192 2006")</f>
        <v>0</v>
      </c>
      <c r="D66" s="1">
        <f>hyperlink("http://bulletin.knob.nl/article/view/Copp%C3%A9e172/337","Jan Mast een Utrechtse beeldhouwer van grafmonumenten in de achttiende eeuw Carry Copp e 172-192 2006")</f>
        <v>0</v>
      </c>
    </row>
    <row r="67" spans="2:4">
      <c r="B67">
        <v>100</v>
      </c>
      <c r="C67" s="1">
        <f>hyperlink("https://hetutrechtsarchief.nl/collectie/DFF71ED4995E529C9E3921268FE8854E","Van tuinpaviljoen naar koepelkamer geschiedenis en ontwikkeling van de Utrechtse Maliebaan Patricia Debie 68-79 2011")</f>
        <v>0</v>
      </c>
      <c r="D67" s="1">
        <f>hyperlink("http://bulletin.knob.nl/article/view/Debie68/187","Van tuinpaviljoen naar koepelkamer geschiedenis en ontwikkeling van de Utrechtse Maliebaan Patricia Debie 68-79 2011")</f>
        <v>0</v>
      </c>
    </row>
    <row r="68" spans="2:4">
      <c r="B68">
        <v>100</v>
      </c>
      <c r="C68" s="1">
        <f>hyperlink("https://hetutrechtsarchief.nl/collectie/9EFE19ACA121549BBCD9223C7F1347DA","Twee kapitelen uit De Bilt Elizabeth den Hartog 133-143 2011")</f>
        <v>0</v>
      </c>
      <c r="D68" s="1">
        <f>hyperlink("http://bulletin.knob.nl/article/view/denHartog133/198","Twee kapitelen uit De Bilt Elizabeth den Hartog 133-143 2011")</f>
        <v>0</v>
      </c>
    </row>
    <row r="69" spans="2:4">
      <c r="B69">
        <v>100</v>
      </c>
      <c r="C69" s="1">
        <f>hyperlink("https://hetutrechtsarchief.nl/collectie/352447D4A8CB51059D4AA82EDCF2E2F0","De Utrechtse Buurtoren een tijdelijke spits voor eeuwig H Hundertmark 61-72 2006")</f>
        <v>0</v>
      </c>
      <c r="D69" s="1">
        <f>hyperlink("http://bulletin.knob.nl/article/view/Hundertmark61/329","De Utrechtse Buurtoren een tijdelijke spits voor eeuwig H Hundertmark 61-72 2006")</f>
        <v>0</v>
      </c>
    </row>
    <row r="70" spans="2:4">
      <c r="B70">
        <v>100</v>
      </c>
      <c r="C70" s="1">
        <f>hyperlink("https://hetutrechtsarchief.nl/collectie/81FB4B5EBA6957EA99E6737827F9C219","Enkele grote lijnen in de Nederlandse stedenbouwgeschiedenis een vergelijkende studie naar de binnensteden van Utrecht Amsterdam en s-Hertogenbosch Marcel IJsselstijn 89-107 2011")</f>
        <v>0</v>
      </c>
      <c r="D70" s="1">
        <f>hyperlink("http://bulletin.knob.nl/article/view/IJsselstein89/202","Enkele grote lijnen in de Nederlandse stedenbouwgeschiedenis een vergelijkende studie naar de binnensteden van Utrecht Amsterdam en s-Hertogenbosch Marcel IJsselstijn 89-107 2011")</f>
        <v>0</v>
      </c>
    </row>
    <row r="71" spans="2:4">
      <c r="B71">
        <v>100</v>
      </c>
      <c r="C71" s="1">
        <f>hyperlink("https://hetutrechtsarchief.nl/collectie/FF5EC80C0E2650E4BADE0EE6FC3B5800","De reconstructie van een veertiende-eeuwse gevel van het Duitse Huis te Utrecht Bart Kl ck 3-9 2005")</f>
        <v>0</v>
      </c>
      <c r="D71" s="1">
        <f>hyperlink("http://bulletin.knob.nl/article/view/Kl%C3%BCck3/346","De reconstructie van een veertiende-eeuwse gevel van het Duitse Huis te Utrecht Bart Kl ck 3-9 2005")</f>
        <v>0</v>
      </c>
    </row>
    <row r="72" spans="2:4">
      <c r="B72">
        <v>100</v>
      </c>
      <c r="C72" s="1">
        <f>hyperlink("https://hetutrechtsarchief.nl/collectie/1A93A5F0FD51521C881F312E47780012","De restauratie van kasteel De Haar van droom tot obsessie Hugo Landheer 183-190 2004")</f>
        <v>0</v>
      </c>
      <c r="D72" s="1">
        <f>hyperlink("http://bulletin.knob.nl/article/view/Landheer183/424","De restauratie van kasteel De Haar van droom tot obsessie Hugo Landheer 183-190 2004")</f>
        <v>0</v>
      </c>
    </row>
    <row r="73" spans="2:4">
      <c r="B73">
        <v>99</v>
      </c>
      <c r="C73" s="1">
        <f>hyperlink("https://hetutrechtsarchief.nl/collectie/FEBEFD3058B453ADAC48171314FA138C","Gereanimeerd erfgoed Nationaal Project Nieuwe Hollandse Waterlinie als format voor het landschapsbeleid Eric Luiten 223-230 2011")</f>
        <v>0</v>
      </c>
      <c r="D73" s="1">
        <f>hyperlink("http://bulletin.knob.nl/article/view/Luiten223/197","Gereanimeerd erfgoed Nationaal Project Nieuwe Hollandse Waterlinie als format voor het landschapsbeleid Eric Luiten 223-230 2012")</f>
        <v>0</v>
      </c>
    </row>
    <row r="74" spans="2:4">
      <c r="B74">
        <v>89</v>
      </c>
      <c r="C74" s="1">
        <f>hyperlink("https://hetutrechtsarchief.nl/collectie/870FC8C78CA4554EA99216C845101C54","De herbouw van het huis Amerongen 1673-1685 Ruud Meischke en Koen Ottenheym 3-18 2011")</f>
        <v>0</v>
      </c>
      <c r="D74" s="1">
        <f>hyperlink("http://bulletin.knob.nl/article/view/Meischke3/190","De herbouw van het huis Amerongen 1673-1685 Koen Meischke Ruud Ottenheym 3-18 2011")</f>
        <v>0</v>
      </c>
    </row>
    <row r="75" spans="2:4">
      <c r="B75">
        <v>57</v>
      </c>
      <c r="C75" s="1">
        <f>hyperlink("https://hetutrechtsarchief.nl/collectie/C6F67FB7111750CDA96C3EB37BEFE45A","Burgemeester Wolfsen geniet van werken in Utrecht tot in de haarvaten van de stad Peter van der Ros en Piet Warners 7 2009")</f>
        <v>0</v>
      </c>
      <c r="D75" s="1">
        <f>hyperlink("http://bulletin.knob.nl/article/view/Peene72/243","Het Hof van Sint Jan te Utrecht over het dichten van een gat Pieter Jan Peene 72-83 2009")</f>
        <v>0</v>
      </c>
    </row>
    <row r="76" spans="2:4">
      <c r="B76">
        <v>51</v>
      </c>
      <c r="C76" s="1">
        <f>hyperlink("https://hetutrechtsarchief.nl/collectie/B3DEEF1921CF59038A1FF4106C58E8A7","Het Utrechts Documentatiesysteem Jean Penders 113-115 ill 1987")</f>
        <v>0</v>
      </c>
      <c r="D76" s="1">
        <f>hyperlink("http://bulletin.knob.nl/article/view/Penders33/397","Wie weet is het halve werk al gedaan Wordt het Utrechts Documentatiesysteem een nationaal kennisinstituut Jean Penders 33-38 2003")</f>
        <v>0</v>
      </c>
    </row>
    <row r="77" spans="2:4">
      <c r="B77">
        <v>100</v>
      </c>
      <c r="C77" s="1">
        <f>hyperlink("https://hetutrechtsarchief.nl/collectie/EBCC53EE182A5403BC9614A4457833DB","De chalets van koningin Wilhelmina in de paleisparken van Het Loo 1881-1882 en Soestdijk 1892 Paul Rem 49-58 2011")</f>
        <v>0</v>
      </c>
      <c r="D77" s="1">
        <f>hyperlink("http://bulletin.knob.nl/article/view/Rem49/189","De chalets van koningin Wilhelmina in de paleisparken van Het Loo 1881-1882 en Soestdijk 1892 Paul Rem 49-58 2011")</f>
        <v>0</v>
      </c>
    </row>
    <row r="78" spans="2:4">
      <c r="B78">
        <v>100</v>
      </c>
      <c r="C78" s="1">
        <f>hyperlink("https://hetutrechtsarchief.nl/collectie/AA58F2201F615CBAACC5B021CF93A56B","Freiluftschulen Christina Sanoll 16-29 2002")</f>
        <v>0</v>
      </c>
      <c r="D78" s="1">
        <f>hyperlink("http://bulletin.knob.nl/article/view/Sanoll16/381","Freiluftschulen Christina Sanoll 16-29 2002")</f>
        <v>0</v>
      </c>
    </row>
    <row r="79" spans="2:4">
      <c r="B79">
        <v>100</v>
      </c>
      <c r="C79" s="1">
        <f>hyperlink("https://hetutrechtsarchief.nl/collectie/F78A6F3ADB935B4EAAAB094075739594","Modern versus traditioneel het materiaalgebruik van de bouwmeesters Cuypers en Tepe Mascha van Damme 158-182 2004")</f>
        <v>0</v>
      </c>
      <c r="D79" s="1">
        <f>hyperlink("http://bulletin.knob.nl/article/view/vanDamme158/423","Modern versus traditioneel het materiaalgebruik van de bouwmeesters Cuypers en Tepe Mascha van Damme 158-182 2004")</f>
        <v>0</v>
      </c>
    </row>
    <row r="80" spans="2:4">
      <c r="B80">
        <v>100</v>
      </c>
      <c r="C80" s="1">
        <f>hyperlink("https://hetutrechtsarchief.nl/collectie/096FF60B8B095888BDA09688BCC96949","Manhattan aan de Eem de ondergang van een stedenbouwkundig project uit 1989 Hans van den Heuvel 191-198 2004")</f>
        <v>0</v>
      </c>
      <c r="D80" s="1">
        <f>hyperlink("http://bulletin.knob.nl/article/view/vandenHeuvel191/425","Manhattan aan de Eem de ondergang van een stedenbouwkundig project uit 1989 Hans van den Heuvel 191-198 2004")</f>
        <v>0</v>
      </c>
    </row>
    <row r="81" spans="2:4">
      <c r="B81">
        <v>95</v>
      </c>
      <c r="C81" s="1">
        <f>hyperlink("https://hetutrechtsarchief.nl/collectie/569068353FA25F0D9573E921AA69835F","Het Slot Zeist en zijn bewoners vanaf 1745 tot 1924 Catharina L van Groningen 81-120 2002")</f>
        <v>0</v>
      </c>
      <c r="D81" s="1">
        <f>hyperlink("http://bulletin.knob.nl/article/view/vanGroningen81-120/385","Het Slot te Zeist en zijn bewoners vanaf 1745 tot 1924 Catharina van Groningen 81-120 132 2002")</f>
        <v>0</v>
      </c>
    </row>
    <row r="82" spans="2:4">
      <c r="B82">
        <v>94</v>
      </c>
      <c r="C82" s="1">
        <f>hyperlink("https://hetutrechtsarchief.nl/collectie/DF524D5BFA6E52DA8C70BCE284F5F1A0","Maarsbergen van proosdijhuis tot kasteel Catharina L van Groningen 2003")</f>
        <v>0</v>
      </c>
      <c r="D82" s="1">
        <f>hyperlink("http://bulletin.knob.nl/article/view/vanGroningen81/402","Maarsbergen van proosdijhuis tot kasteel Catharina van Groningen 81-113 2003")</f>
        <v>0</v>
      </c>
    </row>
    <row r="83" spans="2:4">
      <c r="B83">
        <v>95</v>
      </c>
      <c r="C83" s="1">
        <f>hyperlink("https://hetutrechtsarchief.nl/collectie/B3B131698C5B513A9D2E2C5B05A9DC96","De datering van de Heilig-Kruiskapel te Utrecht C A M van Rooijen 62-67 2000")</f>
        <v>0</v>
      </c>
      <c r="D83" s="1">
        <f>hyperlink("http://bulletin.knob.nl/article/view/vanRooijen/457","De datering van de Heilig-Kruiskapel te Utrecht Cees van Rooijen 62-67 2000")</f>
        <v>0</v>
      </c>
    </row>
    <row r="84" spans="2:4">
      <c r="B84">
        <v>100</v>
      </c>
      <c r="C84" s="1">
        <f>hyperlink("https://hetutrechtsarchief.nl/collectie/17EBC0093DAA5D619EA3F68B0707FE01","Een verdwenen monument van katholieke emancipatie de fratersfabriek in Zeist Marie-Th r se van Thoor 147-154 2008")</f>
        <v>0</v>
      </c>
      <c r="D84" s="1">
        <f>hyperlink("http://bulletin.knob.nl/article/view/vanThoor147/299","Een verdwenen monument van katholieke emancipatie de fratersfabriek in Zeist Marie-Th r se van Thoor 147-154 2008")</f>
        <v>0</v>
      </c>
    </row>
    <row r="85" spans="2:4">
      <c r="B85">
        <v>100</v>
      </c>
      <c r="C85" s="1">
        <f>hyperlink("https://hetutrechtsarchief.nl/collectie/04143CF538185A54B5029F814A9EAC11","De restauratie van de Domtoren verschillende restauratieopvattingen verenigd Menno Wiegman 222-233 2010")</f>
        <v>0</v>
      </c>
      <c r="D85" s="1">
        <f>hyperlink("http://bulletin.knob.nl/article/view/Wiegman222/184","De restauratie van de Domtoren verschillende restauratieopvattingen verenigd Menno Wiegman 222-233 2010")</f>
        <v>0</v>
      </c>
    </row>
    <row r="86" spans="2:4">
      <c r="B86">
        <v>54</v>
      </c>
      <c r="C86" s="1">
        <f>hyperlink("https://hetutrechtsarchief.nl/collectie/164144AF75A1591BA9B17DC1CC520D40","Ruimte voor de Lek n voor archeologie Archeologisch onderzoek naar steenovens Het Oude Werk en Het Heiwerk Rogier de Groot 40-43 2016")</f>
        <v>0</v>
      </c>
      <c r="D86" s="1">
        <f>hyperlink("http://cf.hum.uva.nl/erfgoedstudies/Rapport_Groeneveld.pdf","t Bekoorlyk Groeneveld een cultuurhistorisch onderzoek naar Kasteel Groeneveld Leonie Kerver et al Leonie Kerver 2009")</f>
        <v>0</v>
      </c>
    </row>
    <row r="87" spans="2:4">
      <c r="B87">
        <v>59</v>
      </c>
      <c r="C87" s="1">
        <f>hyperlink("https://hetutrechtsarchief.nl/collectie/894FCDA2807771A5E0534701000A1F9F","Een bezoek aan het museum Dick Berents 24-28 2019")</f>
        <v>0</v>
      </c>
      <c r="D87" s="1">
        <f>hyperlink("http://collectie.atlasvanstolk.nl/epub/50493/OPS/text/39_Chapter35.xhtml","Een bezoek aan het paleis te Soestdijk J Craandijk 332-334 1878")</f>
        <v>0</v>
      </c>
    </row>
    <row r="88" spans="2:4">
      <c r="B88">
        <v>54</v>
      </c>
      <c r="C88" s="1">
        <f>hyperlink("https://hetutrechtsarchief.nl/collectie/D6F57035AB775B248BBA5F599E3F3969","De nalatenschap slot Stef Veerhuis 56-60 2012")</f>
        <v>0</v>
      </c>
      <c r="D88" s="1">
        <f>hyperlink("http://collectie.atlasvanstolk.nl/epub/50493/OPS/text/52_Chapter48.xhtml","De pupillenschool te Nieuwersluis F de Bas 460-462 1878")</f>
        <v>0</v>
      </c>
    </row>
    <row r="89" spans="2:4">
      <c r="B89">
        <v>63</v>
      </c>
      <c r="C89" s="1">
        <f>hyperlink("https://hetutrechtsarchief.nl/collectie/CD8DC76DE1765ABB844EADE836CB7001","Monumentenbeleid in Utrecht A L Jordens 34 - 36 1982")</f>
        <v>0</v>
      </c>
      <c r="D89" s="1">
        <f>hyperlink("http://cultuurtijdschriften.nl/download?type=document&amp;docid=457165","Monumentenbeleid in Amersfoort A L L M Asselbergs 153-154 1983")</f>
        <v>0</v>
      </c>
    </row>
    <row r="90" spans="2:4">
      <c r="B90">
        <v>53</v>
      </c>
      <c r="C90" s="1">
        <f>hyperlink("https://hetutrechtsarchief.nl/collectie/89630A443360F9A0E0534701000A49EE","Het einde van de hoefslagpalen een mysterie ontrafeld Ad van den Herik 18-21 2019")</f>
        <v>0</v>
      </c>
      <c r="D90" s="1">
        <f>hyperlink("http://cultuurtijdschriften.nl/download?type=document&amp;docid=457180","Het zwijgende kasteel van Woerden tot nieuw leven gewekt een robuuste bijdrage tot het stadsbeeld aan de waterkant J Th Balk 18-19 1990")</f>
        <v>0</v>
      </c>
    </row>
    <row r="91" spans="2:4">
      <c r="B91">
        <v>61</v>
      </c>
      <c r="C91" s="1">
        <f>hyperlink("https://hetutrechtsarchief.nl/collectie/F2A4AB04C8075426ABFC3386EAD732E2","Geschutgieterij in Utrecht L E Bosch 113-130 1851")</f>
        <v>0</v>
      </c>
      <c r="D91" s="1">
        <f>hyperlink("http://cultuurtijdschriften.nl/download?type=document&amp;docid=457196","Jugendstilarchitectuur in Utrecht Yvonne Schouten 12-13 1992")</f>
        <v>0</v>
      </c>
    </row>
    <row r="92" spans="2:4">
      <c r="B92">
        <v>58</v>
      </c>
      <c r="C92" s="1">
        <f>hyperlink("https://hetutrechtsarchief.nl/collectie/F5408E83CA1D5224829E4056E7C31829","Korte geschiedenis van de oudste familie Van den Berg in Eemnes Henk van Hees 219-242 1999")</f>
        <v>0</v>
      </c>
      <c r="D92" s="1">
        <f>hyperlink("http://cultuurtijdschriften.nl/download?type=document&amp;docid=457212","Heemstede en het falen van de Nederlandse Monumentenzorg D Beynes-Heymeyer van Heemstede 19-23 1990")</f>
        <v>0</v>
      </c>
    </row>
    <row r="93" spans="2:4">
      <c r="B93">
        <v>55</v>
      </c>
      <c r="C93" s="1">
        <f>hyperlink("https://hetutrechtsarchief.nl/collectie/9D90BF3313355A09B37D3847293631F2","De Amelisweerden en Rhijnauwen buitenplaatsenparel langs de Kromme Rijn Roland Blijdestijn 22-25 2011")</f>
        <v>0</v>
      </c>
      <c r="D93" s="1">
        <f>hyperlink("http://cultuurtijdschriften.nl/download?type=document&amp;docid=457245","Zeist groei en bouw een inventarisatie van waardevolle gebouwen en gebieden Roland Blijdenstein 29-33 1984")</f>
        <v>0</v>
      </c>
    </row>
    <row r="94" spans="2:4">
      <c r="B94">
        <v>66</v>
      </c>
      <c r="C94" s="1">
        <f>hyperlink("https://hetutrechtsarchief.nl/collectie/4A1CFEDC4B345BF4B35E3D3A1F0D7235","Kroniek restauraties in 2000 Cor van den Braber 134-138 2001")</f>
        <v>0</v>
      </c>
      <c r="D94" s="1">
        <f>hyperlink("http://cultuurtijdschriften.nl/download?type=document&amp;docid=457286","Van restauratie naar integratie C van den Braber 155-158 1983")</f>
        <v>0</v>
      </c>
    </row>
    <row r="95" spans="2:4">
      <c r="B95">
        <v>62</v>
      </c>
      <c r="C95" s="1">
        <f>hyperlink("https://hetutrechtsarchief.nl/collectie/38BF6DF31C6D50F48119D34C52AA3FA3","Albert Temming de cirkel is rond Annelore Scholten 21-28 2005")</f>
        <v>0</v>
      </c>
      <c r="D95" s="1">
        <f>hyperlink("http://cultuurtijdschriften.nl/download?type=document&amp;docid=457330","Utrecht en de wandeling de cirkel is rond Anne-Marie ten Cate 24-26 1994")</f>
        <v>0</v>
      </c>
    </row>
    <row r="96" spans="2:4">
      <c r="B96">
        <v>56</v>
      </c>
      <c r="C96" s="1">
        <f>hyperlink("https://hetutrechtsarchief.nl/collectie/ECC6E8F8F724595390567A2A05F8F5F6","Het Duitse Huis in Utrecht gerestaureerd Anton van Oirschot 16-17 ill plgr 1995")</f>
        <v>0</v>
      </c>
      <c r="D96" s="1">
        <f>hyperlink("http://cultuurtijdschriften.nl/download?type=document&amp;docid=457363","Geschiedenis Duitse Huis herleeft in Utrecht de terugkeer van de Duitse Orde Wietske Vos 31-32 1995")</f>
        <v>0</v>
      </c>
    </row>
    <row r="97" spans="2:4">
      <c r="B97">
        <v>57</v>
      </c>
      <c r="C97" s="1">
        <f>hyperlink("https://hetutrechtsarchief.nl/collectie/1BA48C633B77566FA938841F76B6780B","Kasteelhistorie van Amerongen herleeft 44 1954")</f>
        <v>0</v>
      </c>
      <c r="D97" s="1">
        <f>hyperlink("http://cultuurtijdschriften.nl/download?type=document&amp;docid=457408","Kasteeltoren bedreigd Annette Lieth 36-37 1995")</f>
        <v>0</v>
      </c>
    </row>
    <row r="98" spans="2:4">
      <c r="B98">
        <v>58</v>
      </c>
      <c r="C98" s="1">
        <f>hyperlink("https://hetutrechtsarchief.nl/collectie/460FF1F1FFCB5A2FB5DAABBBB10B07FC","Het Paardenveld C W Wagenaar 283 -290 1899")</f>
        <v>0</v>
      </c>
      <c r="D98" s="1">
        <f>hyperlink("http://cultuurtijdschriften.nl/download?type=document&amp;docid=457428","De raadsels van Groeneveld M G Wagenaar Hummelinck 26-30 1996")</f>
        <v>0</v>
      </c>
    </row>
    <row r="99" spans="2:4">
      <c r="B99">
        <v>85</v>
      </c>
      <c r="C99" s="1">
        <f>hyperlink("https://hetutrechtsarchief.nl/collectie/AD7B7F68741F54A582B5BB24A3C4F091","Monumentenzorg in Utrecht T J Hoekstra en J C M van Niekerk 139-142 1986")</f>
        <v>0</v>
      </c>
      <c r="D99" s="1">
        <f>hyperlink("http://cultuurtijdschriften.nl/download?type=document&amp;docid=457441","Monumentenzorg in Utrecht J C M van Hoekstra T J Niekerk 139-142 1986")</f>
        <v>0</v>
      </c>
    </row>
    <row r="100" spans="2:4">
      <c r="B100">
        <v>55</v>
      </c>
      <c r="C100" s="1">
        <f>hyperlink("https://hetutrechtsarchief.nl/collectie/8F48FCCF2BCA5410A395242D46EA3ED2","Tuinenburg bij Soest vroeg voorbeeld van een Utrechtse buitenplaats Bram van den Hoven van Genderen 130-135 2012")</f>
        <v>0</v>
      </c>
      <c r="D100" s="1">
        <f>hyperlink("http://cultuurtijdschriften.nl/download?type=document&amp;docid=457447","Tuinaanleg bij historische bebouwing twee voorbeelden van aangepaste ontwerpen Arend Jan van der Horst 102-103 1984")</f>
        <v>0</v>
      </c>
    </row>
    <row r="101" spans="2:4">
      <c r="B101">
        <v>59</v>
      </c>
      <c r="C101" s="1">
        <f>hyperlink("https://hetutrechtsarchief.nl/collectie/B9349C2FEE7B5B20827C7CF6DB2FCED3","Het feest kan beginnen Marja Manders 8-9 ill 1998")</f>
        <v>0</v>
      </c>
      <c r="D101" s="1">
        <f>hyperlink("http://cultuurtijdschriften.nl/download?type=document&amp;docid=457451","Het Pompstation Soestduinen Math Berkers 8-9 1996")</f>
        <v>0</v>
      </c>
    </row>
    <row r="102" spans="2:4">
      <c r="B102">
        <v>100</v>
      </c>
      <c r="C102" s="1">
        <f>hyperlink("https://hetutrechtsarchief.nl/collectie/1C731C6BFD615244B9BFB087B567839B","Fabriekscomplex in Utrecht met sloop bedreigd Jac Huysmans 93-96 1986")</f>
        <v>0</v>
      </c>
      <c r="D102" s="1">
        <f>hyperlink("http://cultuurtijdschriften.nl/download?type=document&amp;docid=457458","Fabriekscomplex in Utrecht met sloop bedreigd Jac Huysmans 93-96 1986")</f>
        <v>0</v>
      </c>
    </row>
    <row r="103" spans="2:4">
      <c r="B103">
        <v>98</v>
      </c>
      <c r="C103" s="1">
        <f>hyperlink("https://hetutrechtsarchief.nl/collectie/CD8DC76DE1765ABB844EADE836CB7001","Monumentenbeleid in Utrecht A L Jordens 34 - 36 1982")</f>
        <v>0</v>
      </c>
      <c r="D103" s="1">
        <f>hyperlink("http://cultuurtijdschriften.nl/download?type=document&amp;docid=457504","Monumentenbeleid in Utrecht A L Jordens 34-36 1982")</f>
        <v>0</v>
      </c>
    </row>
    <row r="104" spans="2:4">
      <c r="B104">
        <v>63</v>
      </c>
      <c r="C104" s="1">
        <f>hyperlink("https://hetutrechtsarchief.nl/collectie/28B2215D72415B2DA1BEC81C349C9CD2","Het Duitse Huis slot A S Klusener 683-684 1985")</f>
        <v>0</v>
      </c>
      <c r="D104" s="1">
        <f>hyperlink("http://cultuurtijdschriften.nl/download?type=document&amp;docid=457505","Het Duitse Huis J Ph G Kaajan 4 1990")</f>
        <v>0</v>
      </c>
    </row>
    <row r="105" spans="2:4">
      <c r="B105">
        <v>100</v>
      </c>
      <c r="C105" s="1">
        <f>hyperlink("https://hetutrechtsarchief.nl/collectie/8CB661480A875925B0A0A6BFCF7B647D","Bouwhistorisch en archeologisch onderzoek in Utrecht vergeleken A F E Kipp 153-155 1986")</f>
        <v>0</v>
      </c>
      <c r="D105" s="1">
        <f>hyperlink("http://cultuurtijdschriften.nl/download?type=document&amp;docid=457533","Bouwhistorisch en archeologisch onderzoek in Utrecht vergeleken A F E Kipp 153-155 1986")</f>
        <v>0</v>
      </c>
    </row>
    <row r="106" spans="2:4">
      <c r="B106">
        <v>100</v>
      </c>
      <c r="C106" s="1">
        <f>hyperlink("https://hetutrechtsarchief.nl/collectie/51554944B59E5AC2BE11F8A530564014","Oudaen een Utrechts stadskasteel A F E Kipp 143-146 1986")</f>
        <v>0</v>
      </c>
      <c r="D106" s="1">
        <f>hyperlink("http://cultuurtijdschriften.nl/download?type=document&amp;docid=457534","Oudaen een Utrechts stadskasteel A F E Kipp 143-146 1986")</f>
        <v>0</v>
      </c>
    </row>
    <row r="107" spans="2:4">
      <c r="B107">
        <v>51</v>
      </c>
      <c r="C107" s="1">
        <f>hyperlink("https://hetutrechtsarchief.nl/collectie/2D999906B1875924BA8A9FF85C33D3F4","Omgaan met industrieel-archeologische relicten J C G M Jansen 172-180 1987")</f>
        <v>0</v>
      </c>
      <c r="D107" s="1">
        <f>hyperlink("http://cultuurtijdschriften.nl/download?type=document&amp;docid=457541","Voorlopige evaluatie 20 jaar archeologische monumentenzorg R H J Klok 164-167 1983")</f>
        <v>0</v>
      </c>
    </row>
    <row r="108" spans="2:4">
      <c r="B108">
        <v>58</v>
      </c>
      <c r="C108" s="1">
        <f>hyperlink("https://hetutrechtsarchief.nl/collectie/D963FAF63E08583FB0697DE0778B3520","De Tuinstraat gered Chris van Deventer 18-19 1987")</f>
        <v>0</v>
      </c>
      <c r="D108" s="1">
        <f>hyperlink("http://cultuurtijdschriften.nl/download?type=document&amp;docid=457589","De oude stadsherberg van Vianen Stefan Langerak 14-15 1987")</f>
        <v>0</v>
      </c>
    </row>
    <row r="109" spans="2:4">
      <c r="B109">
        <v>61</v>
      </c>
      <c r="C109" s="1">
        <f>hyperlink("https://hetutrechtsarchief.nl/collectie/D26F6C7B68DF5B9B9E68CC8CDE4C171A","Het Catharijneconvent T J Hoekstra 22-23 ill 1975")</f>
        <v>0</v>
      </c>
      <c r="D109" s="1">
        <f>hyperlink("http://cultuurtijdschriften.nl/download?type=document&amp;docid=457637","Catharijneconvent monument met nieuwe toekomst Jac B Looyen 228-231 1979")</f>
        <v>0</v>
      </c>
    </row>
    <row r="110" spans="2:4">
      <c r="B110">
        <v>55</v>
      </c>
      <c r="C110" s="1">
        <f>hyperlink("https://hetutrechtsarchief.nl/collectie/1ECD9573729159DD982EB7E9C813C147","Middeleeuwse geldschieters in Utrecht Monic Slingerland 1-4 ill 1985")</f>
        <v>0</v>
      </c>
      <c r="D110" s="1">
        <f>hyperlink("http://cultuurtijdschriften.nl/download?type=document&amp;docid=457638","Middeleeuws gelui Dom herleeft Jac B Looyen 156-157 1982")</f>
        <v>0</v>
      </c>
    </row>
    <row r="111" spans="2:4">
      <c r="B111">
        <v>56</v>
      </c>
      <c r="C111" s="1">
        <f>hyperlink("https://hetutrechtsarchief.nl/collectie/5C8313592DB65FE4B47519E38956CF7C","De daders van Kamp Amersfoort Remco Reiding 6-7 2017")</f>
        <v>0</v>
      </c>
      <c r="D111" s="1">
        <f>hyperlink("http://cultuurtijdschriften.nl/download?type=document&amp;docid=457640","Bulldozer staat klaar in Amersfoort Rob Lureman 8-9 1989")</f>
        <v>0</v>
      </c>
    </row>
    <row r="112" spans="2:4">
      <c r="B112">
        <v>62</v>
      </c>
      <c r="C112" s="1">
        <f>hyperlink("https://hetutrechtsarchief.nl/collectie/6791B3BA4DE153CD956EC55303D8A649","De voorde n van Amersfoort Wim de Gans 6-81 2003")</f>
        <v>0</v>
      </c>
      <c r="D112" s="1">
        <f>hyperlink("http://cultuurtijdschriften.nl/download?type=document&amp;docid=457671","Over de oorsprong van Amersfoort J M Reinboud 162-164 1983")</f>
        <v>0</v>
      </c>
    </row>
    <row r="113" spans="2:4">
      <c r="B113">
        <v>53</v>
      </c>
      <c r="C113" s="1">
        <f>hyperlink("https://hetutrechtsarchief.nl/collectie/C52108D9D30D5EF09B001636823BEF56","Villa Jongerius krijgt unieke kans op restauratie Bettina van Santen 124-125 2008")</f>
        <v>0</v>
      </c>
      <c r="D113" s="1">
        <f>hyperlink("http://cultuurtijdschriften.nl/download?type=document&amp;docid=457673","Huis Over-Holland bij Nieuwersluis wacht op restauratie Abele Reitsema 24-27 1990")</f>
        <v>0</v>
      </c>
    </row>
    <row r="114" spans="2:4">
      <c r="B114">
        <v>62</v>
      </c>
      <c r="C114" s="1">
        <f>hyperlink("https://hetutrechtsarchief.nl/collectie/E409947227EA5B689ABB384FA64CAF66","E n promille van het verleden Gertrudis Offenberg 338-342 ill 1997")</f>
        <v>0</v>
      </c>
      <c r="D114" s="1">
        <f>hyperlink("http://cultuurtijdschriften.nl/download?type=document&amp;docid=457696","De molen weer terug in Amerongen Gertrudis A M Offenberg 14-15 1987")</f>
        <v>0</v>
      </c>
    </row>
    <row r="115" spans="2:4">
      <c r="B115">
        <v>53</v>
      </c>
      <c r="C115" s="1">
        <f>hyperlink("https://hetutrechtsarchief.nl/collectie/EC30CD25AFAD5030B805AF0CF2C7EF01","Stilte na de storm Utrecht in de eerste helft van de negentiende eeuw R E de Bruin 510-528 1986")</f>
        <v>0</v>
      </c>
      <c r="D115" s="1">
        <f>hyperlink("http://cultuurtijdschriften.nl/download?type=document&amp;docid=457700","Dankzij restauratie Kasteel Groeneveld nu aardig beeld van behangselkunst achttiende eeuw Jelle Otter 50-53 1986")</f>
        <v>0</v>
      </c>
    </row>
    <row r="116" spans="2:4">
      <c r="B116">
        <v>100</v>
      </c>
      <c r="C116" s="1">
        <f>hyperlink("https://hetutrechtsarchief.nl/collectie/36F5FF38F14757D2A21B4AE28581F1B6","Het Duitse Huis te Utrecht J A Schuur 82-86 1986")</f>
        <v>0</v>
      </c>
      <c r="D116" s="1">
        <f>hyperlink("http://cultuurtijdschriften.nl/download?type=document&amp;docid=457723","Het Duitse Huis te Utrecht J A Schuur 82-86 1986")</f>
        <v>0</v>
      </c>
    </row>
    <row r="117" spans="2:4">
      <c r="B117">
        <v>59</v>
      </c>
      <c r="C117" s="1">
        <f>hyperlink("https://hetutrechtsarchief.nl/collectie/973705BF9E245003A7F7B873A3723852","Boekdrukkunst te Utrecht in de 15 eeuw L E Bosch 83-98 1865")</f>
        <v>0</v>
      </c>
      <c r="D117" s="1">
        <f>hyperlink("http://cultuurtijdschriften.nl/download?type=document&amp;docid=457758","Jongere bouwkunst in Utrecht geinventariseerd S W de Vos 158-159 1986")</f>
        <v>0</v>
      </c>
    </row>
    <row r="118" spans="2:4">
      <c r="B118">
        <v>66</v>
      </c>
      <c r="C118" s="1">
        <f>hyperlink("https://hetutrechtsarchief.nl/collectie/CEF2EFB1C43E5B9A95D6D086AA90B1FF","Architectuur in Veenendaal Sieta van Aalderen 82-83 2015")</f>
        <v>0</v>
      </c>
      <c r="D118" s="1">
        <f>hyperlink("http://cultuurtijdschriften.nl/download?type=document&amp;docid=457773","Architectuur in Baarn J E van der Wielen 206-207 1980")</f>
        <v>0</v>
      </c>
    </row>
    <row r="119" spans="2:4">
      <c r="B119">
        <v>60</v>
      </c>
      <c r="C119" s="1">
        <f>hyperlink("https://hetutrechtsarchief.nl/collectie/E35571947F385AEAA383C54F9F1BC91C","Het kerkplein van Rijsenburg Wim Harzing 44-45 ill 1975")</f>
        <v>0</v>
      </c>
      <c r="D119" s="1">
        <f>hyperlink("http://cultuurtijdschriften.nl/download?type=document&amp;docid=457841","Het unieke Kerkplein van Rijsenburg en de familie van Aarnhem C L Temminck Groll 12-13 1987")</f>
        <v>0</v>
      </c>
    </row>
    <row r="120" spans="2:4">
      <c r="B120">
        <v>60</v>
      </c>
      <c r="C120" s="1">
        <f>hyperlink("https://hetutrechtsarchief.nl/collectie/DD5218A0C97551DDBF2AD35297CB21F9","Jaaroverzicht monumentenzorg 2009 Max Cramer et al 118-131 2010")</f>
        <v>0</v>
      </c>
      <c r="D120" s="1">
        <f>hyperlink("http://cultuurtijdschriften.nl/download?type=document&amp;docid=457844","Utrechts Monumentenzorg restaureert Cameren W Thoomes 116-117 1980")</f>
        <v>0</v>
      </c>
    </row>
    <row r="121" spans="2:4">
      <c r="B121">
        <v>100</v>
      </c>
      <c r="C121" s="1">
        <f>hyperlink("https://hetutrechtsarchief.nl/collectie/35F01A4AA11F5DF69F7B4727FD13E1A7","Veeartsenijcomplex krijgt mogelijk nieuwe bestemmingen D Valentijn 159-162 1986")</f>
        <v>0</v>
      </c>
      <c r="D121" s="1">
        <f>hyperlink("http://cultuurtijdschriften.nl/download?type=document&amp;docid=457860","Veeartsenijcomplex krijgt mogelijk nieuwe bestemmingen D Valentijn 159-162 1986")</f>
        <v>0</v>
      </c>
    </row>
    <row r="122" spans="2:4">
      <c r="B122">
        <v>58</v>
      </c>
      <c r="C122" s="1">
        <f>hyperlink("https://hetutrechtsarchief.nl/collectie/4D42B22FF30C589EA327F83B71EA34D9","De Amersfoortse familie Welling P A Welling 86-91 2013")</f>
        <v>0</v>
      </c>
      <c r="D122" s="1">
        <f>hyperlink("http://cultuurtijdschriften.nl/download?type=document&amp;docid=457923","Flehite en de Amersfoortse monumentenzorg P Wassink 158-159 1983")</f>
        <v>0</v>
      </c>
    </row>
    <row r="123" spans="2:4">
      <c r="B123">
        <v>58</v>
      </c>
      <c r="C123" s="1">
        <f>hyperlink("https://hetutrechtsarchief.nl/collectie/49ADAEF2EA465A3C9F9905F9E4B5C8A3","De dorpsbarbier vertelt het kerkhof in Vleuten in oude glorie hersteld Ad van Zoeren 44 2011")</f>
        <v>0</v>
      </c>
      <c r="D123" s="1">
        <f>hyperlink("http://cultuurtijdschriften.nl/download?type=document&amp;docid=458009","Orangerie van Broekhuizen in nieuwe glorie hersteld J E van der Wielen 252-253 1979")</f>
        <v>0</v>
      </c>
    </row>
    <row r="124" spans="2:4">
      <c r="B124">
        <v>99</v>
      </c>
      <c r="C124" s="1">
        <f>hyperlink("https://hetutrechtsarchief.nl/collectie/E1969B569AEA592196CEAA0B9F8B108E","Weerdsingel straks mogelijk weer open W P C van Willigenburg 156-157 1986")</f>
        <v>0</v>
      </c>
      <c r="D124" s="1">
        <f>hyperlink("http://cultuurtijdschriften.nl/download?type=document&amp;docid=458073","Weerdsingel straks mogelijk weer open W P Chr van Willigenburg 156-157 1986")</f>
        <v>0</v>
      </c>
    </row>
    <row r="125" spans="2:4">
      <c r="B125">
        <v>90</v>
      </c>
      <c r="C125" s="1">
        <f>hyperlink("https://hetutrechtsarchief.nl/collectie/32A98768C5AC503DA668CCE7BBDA1520","Van Nijmegen naar Utrecht de limes in Nederland J K Haalebos 36-65 ill krt plgr 1997")</f>
        <v>0</v>
      </c>
      <c r="D125" s="1">
        <f>hyperlink("http://dare.ubn.kun.nl/bitstream/2066/26424/1/26424___.PDF;http://igitur-archive.library.uu.nl/sabine/2011-1117-200742/UUindex.html","Van Nijmegen naar Utrecht de limes in Nederland J K Haalebos 35 -66 1997")</f>
        <v>0</v>
      </c>
    </row>
    <row r="126" spans="2:4">
      <c r="B126">
        <v>54</v>
      </c>
      <c r="C126" s="1">
        <f>hyperlink("https://hetutrechtsarchief.nl/collectie/BB370D0572165F58B7E1C20C31310678","Een dilemma de Lek of de Linge de afwatering van de Vijfheerenlanden 1750-1825 Aart Bijl 77-88 2000")</f>
        <v>0</v>
      </c>
      <c r="D126" s="1">
        <f>hyperlink("http://dare.ubvu.vu.nl/bitstream/1871/18772/5/6844.pdf","Een kleine dijk met een groot doel de financiering van de Diemerdijk 1591-1864 Alphonsus Wouterus Fransen 2009")</f>
        <v>0</v>
      </c>
    </row>
    <row r="127" spans="2:4">
      <c r="B127">
        <v>59</v>
      </c>
      <c r="C127" s="1">
        <f>hyperlink("https://hetutrechtsarchief.nl/collectie/0DF3B465AF715C92861AB9F30C1F9DD7","Van Vinex tot Vicus Vinex Vicus de buurten van de wijk Leidsche Rijn Arthur D J van der Leij 22-23 2016")</f>
        <v>0</v>
      </c>
      <c r="D127" s="1">
        <f>hyperlink("http://dare.ubvu.vu.nl/handle/1871/9824","Vroom in de vinex kerk en civil society in Leidsche Rijn Marten van der Meulen 2006")</f>
        <v>0</v>
      </c>
    </row>
    <row r="128" spans="2:4">
      <c r="B128">
        <v>52</v>
      </c>
      <c r="C128" s="1">
        <f>hyperlink("https://hetutrechtsarchief.nl/collectie/5797AD939C685AE38C654A0AE3C462BB","Nieuwe heren nieuwe wetten stadhouder Willem IV komt in de provincie Utrecht aan het bewind 1747-1750 Jos wassink 2011")</f>
        <v>0</v>
      </c>
      <c r="D128" s="1">
        <f>hyperlink("http://dare.uva.nl/document/161804","Dienstbaarheid uit eigenbaat regenten in het makelaarsstelsel van stadhouder Willem III tijdens het Utrechts regeringsreglement 1674-1702 Pieter Cornelis Wilders 2010")</f>
        <v>0</v>
      </c>
    </row>
    <row r="129" spans="2:4">
      <c r="B129">
        <v>56</v>
      </c>
      <c r="C129" s="1">
        <f>hyperlink("https://hetutrechtsarchief.nl/collectie/43426FED59DB5FF49E5F9C633B9C58E6","Heyndrick ter Brugghen - Dodt v Fl 129 -136 1846")</f>
        <v>0</v>
      </c>
      <c r="D129" s="1">
        <f>hyperlink("http://dare.uva.nl/document/172386","Was Hendrick ter Brugghen a melancholic Marten Jan Bok 2009")</f>
        <v>0</v>
      </c>
    </row>
    <row r="130" spans="2:4">
      <c r="B130">
        <v>50</v>
      </c>
      <c r="C130" s="1">
        <f>hyperlink("https://hetutrechtsarchief.nl/collectie/066A0D4DE1B85CAA81A6F216DF002BDF","Vande groote swaricheyt der armen deser Stadt de reorganisatie van de armenzorg in Utrecht 1580-1674 Dani lle Teeuwen 48-66 2010")</f>
        <v>0</v>
      </c>
      <c r="D130" s="1">
        <f>hyperlink("http://dare.uva.nl/document/210383","Ruggengraat van de stad de betekenis van gilden in Utrecht 1528-1818 Nico Slokker eindred Marjan Muntinga Marjan Slokker Nico Muntinga 2010")</f>
        <v>0</v>
      </c>
    </row>
    <row r="131" spans="2:4">
      <c r="B131">
        <v>54</v>
      </c>
      <c r="C131" s="1">
        <f>hyperlink("https://hetutrechtsarchief.nl/collectie/66831ADBC501539389F3AACBDABDCD94","Kantteekeningen op Bronnen voor de geschiedenis der kerkelijke rechtspraak in het Bisdom Utrecht Dl II J S van Veen 48-51 1922")</f>
        <v>0</v>
      </c>
      <c r="D131" s="1">
        <f>hyperlink("http://dare.uva.nl/document/63417","In kringen van kanunniken munsters en kapittels in het bisdom Utrecht 695-1227 Kaj van Vliet 2002")</f>
        <v>0</v>
      </c>
    </row>
    <row r="132" spans="2:4">
      <c r="B132">
        <v>54</v>
      </c>
      <c r="C132" s="1">
        <f>hyperlink("https://hetutrechtsarchief.nl/collectie/B2F6E23557315442B939D628DDE96B0A","De geschiedenis van de Utrechtsche lustra 30-44 ill portr 1986")</f>
        <v>0</v>
      </c>
      <c r="D132" s="1">
        <f>hyperlink("http://dbnl.nl/tekst/oltm001scha01_01/","De schaapherder een verhaal uit den Utrechtschen oorlog 1481-1488 - 3e dr J F Oltmans 1985")</f>
        <v>0</v>
      </c>
    </row>
    <row r="133" spans="2:4">
      <c r="B133">
        <v>53</v>
      </c>
      <c r="C133" s="1">
        <f>hyperlink("https://hetutrechtsarchief.nl/collectie/B2E458738F3D5C90BA08E5CF8F8CBCFC","Gatenkaas Museumkwartier Arend Ode 4-5 2004")</f>
        <v>0</v>
      </c>
      <c r="D133" s="1">
        <f>hyperlink("http://de01.jsmediatools.com/13471538064/MailView/#/0/","Antonius bouwt Arnold Otten 2010")</f>
        <v>0</v>
      </c>
    </row>
    <row r="134" spans="2:4">
      <c r="B134">
        <v>54</v>
      </c>
      <c r="C134" s="1">
        <f>hyperlink("https://hetutrechtsarchief.nl/collectie/A945DD052850532BA2889FE5DDE911C3","De rekeningen van de kerkmeesters der Buurkerk te Utrecht in de 15e eeuw F A L van Rappard 25 -224 1880")</f>
        <v>0</v>
      </c>
      <c r="D134" s="1">
        <f>hyperlink("http://depot.knaw.nl/5007/","Onder dese ridderen zijn oec papen de priesterbroeders in de balije Utrecht van de Duitse Orde 1350-1600 R J Stapel 205 -245 2008")</f>
        <v>0</v>
      </c>
    </row>
    <row r="135" spans="2:4">
      <c r="B135">
        <v>53</v>
      </c>
      <c r="C135" s="1">
        <f>hyperlink("https://hetutrechtsarchief.nl/collectie/97A40A47DC99577D91ACB7C1F98F9564","Hoe de hond van het Hof van Holland bevrijd werd een Utrechtsche honden-historie - W G v R 25-29 1943")</f>
        <v>0</v>
      </c>
      <c r="D135" s="1">
        <f>hyperlink("http://depot.knaw.nl/5393/1/113DialectsWest.htm","The dialects of Noord-Holland Zuid-Holland and Utrecht Harrie Hoekstra Eric Scholtmeijer 77-149 2004")</f>
        <v>0</v>
      </c>
    </row>
    <row r="136" spans="2:4">
      <c r="B136">
        <v>52</v>
      </c>
      <c r="C136" s="1">
        <f>hyperlink("https://hetutrechtsarchief.nl/collectie/6E54C915C92D559EAC7431A223695889","Ons Buiten de historie van een Utrechtse tuindersvereniging Hans L gers 168-173 2017")</f>
        <v>0</v>
      </c>
      <c r="D136" s="1">
        <f>hyperlink("http://depot.knaw.nl/5521/1/Deutschherren_und_Joh_im_Bistum_Utrecht_und_ihre_Pfarreien.pdf","Deutschherren und Johanniter im Bistum Utrecht und ihre Pfarreien Johannes A Mol 113- 127 1997")</f>
        <v>0</v>
      </c>
    </row>
    <row r="137" spans="2:4">
      <c r="B137">
        <v>54</v>
      </c>
      <c r="C137" s="1">
        <f>hyperlink("https://hetutrechtsarchief.nl/collectie/7B021948BB6D5C699D4D345110755F54","Het Militair Gezag in Utrecht West 1945 Jules Braat 8-12 2016")</f>
        <v>0</v>
      </c>
      <c r="D137" s="1">
        <f>hyperlink("http://depot.knaw.nl/5532/1/Trying_to_survive.pdf","Trying to survive the military orders in Utrecht 1580-1620 Johannes A Mol 181-207 2006")</f>
        <v>0</v>
      </c>
    </row>
    <row r="138" spans="2:4">
      <c r="B138">
        <v>63</v>
      </c>
      <c r="C138" s="1">
        <f>hyperlink("https://hetutrechtsarchief.nl/collectie/514D1948F16654FEBC82271160E5E96C","De grillige grens tussen Zuid-Holland en Utrecht Leen Ouweneel 105-119 2011")</f>
        <v>0</v>
      </c>
      <c r="D138" s="1">
        <f>hyperlink("http://depot.knaw.nl/8641/1/LBSpecifiek0395_001.pdf","Specifieke familienamen in Noord-Holland Zuid-Holland en Utrecht Leendert Brouwer 185-210 2001")</f>
        <v>0</v>
      </c>
    </row>
    <row r="139" spans="2:4">
      <c r="B139">
        <v>54</v>
      </c>
      <c r="C139" s="1">
        <f>hyperlink("https://hetutrechtsarchief.nl/collectie/36AF448450AD583EB32291E2CCF1E266","Opkomst en ondergang van kasteel Vreeland Juliette Jonker-Duynstee en Kees de Kruyter 20-25 2004")</f>
        <v>0</v>
      </c>
      <c r="D139" s="1">
        <f>hyperlink("http://dorpsraadvreeland.nl/documenten/Documenten%20Dorpsraad/Dorpsplan.pdf","Dorpsplan Vreeland samenstelling Dorpsraad Vreeland tekst Joost de Haan Juliette Jonker-Duynstee Juliette Dorpsraad Vreeland Haan Joost de Jonker-Duynstee 2010")</f>
        <v>0</v>
      </c>
    </row>
    <row r="140" spans="2:4">
      <c r="B140">
        <v>50</v>
      </c>
      <c r="C140" s="1">
        <f>hyperlink("https://hetutrechtsarchief.nl/collectie/62F68660979E5EBFA43319797ACBCFF1","De raadselen van de Franse Kamp een Gooise wandeling door de nationale herinnering Piet Leupen 211-220 2005")</f>
        <v>0</v>
      </c>
      <c r="D140" s="1">
        <f>hyperlink("http://dspace.library.uu.nl/handle/1874/11286","Urban governance and social cohesion case studies in two Dutch cities Ronald van Marissing Erik van Bolt Gideon Kempen 279-290 2006")</f>
        <v>0</v>
      </c>
    </row>
    <row r="141" spans="2:4">
      <c r="B141">
        <v>59</v>
      </c>
      <c r="C141" s="1">
        <f>hyperlink("https://hetutrechtsarchief.nl/collectie/78E1192AECAB5CB3A12DC5EA4A5EF223","De Joodse gemeenschap en Utrecht Martin van Schaik 4 2015")</f>
        <v>0</v>
      </c>
      <c r="D141" s="1">
        <f>hyperlink("http://dspace.library.uu.nl/handle/1874/12555","De aanleg van het Wilhelminapark e o in Utrecht Martijn Schackmann 2005")</f>
        <v>0</v>
      </c>
    </row>
    <row r="142" spans="2:4">
      <c r="B142">
        <v>80</v>
      </c>
      <c r="C142" s="1">
        <f>hyperlink("https://hetutrechtsarchief.nl/collectie/3D6EC6CA2238550EB17CC6C576DD676E","De integratie van Hongaarse vluchtelingen in Utrecht Marvin Kerkhoven 93-97 2013")</f>
        <v>0</v>
      </c>
      <c r="D142" s="1">
        <f>hyperlink("http://dspace.library.uu.nl/handle/1874/13883","De opvang van Hongaarse vluchtelingen in Utrecht 1956-1958 Marvin Kerkhoven 2006")</f>
        <v>0</v>
      </c>
    </row>
    <row r="143" spans="2:4">
      <c r="B143">
        <v>51</v>
      </c>
      <c r="C143" s="1">
        <f>hyperlink("https://hetutrechtsarchief.nl/collectie/F755D7F8CF91521DBDD27ED19F9C877A","Zuivering verkiezing en genoegdoening een onderzoek naar politiek gemotiveerd ontslag- en benoemingsbeleid ten aanzien van Utrechtse ambtenaren tijdens de Bataafse Revolutie R E de Bruin 82-116 ill 1983")</f>
        <v>0</v>
      </c>
      <c r="D143" s="1">
        <f>hyperlink("http://dspace.library.uu.nl/handle/1874/203067","Van reconstructie en sanering naar renovatie en nieuwbouw de totstandkoming van nieuwe woningbouwprojecten in de binnenstad van Utrecht ten tijde van de stadsvernieuwingen in de jaren 70 en 80 Ilse Keessen 2011")</f>
        <v>0</v>
      </c>
    </row>
    <row r="144" spans="2:4">
      <c r="B144">
        <v>53</v>
      </c>
      <c r="C144" s="1">
        <f>hyperlink("https://hetutrechtsarchief.nl/collectie/4E303121CE18588DB039A8C754ECE663","In het voetspoor van de Maatschappij tot Nut van het Algemeen een sociale tijdspanne in de Mijdrechtse geschiedenis Joop Frankenhuizen 46-49 2005")</f>
        <v>0</v>
      </c>
      <c r="D144" s="1">
        <f>hyperlink("http://dspace.library.uu.nl/handle/1874/203553","Het vermogen van Joost Taets van Amerongen 1649-1735 een casus binnen de adellijke en agrarische geschiedenis Marianne de Kruijf 2011")</f>
        <v>0</v>
      </c>
    </row>
    <row r="145" spans="2:4">
      <c r="B145">
        <v>100</v>
      </c>
      <c r="C145" s="1">
        <f>hyperlink("https://hetutrechtsarchief.nl/collectie/948D01511E915AE6A4F56D26FB7291A4","Dr J Hovy Leiden 1922-Achterveld 2008 R M Kemperink 6 -7 2009")</f>
        <v>0</v>
      </c>
      <c r="D145" s="1">
        <f>hyperlink("http://dspace.library.uu.nl/handle/1874/206264","Dr J Hovy Leiden 1922-Achterveld 2008 R M Kemperink 6 -7 2009")</f>
        <v>0</v>
      </c>
    </row>
    <row r="146" spans="2:4">
      <c r="B146">
        <v>85</v>
      </c>
      <c r="C146" s="1">
        <f>hyperlink("https://hetutrechtsarchief.nl/collectie/6112A18360665EE6ABA0AC3542C8870B","Bakmanschap pottenbakkers dakpannenbakkers en tabakspijpenmakers in Amersfoort Andr Clazing met medew van Sjoukje van der Linde 25-45 2009")</f>
        <v>0</v>
      </c>
      <c r="D146" s="1">
        <f>hyperlink("http://dspace.library.uu.nl/handle/1874/206265","Bakmanschap pottenbakkers dakpannenbakkers en tabakspijpenmakers in Amersfoort Sjoukje van der Clazing Andr Linde 24 -45 2009")</f>
        <v>0</v>
      </c>
    </row>
    <row r="147" spans="2:4">
      <c r="B147">
        <v>99</v>
      </c>
      <c r="C147" s="1">
        <f>hyperlink("https://hetutrechtsarchief.nl/collectie/320BBF9787C05CAD8379F99342846602","De bouwstenen van het boerenbolwerk landbouw en landbouworganisaties in Eemland 1850-1930 Ronald Rommes 47-69 2009")</f>
        <v>0</v>
      </c>
      <c r="D147" s="1">
        <f>hyperlink("http://dspace.library.uu.nl/handle/1874/206266","De bouwstenen van het boerenbolwerk landbouw en landbouworganisaties in Eemland 1850-1930 Ronald Rommes 46 -69 2009")</f>
        <v>0</v>
      </c>
    </row>
    <row r="148" spans="2:4">
      <c r="B148">
        <v>98</v>
      </c>
      <c r="C148" s="1">
        <f>hyperlink("https://hetutrechtsarchief.nl/collectie/FE7E9ED2B1BE58DC94C550CAD4687BFF","Het Culinair Museum een bijzonder recept met een bittere nasmaak Burchard G J Elias 71-83 2009")</f>
        <v>0</v>
      </c>
      <c r="D148" s="1">
        <f>hyperlink("http://dspace.library.uu.nl/handle/1874/206267","Het Culinair Museum een bijzonder recept met een bittere nasmaak Burchard G J Elias 70 -83 2009")</f>
        <v>0</v>
      </c>
    </row>
    <row r="149" spans="2:4">
      <c r="B149">
        <v>98</v>
      </c>
      <c r="C149" s="1">
        <f>hyperlink("https://hetutrechtsarchief.nl/collectie/736799AC80B6538193FFA2E7D1149E36","Adolphe van Weezel Errens 1866-1939 landschapschilder en etser Dolf van Weezel Errens 85-101 2009")</f>
        <v>0</v>
      </c>
      <c r="D149" s="1">
        <f>hyperlink("http://dspace.library.uu.nl/handle/1874/206268","Adolphe van Weezel Errens 1866-1939 landschapschilder en etser Dolf van Weezel Errens 84 -101 2009")</f>
        <v>0</v>
      </c>
    </row>
    <row r="150" spans="2:4">
      <c r="B150">
        <v>100</v>
      </c>
      <c r="C150" s="1">
        <f>hyperlink("https://hetutrechtsarchief.nl/collectie/A2CDAA33CC7A5797AABBDFE037E7CFBF","Gerrit Adriaans 1898-1971 een vergeten architect ontwerper en religieus socialist Anton Groot 103-123 2009")</f>
        <v>0</v>
      </c>
      <c r="D150" s="1">
        <f>hyperlink("http://dspace.library.uu.nl/handle/1874/206269","Gerrit Adriaans 1898-1971 een vergeten architect ontwerper en religieus socialist Anton Groot 103 -123 2009")</f>
        <v>0</v>
      </c>
    </row>
    <row r="151" spans="2:4">
      <c r="B151">
        <v>98</v>
      </c>
      <c r="C151" s="1">
        <f>hyperlink("https://hetutrechtsarchief.nl/collectie/7A8989A17B675643A175CCD14458D1B6","750 jaar Amersfoort naar aanleiding van een oorkonde Piet H D Leupen 9-23 2009")</f>
        <v>0</v>
      </c>
      <c r="D151" s="1">
        <f>hyperlink("http://dspace.library.uu.nl/handle/1874/206270","750 jaar Amersfoort naar aanleiding van een oorkonde Piet H D Leupen 8 -23 2009")</f>
        <v>0</v>
      </c>
    </row>
    <row r="152" spans="2:4">
      <c r="B152">
        <v>100</v>
      </c>
      <c r="C152" s="1">
        <f>hyperlink("https://hetutrechtsarchief.nl/collectie/B85F2D9910C05F7E8CF6677E7EBEC767","Van vetters en ploters leerlooiers in Amersfoort Andr Clazing 10-25 2010")</f>
        <v>0</v>
      </c>
      <c r="D152" s="1">
        <f>hyperlink("http://dspace.library.uu.nl/handle/1874/206271","Van vetters en ploters leerlooiers in Amersfoort Andr Clazing 10-25 2010")</f>
        <v>0</v>
      </c>
    </row>
    <row r="153" spans="2:4">
      <c r="B153">
        <v>100</v>
      </c>
      <c r="C153" s="1">
        <f>hyperlink("https://hetutrechtsarchief.nl/collectie/6AEF5E2D76E254D3941C81121DC96823","Boeren in de stad en waarom Amersfoort een tweede stadsmuur bouwde Francien Snieder 46-63 2010")</f>
        <v>0</v>
      </c>
      <c r="D153" s="1">
        <f>hyperlink("http://dspace.library.uu.nl/handle/1874/206272","Boeren in de stad en waarom Amersfoort een tweede stadsmuur bouwde Francien Snieder 46-63 2010")</f>
        <v>0</v>
      </c>
    </row>
    <row r="154" spans="2:4">
      <c r="B154">
        <v>100</v>
      </c>
      <c r="C154" s="1">
        <f>hyperlink("https://hetutrechtsarchief.nl/collectie/C0AEAD935CDA5A9CADA5EC32D6D9478F","Degelijkheid voorop de gereformeerde kerkbladen van Amersfoort 1917-2000 Gerard Raven 64-87 2010")</f>
        <v>0</v>
      </c>
      <c r="D154" s="1">
        <f>hyperlink("http://dspace.library.uu.nl/handle/1874/206273","Degelijkheid voorop de gereformeerde kerkbladen van Amersfoort 1917-2000 Gerard Raven 64-87 2010")</f>
        <v>0</v>
      </c>
    </row>
    <row r="155" spans="2:4">
      <c r="B155">
        <v>100</v>
      </c>
      <c r="C155" s="1">
        <f>hyperlink("https://hetutrechtsarchief.nl/collectie/FC8A3968EC2953A08B23365A120F0155","Naar een moderne City 30 jaar binnenstadsvernieuwing in Amersfoort 1945-1975 Johan Teters 88-117 2010")</f>
        <v>0</v>
      </c>
      <c r="D155" s="1">
        <f>hyperlink("http://dspace.library.uu.nl/handle/1874/206274","Naar een moderne City 30 jaar binnenstadsvernieuwing in Amersfoort 1945-1975 Johan Teters 88-117 2010")</f>
        <v>0</v>
      </c>
    </row>
    <row r="156" spans="2:4">
      <c r="B156">
        <v>100</v>
      </c>
      <c r="C156" s="1">
        <f>hyperlink("https://hetutrechtsarchief.nl/collectie/20AC71C4E082555A8041B9A7317097DB","In memoriam W J van Hoorn 1922-2009 Burchard Elias 6-7 2010")</f>
        <v>0</v>
      </c>
      <c r="D156" s="1">
        <f>hyperlink("http://dspace.library.uu.nl/handle/1874/206275","In memoriam W J van Hoorn 1922-2009 Burchard Elias 6-7 2010")</f>
        <v>0</v>
      </c>
    </row>
    <row r="157" spans="2:4">
      <c r="B157">
        <v>100</v>
      </c>
      <c r="C157" s="1">
        <f>hyperlink("https://hetutrechtsarchief.nl/collectie/DF895B8DF93050BC9E99A2299BD4DF58","In memoriam mevrouw M W Heijenga-Klomp 1922-2010 Burchard Elias 8-9 2010")</f>
        <v>0</v>
      </c>
      <c r="D157" s="1">
        <f>hyperlink("http://dspace.library.uu.nl/handle/1874/206276","In memoriam mevrouw M W Heijenga-Klomp 1922-2010 Burchard Elias 8-9 2010")</f>
        <v>0</v>
      </c>
    </row>
    <row r="158" spans="2:4">
      <c r="B158">
        <v>99</v>
      </c>
      <c r="C158" s="1">
        <f>hyperlink("https://hetutrechtsarchief.nl/collectie/6B800F67E95051E698594F97A69A2233","Valkhoff een Amersfoortse uitgeverij van jeugdboeken Henk van der Lee 26--45 2010")</f>
        <v>0</v>
      </c>
      <c r="D158" s="1">
        <f>hyperlink("http://dspace.library.uu.nl/handle/1874/206277","Valkhoff een Amersfoortse uitgeverij van jeugdboeken Henk van der Lee 26-45 2010")</f>
        <v>0</v>
      </c>
    </row>
    <row r="159" spans="2:4">
      <c r="B159">
        <v>51</v>
      </c>
      <c r="C159" s="1">
        <f>hyperlink("https://hetutrechtsarchief.nl/collectie/C507D0F5F6A97F59E0538F04000AAA0F","Een korte geschiedenis van de hofstede Rijnsoever aan de Zandweg 72 in De Meern Door Veronique Voorn-Verkleij 44-45 2021")</f>
        <v>0</v>
      </c>
      <c r="D159" s="1">
        <f>hyperlink("http://dspace.library.uu.nl/handle/1874/206473","Heemtydingen orgaan voor de streekgeschiedenis van het Stichts-Hollandse grensgebied uitgaande van de Historische Vereniging Woerden en Omstreken Historische Vereniging Woerden en Omstreken 1965-")</f>
        <v>0</v>
      </c>
    </row>
    <row r="160" spans="2:4">
      <c r="B160">
        <v>57</v>
      </c>
      <c r="C160" s="1">
        <f>hyperlink("https://hetutrechtsarchief.nl/collectie/65C9A00C9902F0F9E0534701000AB66E","Prehistorisch tafelen in Utrecht Linda Dielemans 9-14 2017")</f>
        <v>0</v>
      </c>
      <c r="D160" s="1">
        <f>hyperlink("http://dspace.library.uu.nl/handle/1874/206474","Historische Kring Eemnes Historische Kring Eemnes 1979-")</f>
        <v>0</v>
      </c>
    </row>
    <row r="161" spans="2:4">
      <c r="B161">
        <v>53</v>
      </c>
      <c r="C161" s="1">
        <f>hyperlink("https://hetutrechtsarchief.nl/collectie/4AF99A3F66305FF3B4217A3B76995A0E","Van Willibrord tot wereldraad tentoonstelling over religieuze geschiedenis van Utrecht H L M Defoer 1-3 ill 1972")</f>
        <v>0</v>
      </c>
      <c r="D161" s="1">
        <f>hyperlink("http://dspace.library.uu.nl/handle/1874/206475","Maandblad van Oud-Utrecht Vereeniging tot Beoefening en tot Verspreiding van de Kennis der Geschiedenis van Utrecht en Omstreken Oud-Utrecht 1926-1969")</f>
        <v>0</v>
      </c>
    </row>
    <row r="162" spans="2:4">
      <c r="B162">
        <v>62</v>
      </c>
      <c r="C162" s="1">
        <f>hyperlink("https://hetutrechtsarchief.nl/collectie/D4FD971BF96F9386E0538F04000A4529","De prehistorie van de Historische Vereniging Maartensdijk Frank Klok 3-5 2021")</f>
        <v>0</v>
      </c>
      <c r="D162" s="1">
        <f>hyperlink("http://dspace.library.uu.nl/handle/1874/206476","St Maerten tijdschrift van de Historische Vereniging Maartensdijk Historische Vereniging Maartensdijk 1988-")</f>
        <v>0</v>
      </c>
    </row>
    <row r="163" spans="2:4">
      <c r="B163">
        <v>62</v>
      </c>
      <c r="C163" s="1">
        <f>hyperlink("https://hetutrechtsarchief.nl/collectie/AC99A51DD014F2B0E0534701000AECF4","Oud voorzitter van de historische vereniging Soest Pieter van Doorn Cecilia Oranje 15-18 2020")</f>
        <v>0</v>
      </c>
      <c r="D163" s="1">
        <f>hyperlink("http://dspace.library.uu.nl/handle/1874/206477","Van Zoys tot Soest tijdschrift van de Historische Vereniging Soest Historische Vereniging Soest 1980-")</f>
        <v>0</v>
      </c>
    </row>
    <row r="164" spans="2:4">
      <c r="B164">
        <v>52</v>
      </c>
      <c r="C164" s="1">
        <f>hyperlink("https://hetutrechtsarchief.nl/collectie/4FF4B81C320B5E439BD876EE3D3848B2","Heerschappij en ontginning in Woudenberg in de Middeleeuwen C Dekker 123 -166 2003")</f>
        <v>0</v>
      </c>
      <c r="D164" s="1">
        <f>hyperlink("http://dspace.library.uu.nl/handle/1874/206478","Mededelingenblad Stichting Oud Woudenberg Stichting Oud Woudenberg 1982-2002")</f>
        <v>0</v>
      </c>
    </row>
    <row r="165" spans="2:4">
      <c r="B165">
        <v>61</v>
      </c>
      <c r="C165" s="1">
        <f>hyperlink("https://hetutrechtsarchief.nl/collectie/E2B129BC8C1753E48A2F650EB52C9F6C","Eene bijdrage tot de geschiedenis van de Blauwkapel C A de Kruyff 223 -245 1891")</f>
        <v>0</v>
      </c>
      <c r="D165" s="1">
        <f>hyperlink("http://dspace.library.uu.nl/handle/1874/206479","De Klapperman bijdragen tot de geschiedenis van Woudenberg Stichting Oud Woudenberg 1983-")</f>
        <v>0</v>
      </c>
    </row>
    <row r="166" spans="2:4">
      <c r="B166">
        <v>72</v>
      </c>
      <c r="C166" s="1">
        <f>hyperlink("https://hetutrechtsarchief.nl/collectie/299C22ECFDFB59B59682A19A6B5B8CE6","De Stichting Het Utrechtsch Monumentenfonds A N L Otten 81-84 1947")</f>
        <v>0</v>
      </c>
      <c r="D166" s="1">
        <f>hyperlink("http://dspace.library.uu.nl/handle/1874/206480","Steen-goed Stichting Het Utrechts Monumentenfonds 1988-")</f>
        <v>0</v>
      </c>
    </row>
    <row r="167" spans="2:4">
      <c r="B167">
        <v>95</v>
      </c>
      <c r="C167" s="1">
        <f>hyperlink("https://hetutrechtsarchief.nl/collectie/A9752C7CE68256DBBE5573B7DF1D3612","Engelse mode voor heren van stand firma H F Jurritsma Donkere Gaard 11-11bis tekst Gerrit Jan van Ingen 3-41 2008")</f>
        <v>0</v>
      </c>
      <c r="D167" s="1">
        <f>hyperlink("http://dspace.library.uu.nl/handle/1874/206481","Engelse mode voor heren van stand firma H F Jurritsma Donkere Gaard 11-11bis Gerrit Jan van Ingen 2008")</f>
        <v>0</v>
      </c>
    </row>
    <row r="168" spans="2:4">
      <c r="B168">
        <v>83</v>
      </c>
      <c r="C168" s="1">
        <f>hyperlink("https://hetutrechtsarchief.nl/collectie/8BE795E3A4755664943D4C817295DF52","De Sluetel een huijsinge wesende twee woningen tekst Simon den Daas 3-53 2008")</f>
        <v>0</v>
      </c>
      <c r="D168" s="1">
        <f>hyperlink("http://dspace.library.uu.nl/handle/1874/206482","De Sluetel een huijsinge wesende twee woningen Nieuwe Gracht 38 en 40 Simon den Daas 2008")</f>
        <v>0</v>
      </c>
    </row>
    <row r="169" spans="2:4">
      <c r="B169">
        <v>57</v>
      </c>
      <c r="C169" s="1">
        <f>hyperlink("https://hetutrechtsarchief.nl/collectie/7B88315D099C53F88BB4B2C7D1EE2A74","Monument Oost-Indi n Utrechtseweg 301 te De Bilt onder red van Historische Kring d Oude School 134-136 2007")</f>
        <v>0</v>
      </c>
      <c r="D169" s="1">
        <f>hyperlink("http://dspace.library.uu.nl/handle/1874/206483","De Biltse Grift tijdschrift van Historische Kring d Oude School Historische Kring d Oude School 1992-")</f>
        <v>0</v>
      </c>
    </row>
    <row r="170" spans="2:4">
      <c r="B170">
        <v>52</v>
      </c>
      <c r="C170" s="1">
        <f>hyperlink("https://hetutrechtsarchief.nl/collectie/D4FD971BF96F9386E0538F04000A4529","De prehistorie van de Historische Vereniging Maartensdijk Frank Klok 3-5 2021")</f>
        <v>0</v>
      </c>
      <c r="D170" s="1">
        <f>hyperlink("http://dspace.library.uu.nl/handle/1874/206484","In het land van Brederode historisch tijdschrift voor het Land van Vianen Historische Vereniging Het Land van Brederode 1975-")</f>
        <v>0</v>
      </c>
    </row>
    <row r="171" spans="2:4">
      <c r="B171">
        <v>55</v>
      </c>
      <c r="C171" s="1">
        <f>hyperlink("https://hetutrechtsarchief.nl/collectie/63CEE14336E352998F1C57F9E24AE281","Proloog en start van de Historische Kring Breukelen Arie A Manten 40-44 2011")</f>
        <v>0</v>
      </c>
      <c r="D171" s="1">
        <f>hyperlink("http://dspace.library.uu.nl/handle/1874/206485","Tijdschrift Historische Kring Breukelen Historische Kring Breukelen 1986-")</f>
        <v>0</v>
      </c>
    </row>
    <row r="172" spans="2:4">
      <c r="B172">
        <v>63</v>
      </c>
      <c r="C172" s="1">
        <f>hyperlink("https://hetutrechtsarchief.nl/collectie/980B608CACEE5E108F961D9CE58DE619","Erfpacht Vereniging Rijnsweerd Utrecht 1-6 1987")</f>
        <v>0</v>
      </c>
      <c r="D172" s="1">
        <f>hyperlink("http://dspace.library.uu.nl/handle/1874/206486","Jaarboek Oud Utrecht Vereniging Oud Utrecht 1970-")</f>
        <v>0</v>
      </c>
    </row>
    <row r="173" spans="2:4">
      <c r="B173">
        <v>56</v>
      </c>
      <c r="C173" s="1">
        <f>hyperlink("https://hetutrechtsarchief.nl/collectie/C6E825EEDC3D5088A4284A49FF691F1F","Amersfoorts luisterrijk stadsherstel - de J 100-103")</f>
        <v>0</v>
      </c>
      <c r="D173" s="1">
        <f>hyperlink("http://dspace.library.uu.nl/handle/1874/206698","De Amersfoortse Plooierij oproer te Amersfoort 1703 Roeland de Knijf 2011")</f>
        <v>0</v>
      </c>
    </row>
    <row r="174" spans="2:4">
      <c r="B174">
        <v>81</v>
      </c>
      <c r="C174" s="1">
        <f>hyperlink("https://hetutrechtsarchief.nl/collectie/8884B5B150B9539FE0534701000A0652","Van vlooientheater tot Grand Theatre de bioscoopexploitatie in Amersfoort 1912-1937 Michelle Meuffels 6-27 2018")</f>
        <v>0</v>
      </c>
      <c r="D174" s="1">
        <f>hyperlink("http://dspace.library.uu.nl/handle/1874/209614","Van vlooientheater tot Grand Theatre J Jogchem en de bioscoopexploitatie in Amersfoort in de jaren dertig Michelle Meuffels 2011")</f>
        <v>0</v>
      </c>
    </row>
    <row r="175" spans="2:4">
      <c r="B175">
        <v>54</v>
      </c>
      <c r="C175" s="1">
        <f>hyperlink("https://hetutrechtsarchief.nl/collectie/B5814E1757075780B90D5795D34CBA5A","Zorg voor het hier en het hiernamaals de functie van memorietafels in het aarts bisdom Utrecht in de Middeleeuwen Truus van Bueren 153-191 1998")</f>
        <v>0</v>
      </c>
      <c r="D175" s="1">
        <f>hyperlink("http://dspace.library.uu.nl/handle/1874/210004","Gerardus Wilhelmus van Heukelum en zijn invloed op de herleving van de gotiek in het aartsbisdom Utrecht Annemijn van Leusden 2011")</f>
        <v>0</v>
      </c>
    </row>
    <row r="176" spans="2:4">
      <c r="B176">
        <v>65</v>
      </c>
      <c r="C176" s="1">
        <f>hyperlink("https://hetutrechtsarchief.nl/collectie/78DE88E512E15E24B2CA0F7EAA7BEBDC","Uit het verleden van Soest J van Galen 90-92 1958")</f>
        <v>0</v>
      </c>
      <c r="D176" s="1">
        <f>hyperlink("http://dspace.library.uu.nl/handle/1874/210125","Uit de verzameling van de stichting de trom A van Gent 90-91 1986")</f>
        <v>0</v>
      </c>
    </row>
    <row r="177" spans="2:4">
      <c r="B177">
        <v>51</v>
      </c>
      <c r="C177" s="1">
        <f>hyperlink("https://hetutrechtsarchief.nl/collectie/7DDE22E553825D8BA2A5BB6102883156","Wakkerendijk 36 een onderzoek naar de woning eigenaars en bewoners Evert van Andel 116-124 2005")</f>
        <v>0</v>
      </c>
      <c r="D177" s="1">
        <f>hyperlink("http://dspace.library.uu.nl/handle/1874/210126","Allen landbouwers en daggelders een onderzoek naar de bevolking van Woudenberg haar middelen van bestaan en levensomstandigheden plm 1812-1825 J J Timmer 92-101 1986")</f>
        <v>0</v>
      </c>
    </row>
    <row r="178" spans="2:4">
      <c r="B178">
        <v>81</v>
      </c>
      <c r="C178" s="1">
        <f>hyperlink("https://hetutrechtsarchief.nl/collectie/2E095F5001815727B1A5E3D8D03D0CB8","100 jaar Harmoniegezelschap Fidelio 1895-1995 379-443 1998")</f>
        <v>0</v>
      </c>
      <c r="D178" s="1">
        <f>hyperlink("http://dspace.library.uu.nl/handle/1874/210127","100 jaar Harmoniegezelschap Fidelio 1895-1995 G D Fitski T H Marringa 378-443 1998")</f>
        <v>0</v>
      </c>
    </row>
    <row r="179" spans="2:4">
      <c r="B179">
        <v>50</v>
      </c>
      <c r="C179" s="1">
        <f>hyperlink("https://hetutrechtsarchief.nl/collectie/F5408E83CA1D5224829E4056E7C31829","Korte geschiedenis van de oudste familie Van den Berg in Eemnes Henk van Hees 219-242 1999")</f>
        <v>0</v>
      </c>
      <c r="D179" s="1">
        <f>hyperlink("http://dspace.library.uu.nl/handle/1874/210128","Uit de geschiedenis van de Roomboterfabriek De Vooruitgang te Woudenberg 1897-1986 G D Halem W van Marringa 109-152 jg 4 1988 p 153-191 jg 5 1989 p 192-234 1987-1989")</f>
        <v>0</v>
      </c>
    </row>
    <row r="180" spans="2:4">
      <c r="B180">
        <v>53</v>
      </c>
      <c r="C180" s="1">
        <f>hyperlink("https://hetutrechtsarchief.nl/collectie/D054FF6EFF285B5EBD2CA987860D074D","De klokken van den Utrechtschen Dom B A J van der Hegge Zijnen 25-49 1925")</f>
        <v>0</v>
      </c>
      <c r="D180" s="1">
        <f>hyperlink("http://dspace.library.uu.nl/handle/1874/210129","Woudenberg beschreven door A J van der Aa bewerkt door H Schouten H Aa A J van der Schouten 236-249 1993")</f>
        <v>0</v>
      </c>
    </row>
    <row r="181" spans="2:4">
      <c r="B181">
        <v>60</v>
      </c>
      <c r="C181" s="1">
        <f>hyperlink("https://hetutrechtsarchief.nl/collectie/EF4559939C8D5496A3303836E87DF686","Inventaris van de oude archieven van den burgerlijken stand in Utrecht 734-759 1901")</f>
        <v>0</v>
      </c>
      <c r="D181" s="1">
        <f>hyperlink("http://dspace.library.uu.nl/handle/1874/210130","De inventarisatie van de archieven van de gerechten Woudenberg en Geerestein in 1891 A F M Reichgelt 250-260 1993")</f>
        <v>0</v>
      </c>
    </row>
    <row r="182" spans="2:4">
      <c r="B182">
        <v>58</v>
      </c>
      <c r="C182" s="1">
        <f>hyperlink("https://hetutrechtsarchief.nl/collectie/9F541E6D790E155EE0534701000AEBB9","Paepsche stoutigheden Herman Eijgelshoven 6-13 2020")</f>
        <v>0</v>
      </c>
      <c r="D182" s="1">
        <f>hyperlink("http://dspace.library.uu.nl/handle/1874/210131","Paepsche stoutigheden op Voskuyl en Gerestein H M van Woudenberg 261-273 1993")</f>
        <v>0</v>
      </c>
    </row>
    <row r="183" spans="2:4">
      <c r="B183">
        <v>57</v>
      </c>
      <c r="C183" s="1">
        <f>hyperlink("https://hetutrechtsarchief.nl/collectie/99C40C1A4D3957F5AE6DF255C6D13E60","Demping Oudegracht W L van Nieuwenhuysen 3 1970")</f>
        <v>0</v>
      </c>
      <c r="D183" s="1">
        <f>hyperlink("http://dspace.library.uu.nl/handle/1874/210132","Het goed Egdom W H M Nieuwenhuis 276-325 1994")</f>
        <v>0</v>
      </c>
    </row>
    <row r="184" spans="2:4">
      <c r="B184">
        <v>53</v>
      </c>
      <c r="C184" s="1">
        <f>hyperlink("https://hetutrechtsarchief.nl/collectie/2E095F5001815727B1A5E3D8D03D0CB8","100 jaar Harmoniegezelschap Fidelio 1895-1995 379-443 1998")</f>
        <v>0</v>
      </c>
      <c r="D184" s="1">
        <f>hyperlink("http://dspace.library.uu.nl/handle/1874/210133","100 jaar bakkerij Beszelsen Schimmel G D Marringa 326-375 1995")</f>
        <v>0</v>
      </c>
    </row>
    <row r="185" spans="2:4">
      <c r="B185">
        <v>58</v>
      </c>
      <c r="C185" s="1">
        <f>hyperlink("https://hetutrechtsarchief.nl/collectie/EC3D25E76ADE551B962C1A507996B156","Mijn vader was een kunstenaar Auke Hoekstra 64-67 2003")</f>
        <v>0</v>
      </c>
      <c r="D185" s="1">
        <f>hyperlink("http://dspace.library.uu.nl/handle/1874/210134","Mijn grootvader was eerste molenaar van Groenekan W Hoebink 17 1988")</f>
        <v>0</v>
      </c>
    </row>
    <row r="186" spans="2:4">
      <c r="B186">
        <v>67</v>
      </c>
      <c r="C186" s="1">
        <f>hyperlink("https://hetutrechtsarchief.nl/collectie/9682D3C626EB05F7E0534701000AA00A","Bevrijding Maartensdijk Koos Kolenbrander 11-12 2010")</f>
        <v>0</v>
      </c>
      <c r="D186" s="1">
        <f>hyperlink("http://dspace.library.uu.nl/handle/1874/210158","Maartensdijkse klederdracht Koos Kolenbrander 10-13 1991")</f>
        <v>0</v>
      </c>
    </row>
    <row r="187" spans="2:4">
      <c r="B187">
        <v>62</v>
      </c>
      <c r="C187" s="1">
        <f>hyperlink("https://hetutrechtsarchief.nl/collectie/95A547B52D540455E0534701000A8F9D","Nederland Maartensdijk en de gereformeerden Anne Doedens 2-7 2008")</f>
        <v>0</v>
      </c>
      <c r="D187" s="1">
        <f>hyperlink("http://dspace.library.uu.nl/handle/1874/210159","De dorpen van Maartensdijk op oude kaarten A Doedens 21-22 1991")</f>
        <v>0</v>
      </c>
    </row>
    <row r="188" spans="2:4">
      <c r="B188">
        <v>57</v>
      </c>
      <c r="C188" s="1">
        <f>hyperlink("https://hetutrechtsarchief.nl/collectie/92BD696922078958E0534701000ABF87","Teus van Rheenen Dick van de Kamp 94-95 2019")</f>
        <v>0</v>
      </c>
      <c r="D188" s="1">
        <f>hyperlink("http://dspace.library.uu.nl/handle/1874/210160","Klokken van Maartensdijk N Adema 14-20 1991")</f>
        <v>0</v>
      </c>
    </row>
    <row r="189" spans="2:4">
      <c r="B189">
        <v>69</v>
      </c>
      <c r="C189" s="1">
        <f>hyperlink("https://hetutrechtsarchief.nl/collectie/9682D3C626EB05F7E0534701000AA00A","Bevrijding Maartensdijk Koos Kolenbrander 11-12 2010")</f>
        <v>0</v>
      </c>
      <c r="D189" s="1">
        <f>hyperlink("http://dspace.library.uu.nl/handle/1874/210161","Tuinbouw in de gemeente Maartensdijk Koos Kolenbrander 7-13 1991")</f>
        <v>0</v>
      </c>
    </row>
    <row r="190" spans="2:4">
      <c r="B190">
        <v>52</v>
      </c>
      <c r="C190" s="1">
        <f>hyperlink("https://hetutrechtsarchief.nl/collectie/5E64351F5743525FBF8AD3ACEC0FBAED","Jacobus Taurinus en de Utrechtsche kerk in het begin der 17e eeuw 105 -264 1889")</f>
        <v>0</v>
      </c>
      <c r="D190" s="1">
        <f>hyperlink("http://dspace.library.uu.nl/handle/1874/210162","Jacob Melissen beurtschipper W Hoebink 3-6 1991")</f>
        <v>0</v>
      </c>
    </row>
    <row r="191" spans="2:4">
      <c r="B191">
        <v>60</v>
      </c>
      <c r="C191" s="1">
        <f>hyperlink("https://hetutrechtsarchief.nl/collectie/6F26CE78B7E15DB8B755CF82071B0CC4","De plek de heks van Oostbroek E A Kamp 36 ill 1997")</f>
        <v>0</v>
      </c>
      <c r="D191" s="1">
        <f>hyperlink("http://dspace.library.uu.nl/handle/1874/210163","De klokken van Westbroek N Adema 19-22 1990")</f>
        <v>0</v>
      </c>
    </row>
    <row r="192" spans="2:4">
      <c r="B192">
        <v>69</v>
      </c>
      <c r="C192" s="1">
        <f>hyperlink("https://hetutrechtsarchief.nl/collectie/2DB582EF0579567F994C088EE56A7AFC","Utrechts fortengordel en de Nieuwe Hollandse Waterlinie G Koppert 1-2 ill 1980")</f>
        <v>0</v>
      </c>
      <c r="D192" s="1">
        <f>hyperlink("http://dspace.library.uu.nl/handle/1874/210164","Fort Voordorp als onderdeel van de Nieuwe Hollandse Waterlinie D Koen 3-10 1990")</f>
        <v>0</v>
      </c>
    </row>
    <row r="193" spans="2:4">
      <c r="B193">
        <v>58</v>
      </c>
      <c r="C193" s="1">
        <f>hyperlink("https://hetutrechtsarchief.nl/collectie/9EC56FF446A757C2BBD07D93D3448465","Het archief van het kasteel De Haar te Haarzuilens A J van de Ven 4-5 1960")</f>
        <v>0</v>
      </c>
      <c r="D193" s="1">
        <f>hyperlink("http://dspace.library.uu.nl/handle/1874/210165","Het archief of hoe het in de papieren liep N Adema 14 1990")</f>
        <v>0</v>
      </c>
    </row>
    <row r="194" spans="2:4">
      <c r="B194">
        <v>58</v>
      </c>
      <c r="C194" s="1">
        <f>hyperlink("https://hetutrechtsarchief.nl/collectie/91038779566EEB9FE0534701000AB972","De komst van het licht in Maartensdijk W Hoebink 18-35 2001")</f>
        <v>0</v>
      </c>
      <c r="D194" s="1">
        <f>hyperlink("http://dspace.library.uu.nl/handle/1874/210166","De Exodus van twee dorpen W Hoebink 3-13 1990")</f>
        <v>0</v>
      </c>
    </row>
    <row r="195" spans="2:4">
      <c r="B195">
        <v>55</v>
      </c>
      <c r="C195" s="1">
        <f>hyperlink("https://hetutrechtsarchief.nl/collectie/C83FD76E37E853719A4F80D771BA373A","Willem van Leusden 40 jaar geleden overleden Arie de Zwart 89-91 2014")</f>
        <v>0</v>
      </c>
      <c r="D195" s="1">
        <f>hyperlink("http://dspace.library.uu.nl/handle/1874/210167","De tol in Westbroek vijftig jaar geleden opgeheven L de Raadt 13-18 1989")</f>
        <v>0</v>
      </c>
    </row>
    <row r="196" spans="2:4">
      <c r="B196">
        <v>54</v>
      </c>
      <c r="C196" s="1">
        <f>hyperlink("https://hetutrechtsarchief.nl/collectie/F6FA4096350F56E389162CD1BDAB9C88","Sint Maartenskermis Wim van Noort 29 ill 1997")</f>
        <v>0</v>
      </c>
      <c r="D196" s="1">
        <f>hyperlink("http://dspace.library.uu.nl/handle/1874/210168","Spoorlijn door Maartensdijk enig in haar soort Joost Middelhoff 15-17 1989")</f>
        <v>0</v>
      </c>
    </row>
    <row r="197" spans="2:4">
      <c r="B197">
        <v>55</v>
      </c>
      <c r="C197" s="1">
        <f>hyperlink("https://hetutrechtsarchief.nl/collectie/7EDDABAD8F245E3192E8AE6A3440864A","Iets meer ongelukken in 1981 8 - 12 1982")</f>
        <v>0</v>
      </c>
      <c r="D197" s="1">
        <f>hyperlink("http://dspace.library.uu.nl/handle/1874/210169","Groot gevaar voor schromelijke ongelukken Leo Fijen 11-15 1989")</f>
        <v>0</v>
      </c>
    </row>
    <row r="198" spans="2:4">
      <c r="B198">
        <v>56</v>
      </c>
      <c r="C198" s="1">
        <f>hyperlink("https://hetutrechtsarchief.nl/collectie/64FB2015F52E581394020E51218B1A1C","Renswoude zelfstandig E J Wolleswinkel 3-4 1998")</f>
        <v>0</v>
      </c>
      <c r="D198" s="1">
        <f>hyperlink("http://dspace.library.uu.nl/handle/1874/210170","Maartensdijk twee-sporenland Wim Hoebink 3-4 1989")</f>
        <v>0</v>
      </c>
    </row>
    <row r="199" spans="2:4">
      <c r="B199">
        <v>61</v>
      </c>
      <c r="C199" s="1">
        <f>hyperlink("https://hetutrechtsarchief.nl/collectie/9141CC53B29226B7E0534701000AF890","Iets over de geschiedenis van Huis te Veen en omgeving Louis van den Brink 6-17 2002")</f>
        <v>0</v>
      </c>
      <c r="D199" s="1">
        <f>hyperlink("http://dspace.library.uu.nl/handle/1874/210171","Over vergeten namen van hofsteden wegen en landerijen in Groenekan Louis van den Brink 3-23 1994")</f>
        <v>0</v>
      </c>
    </row>
    <row r="200" spans="2:4">
      <c r="B200">
        <v>57</v>
      </c>
      <c r="C200" s="1">
        <f>hyperlink("https://hetutrechtsarchief.nl/collectie/04731BB155005D70BBFF868012614EC4","De eerste omloop van den Domtoren in de XIVe en XVIe eeuw Th Haakma Wagenaar 58-84 ill 1934")</f>
        <v>0</v>
      </c>
      <c r="D200" s="1">
        <f>hyperlink("http://dspace.library.uu.nl/handle/1874/210172","De schilderingen op de toren van de kerk in Westbroek onderbouw constructie schip W Haakma Wagenaar 1994")</f>
        <v>0</v>
      </c>
    </row>
    <row r="201" spans="2:4">
      <c r="B201">
        <v>58</v>
      </c>
      <c r="C201" s="1">
        <f>hyperlink("https://hetutrechtsarchief.nl/collectie/44BB991FEDFE5839B91569337818AC0C","De bevrijding van Renswoude Jan de Vries 6-12 2015")</f>
        <v>0</v>
      </c>
      <c r="D201" s="1">
        <f>hyperlink("http://dspace.library.uu.nl/handle/1874/210173","De trieste bevrijding van Westbroek Henk van Raadt Leen de Zijtveld 3-15 1995")</f>
        <v>0</v>
      </c>
    </row>
    <row r="202" spans="2:4">
      <c r="B202">
        <v>63</v>
      </c>
      <c r="C202" s="1">
        <f>hyperlink("https://hetutrechtsarchief.nl/collectie/9682D3C626EE05F7E0534701000AA00A","De Bosbergschool in Hollandsche Rading Annemarie Laker en Koos Kolenbrander 21-24 2010")</f>
        <v>0</v>
      </c>
      <c r="D202" s="1">
        <f>hyperlink("http://dspace.library.uu.nl/handle/1874/210174","Het Noodziekenhuis aan Oost 50 in Hollandsche Rading Koos Kolenbrander 16-22 1995")</f>
        <v>0</v>
      </c>
    </row>
    <row r="203" spans="2:4">
      <c r="B203">
        <v>58</v>
      </c>
      <c r="C203" s="1">
        <f>hyperlink("https://hetutrechtsarchief.nl/collectie/95681CC35A9B1CF4E0534701000A06F2","Groenekan en het zand voor de A27 Wim Hoebink 28-34 2005")</f>
        <v>0</v>
      </c>
      <c r="D203" s="1">
        <f>hyperlink("http://dspace.library.uu.nl/handle/1874/210175","De crash in Groenekan laatste vlucht van de B-17G 42-102485 Wim Hoebink 23-35 1995")</f>
        <v>0</v>
      </c>
    </row>
    <row r="204" spans="2:4">
      <c r="B204">
        <v>60</v>
      </c>
      <c r="C204" s="1">
        <f>hyperlink("https://hetutrechtsarchief.nl/collectie/9682D3C626EB05F7E0534701000AA00A","Bevrijding Maartensdijk Koos Kolenbrander 11-12 2010")</f>
        <v>0</v>
      </c>
      <c r="D204" s="1">
        <f>hyperlink("http://dspace.library.uu.nl/handle/1874/210176","Maartensdijk bevrijd 1945 K Kolenbrander 36-37 1995")</f>
        <v>0</v>
      </c>
    </row>
    <row r="205" spans="2:4">
      <c r="B205">
        <v>61</v>
      </c>
      <c r="C205" s="1">
        <f>hyperlink("https://hetutrechtsarchief.nl/collectie/39B5BC6558CA5D348B340AB5274C2C8F","De Groene Waterman - Kees 4-5 1985")</f>
        <v>0</v>
      </c>
      <c r="D205" s="1">
        <f>hyperlink("http://dspace.library.uu.nl/handle/1874/210177","De herberg De Groene Can D T Koen 3-7 1995")</f>
        <v>0</v>
      </c>
    </row>
    <row r="206" spans="2:4">
      <c r="B206">
        <v>58</v>
      </c>
      <c r="C206" s="1">
        <f>hyperlink("https://hetutrechtsarchief.nl/collectie/34A34DB95FE650D09E3DABA06A0A511A","Inkwartiering tijdens de Bataafse Republiek Marga Jacobs-de Ligter 20-22 2003")</f>
        <v>0</v>
      </c>
      <c r="D206" s="1">
        <f>hyperlink("http://dspace.library.uu.nl/handle/1874/210178","Westbroek tijdens de Bataafse Republiek 1795-1806 M L de Raadt-Nolst Trenit 8-16 1995")</f>
        <v>0</v>
      </c>
    </row>
    <row r="207" spans="2:4">
      <c r="B207">
        <v>59</v>
      </c>
      <c r="C207" s="1">
        <f>hyperlink("https://hetutrechtsarchief.nl/collectie/17E9DBDE132E5CCD976D618B118975ED","De Bilt gem Maartensdijk Kees Floor 54-60 2017")</f>
        <v>0</v>
      </c>
      <c r="D207" s="1">
        <f>hyperlink("http://dspace.library.uu.nl/handle/1874/210179","De bibliotheek in Maartensdijk Jettie Verwer 17-21 1995")</f>
        <v>0</v>
      </c>
    </row>
    <row r="208" spans="2:4">
      <c r="B208">
        <v>56</v>
      </c>
      <c r="C208" s="1">
        <f>hyperlink("https://hetutrechtsarchief.nl/collectie/3E8029DC7C555622AB146858CF63BE0A","Een dom ding Jippe Hoekstra 24-25 ill 1995")</f>
        <v>0</v>
      </c>
      <c r="D208" s="1">
        <f>hyperlink("http://dspace.library.uu.nl/handle/1874/210180","Visser om den brode W Hoebink 22-30 1995")</f>
        <v>0</v>
      </c>
    </row>
    <row r="209" spans="2:4">
      <c r="B209">
        <v>60</v>
      </c>
      <c r="C209" s="1">
        <f>hyperlink("https://hetutrechtsarchief.nl/collectie/910F2A1116515B2890FD3DD240E82116","De oude archieven van de gemeente Harmelen K Heeringa 299-325 1922")</f>
        <v>0</v>
      </c>
      <c r="D209" s="1">
        <f>hyperlink("http://dspace.library.uu.nl/handle/1874/210181","Oude kaarten en prenten uit de gemeente Maartensdijk D T Koen 2-23 1992")</f>
        <v>0</v>
      </c>
    </row>
    <row r="210" spans="2:4">
      <c r="B210">
        <v>63</v>
      </c>
      <c r="C210" s="1">
        <f>hyperlink("https://hetutrechtsarchief.nl/collectie/95681CC35A9B1CF4E0534701000A06F2","Groenekan en het zand voor de A27 Wim Hoebink 28-34 2005")</f>
        <v>0</v>
      </c>
      <c r="D210" s="1">
        <f>hyperlink("http://dspace.library.uu.nl/handle/1874/210182","Groenekan in de gevarenzone W Hoebink 15-23 1990")</f>
        <v>0</v>
      </c>
    </row>
    <row r="211" spans="2:4">
      <c r="B211">
        <v>62</v>
      </c>
      <c r="C211" s="1">
        <f>hyperlink("https://hetutrechtsarchief.nl/collectie/95681CC35A9B1CF4E0534701000A06F2","Groenekan en het zand voor de A27 Wim Hoebink 28-34 2005")</f>
        <v>0</v>
      </c>
      <c r="D211" s="1">
        <f>hyperlink("http://dspace.library.uu.nl/handle/1874/210183","Groenekan tussen de rails Wim Hoebink 5-10 1989")</f>
        <v>0</v>
      </c>
    </row>
    <row r="212" spans="2:4">
      <c r="B212">
        <v>60</v>
      </c>
      <c r="C212" s="1">
        <f>hyperlink("https://hetutrechtsarchief.nl/collectie/91038779566EEB9FE0534701000AB972","De komst van het licht in Maartensdijk W Hoebink 18-35 2001")</f>
        <v>0</v>
      </c>
      <c r="D212" s="1">
        <f>hyperlink("http://dspace.library.uu.nl/handle/1874/210184","De Eskem de eerste in het Sticht het grootste in Groenekan W Hoebink 3-12 1989")</f>
        <v>0</v>
      </c>
    </row>
    <row r="213" spans="2:4">
      <c r="B213">
        <v>59</v>
      </c>
      <c r="C213" s="1">
        <f>hyperlink("https://hetutrechtsarchief.nl/collectie/4E26F7CFED8E5051A0524971D4BBA425","De gemeente Maarssen en Endelhoven 154 ill 1979")</f>
        <v>0</v>
      </c>
      <c r="D213" s="1">
        <f>hyperlink("http://dspace.library.uu.nl/handle/1874/210185","Gemeente Maartensdijk zo n eeuw geleden Leo Fijen 3-9 1991")</f>
        <v>0</v>
      </c>
    </row>
    <row r="214" spans="2:4">
      <c r="B214">
        <v>57</v>
      </c>
      <c r="C214" s="1">
        <f>hyperlink("https://hetutrechtsarchief.nl/collectie/5A6B2B61C56F569DBFA0B644BC4FA884","De Hollandsche Rading J Kleijntjens 210-213 ill 1945")</f>
        <v>0</v>
      </c>
      <c r="D214" s="1">
        <f>hyperlink("http://dspace.library.uu.nl/handle/1874/210186","Hollandsche Rading 1925-1940 enkele fragmenten W Hoebink 14-22 1991")</f>
        <v>0</v>
      </c>
    </row>
    <row r="215" spans="2:4">
      <c r="B215">
        <v>58</v>
      </c>
      <c r="C215" s="1">
        <f>hyperlink("https://hetutrechtsarchief.nl/collectie/BB6B8C56743C585EB8D153FD2E3EF621","Het Huis hardenbroek in de zeventiende en achttiende eeuw Arien Heering 31-36 2008")</f>
        <v>0</v>
      </c>
      <c r="D215" s="1">
        <f>hyperlink("http://dspace.library.uu.nl/handle/1874/210187","Het bedehuis in de Rading de eerste tien jaren W Hoebink 3-23 1992")</f>
        <v>0</v>
      </c>
    </row>
    <row r="216" spans="2:4">
      <c r="B216">
        <v>98</v>
      </c>
      <c r="C216" s="1">
        <f>hyperlink("https://hetutrechtsarchief.nl/collectie/8F5C08B176147E1AE0534701000A97F2","Een Patriottisch predikant in Maartensdijk mr H J Kwint 3-6 2000")</f>
        <v>0</v>
      </c>
      <c r="D216" s="1">
        <f>hyperlink("http://dspace.library.uu.nl/handle/1874/210303","Een Patriottisch predikant in Maartensdijk H J Kwint 3-6 2000")</f>
        <v>0</v>
      </c>
    </row>
    <row r="217" spans="2:4">
      <c r="B217">
        <v>100</v>
      </c>
      <c r="C217" s="1">
        <f>hyperlink("https://hetutrechtsarchief.nl/collectie/908DA5BDE2BD2066E0534701000A2A4D","Blauwkapel omstreeks 1840 Louis van den Brink 7-24 2000")</f>
        <v>0</v>
      </c>
      <c r="D217" s="1">
        <f>hyperlink("http://dspace.library.uu.nl/handle/1874/210304","Blauwkapel omstreeks 1840 Louis van den Brink 7-24 2000")</f>
        <v>0</v>
      </c>
    </row>
    <row r="218" spans="2:4">
      <c r="B218">
        <v>55</v>
      </c>
      <c r="C218" s="1">
        <f>hyperlink("https://hetutrechtsarchief.nl/collectie/067226A857B3511DB53E02FC73689525","De Historische Vereniging Oudheidkamer Rhenen en omstreken 90 jaar H P Deys 22-37 ill 1998")</f>
        <v>0</v>
      </c>
      <c r="D218" s="1">
        <f>hyperlink("http://dspace.library.uu.nl/handle/1874/210305","Historische schatten in Maartensdijkse huiskamers Leen de Raadt 22-23 1996")</f>
        <v>0</v>
      </c>
    </row>
    <row r="219" spans="2:4">
      <c r="B219">
        <v>100</v>
      </c>
      <c r="C219" s="1">
        <f>hyperlink("https://hetutrechtsarchief.nl/collectie/908DA5BDE2BE2066E0534701000A2A4D","Dankzij de milde harten der ingezetenen Koos Kolenbrander 25-28 2000")</f>
        <v>0</v>
      </c>
      <c r="D219" s="1">
        <f>hyperlink("http://dspace.library.uu.nl/handle/1874/210306","Dankzij de milde harten der ingezetenen Koos Kolenbrander 25-28 2000")</f>
        <v>0</v>
      </c>
    </row>
    <row r="220" spans="2:4">
      <c r="B220">
        <v>83</v>
      </c>
      <c r="C220" s="1">
        <f>hyperlink("https://hetutrechtsarchief.nl/collectie/90B3DD6AB6073FBBE0534701000ACB54","Historische snippers Archieven het geheugen op papier Brita Pilger 29 2000")</f>
        <v>0</v>
      </c>
      <c r="D220" s="1">
        <f>hyperlink("http://dspace.library.uu.nl/handle/1874/210307","Archieven het geheugen op papier Britta Pilger 29 2000")</f>
        <v>0</v>
      </c>
    </row>
    <row r="221" spans="2:4">
      <c r="B221">
        <v>84</v>
      </c>
      <c r="C221" s="1">
        <f>hyperlink("https://hetutrechtsarchief.nl/collectie/E51986BC03AF5702A5C1B873EB38CDED","Boschboerderijtje de mens en het landschap Johan Doornenbal 3-13 1999")</f>
        <v>0</v>
      </c>
      <c r="D221" s="1">
        <f>hyperlink("http://dspace.library.uu.nl/handle/1874/210308","Boschboerderijtje de mens en het landschap Koos Kolenbrander 3-6 1999")</f>
        <v>0</v>
      </c>
    </row>
    <row r="222" spans="2:4">
      <c r="B222">
        <v>100</v>
      </c>
      <c r="C222" s="1">
        <f>hyperlink("https://hetutrechtsarchief.nl/collectie/C9C4B6A7F8A954E08B2E53003E19AFED","Herinneringen aan het spoorweghuisje Toos van der Weit 20-23 1999")</f>
        <v>0</v>
      </c>
      <c r="D222" s="1">
        <f>hyperlink("http://dspace.library.uu.nl/handle/1874/210309","Herinneringen aan het spoorweghuisje Toos van der Weit 20-23 1999")</f>
        <v>0</v>
      </c>
    </row>
    <row r="223" spans="2:4">
      <c r="B223">
        <v>100</v>
      </c>
      <c r="C223" s="1">
        <f>hyperlink("https://hetutrechtsarchief.nl/collectie/8C7A134B6FB5546FB366B17E1ACD2A28","Blauwkapel bestookt vanuit de ruimte Louis van den Brink 14-19 1999")</f>
        <v>0</v>
      </c>
      <c r="D223" s="1">
        <f>hyperlink("http://dspace.library.uu.nl/handle/1874/210310","Blauwkapel bestookt vanuit de ruimte Louis van den Brink 14-19 1999")</f>
        <v>0</v>
      </c>
    </row>
    <row r="224" spans="2:4">
      <c r="B224">
        <v>77</v>
      </c>
      <c r="C224" s="1">
        <f>hyperlink("https://hetutrechtsarchief.nl/collectie/8F5C08B176127E1AE0534701000A97F2","1900-2000 Honderd jaar in beeld en woord Koos Kolenbrander Maurits Schmidt 3-23 1999")</f>
        <v>0</v>
      </c>
      <c r="D224" s="1">
        <f>hyperlink("http://dspace.library.uu.nl/handle/1874/210311","Honderd jaar in beeld en woord 1900-2000 Maurits Kolenbrander Koos Schmidt 3-23 1999")</f>
        <v>0</v>
      </c>
    </row>
    <row r="225" spans="2:4">
      <c r="B225">
        <v>65</v>
      </c>
      <c r="C225" s="1">
        <f>hyperlink("https://hetutrechtsarchief.nl/collectie/93D6F393E62CF7E5E0534701000A75DF","Als het vuil er maar uit was Koos Kolenbrander Maurits Schmidt 11-21 2004")</f>
        <v>0</v>
      </c>
      <c r="D225" s="1">
        <f>hyperlink("http://dspace.library.uu.nl/handle/1874/210312","Het verhaal van Miescisko Maurits Kolenbrander Koos Schmidt 1-31 2000")</f>
        <v>0</v>
      </c>
    </row>
    <row r="226" spans="2:4">
      <c r="B226">
        <v>67</v>
      </c>
      <c r="C226" s="1">
        <f>hyperlink("https://hetutrechtsarchief.nl/collectie/E51986BC03AF5702A5C1B873EB38CDED","Boschboerderijtje de mens en het landschap Johan Doornenbal 3-13 1999")</f>
        <v>0</v>
      </c>
      <c r="D226" s="1">
        <f>hyperlink("http://dspace.library.uu.nl/handle/1874/210313","Het Boschboerderijtje architectonische bouwhistorische achtergronden Johan Doornenbal 7-13 1999")</f>
        <v>0</v>
      </c>
    </row>
    <row r="227" spans="2:4">
      <c r="B227">
        <v>61</v>
      </c>
      <c r="C227" s="1">
        <f>hyperlink("https://hetutrechtsarchief.nl/collectie/AA088FB168015620B4CB5DC436CF9E64","De hofstede Groenevelt te Vreeland E E Brandes-de Lestrieux Hendricks 63-74 1989")</f>
        <v>0</v>
      </c>
      <c r="D227" s="1">
        <f>hyperlink("http://dspace.library.uu.nl/handle/1874/210386","De pastorie aan de Kerklaan Stanny Brandes-de Lestrieux Ellen Verster 24 1994")</f>
        <v>0</v>
      </c>
    </row>
    <row r="228" spans="2:4">
      <c r="B228">
        <v>61</v>
      </c>
      <c r="C228" s="1">
        <f>hyperlink("https://hetutrechtsarchief.nl/collectie/A384ED5715205C8BBCB37196F75C491C","Lieu de m moire Utrecht en Vreeland H J Aalderink 29 2004")</f>
        <v>0</v>
      </c>
      <c r="D228" s="1">
        <f>hyperlink("http://dspace.library.uu.nl/handle/1874/210387","Bijna was het raak in Vreeland H J Aalderink 11 1995")</f>
        <v>0</v>
      </c>
    </row>
    <row r="229" spans="2:4">
      <c r="B229">
        <v>58</v>
      </c>
      <c r="C229" s="1">
        <f>hyperlink("https://hetutrechtsarchief.nl/collectie/C22CD7EA59545B1091C246D8693214C7","Daar is de orgelman Jan Kees de Ruijter 97 2014")</f>
        <v>0</v>
      </c>
      <c r="D229" s="1">
        <f>hyperlink("http://dspace.library.uu.nl/handle/1874/210388","Biografie Johannes van Schie Kees de Kruijter 26 1995")</f>
        <v>0</v>
      </c>
    </row>
    <row r="230" spans="2:4">
      <c r="B230">
        <v>51</v>
      </c>
      <c r="C230" s="1">
        <f>hyperlink("https://hetutrechtsarchief.nl/collectie/D68B93CB46A25BADA0184D388041F78A","Cronenburch S Muller Fz 1-7 3 ill 1914")</f>
        <v>0</v>
      </c>
      <c r="D230" s="1">
        <f>hyperlink("http://dspace.library.uu.nl/handle/1874/210389","Cronenburgherbrug of Mussertbrug Ruurd Ubels 32 1995")</f>
        <v>0</v>
      </c>
    </row>
    <row r="231" spans="2:4">
      <c r="B231">
        <v>69</v>
      </c>
      <c r="C231" s="1">
        <f>hyperlink("https://hetutrechtsarchief.nl/collectie/0DAF98D67D5A5C799489719733262941","De boomstamkano in Nigtevecht Juliette Jonker-Duynstee 36 2016")</f>
        <v>0</v>
      </c>
      <c r="D231" s="1">
        <f>hyperlink("http://dspace.library.uu.nl/handle/1874/210390","De charme van t Kasteeltje Juliette Jonker-Duynstee 32 1995")</f>
        <v>0</v>
      </c>
    </row>
    <row r="232" spans="2:4">
      <c r="B232">
        <v>58</v>
      </c>
      <c r="C232" s="1">
        <f>hyperlink("https://hetutrechtsarchief.nl/collectie/689F139995A353FA9CD16003D1910EEE","De geschiedenis van de gemeente Loenen Fenna Brouwer 5-19 2004")</f>
        <v>0</v>
      </c>
      <c r="D232" s="1">
        <f>hyperlink("http://dspace.library.uu.nl/handle/1874/210391","De Drie Gekroonde Laarsjes Fenna Brouwer 32 1996")</f>
        <v>0</v>
      </c>
    </row>
    <row r="233" spans="2:4">
      <c r="B233">
        <v>64</v>
      </c>
      <c r="C233" s="1">
        <f>hyperlink("https://hetutrechtsarchief.nl/collectie/C37E2B69B3755F76AF7ACCCC5B95C39A","Vreedenhorst in Vreeland Juliette Jonker-Duynstee 3-10 2012")</f>
        <v>0</v>
      </c>
      <c r="D233" s="1">
        <f>hyperlink("http://dspace.library.uu.nl/handle/1874/210392","Het Goudleerhuis te Vreeland J Boerstra J Jonker-Duynstee 3-6 1997")</f>
        <v>0</v>
      </c>
    </row>
    <row r="234" spans="2:4">
      <c r="B234">
        <v>59</v>
      </c>
      <c r="C234" s="1">
        <f>hyperlink("https://hetutrechtsarchief.nl/collectie/187466FF83E45434BE1260C103F8C48A","Het dorp Loenersloot Stanny Verster 29-33 2015")</f>
        <v>0</v>
      </c>
      <c r="D234" s="1">
        <f>hyperlink("http://dspace.library.uu.nl/handle/1874/210393","Een bank voor de burgemeester Stanny Verster 21-23 1994")</f>
        <v>0</v>
      </c>
    </row>
    <row r="235" spans="2:4">
      <c r="B235">
        <v>92</v>
      </c>
      <c r="C235" s="1">
        <f>hyperlink("https://hetutrechtsarchief.nl/collectie/689F139995A353FA9CD16003D1910EEE","De geschiedenis van de gemeente Loenen Fenna Brouwer 5-19 2004")</f>
        <v>0</v>
      </c>
      <c r="D235" s="1">
        <f>hyperlink("http://dspace.library.uu.nl/handle/1874/210394","De geschiedenis van de gemeente Loenen Fenna Brouwer 6-20 1994")</f>
        <v>0</v>
      </c>
    </row>
    <row r="236" spans="2:4">
      <c r="B236">
        <v>59</v>
      </c>
      <c r="C236" s="1">
        <f>hyperlink("https://hetutrechtsarchief.nl/collectie/DBD12D81257F7DF2E0538F04000A6369","De kanalen van Drusus in de noordelijke Vechtstreek Anton Cruysheer 117-125")</f>
        <v>0</v>
      </c>
      <c r="D236" s="1">
        <f>hyperlink("http://dspace.library.uu.nl/handle/1874/210395","Franken zendelingen en veel veen de Noordelijke Vechtstreek tot 1100 Ruurd Ubels 3-5 1994")</f>
        <v>0</v>
      </c>
    </row>
    <row r="237" spans="2:4">
      <c r="B237">
        <v>65</v>
      </c>
      <c r="C237" s="1">
        <f>hyperlink("https://hetutrechtsarchief.nl/collectie/8343469EED11562CB2D6906C7E821D3E","Tussen goed en fout Loenen in bezettingstijd Ruurd Ubels 288-296 2015")</f>
        <v>0</v>
      </c>
      <c r="D237" s="1">
        <f>hyperlink("http://dspace.library.uu.nl/handle/1874/210396","Tussen goed en fout Ruurd Ubels 3-10 1995")</f>
        <v>0</v>
      </c>
    </row>
    <row r="238" spans="2:4">
      <c r="B238">
        <v>64</v>
      </c>
      <c r="C238" s="1">
        <f>hyperlink("https://hetutrechtsarchief.nl/collectie/8FEB1A6BE1F134C5E0534701000AFD82","Burgemeesters Soest in Oorlogstijd Dik Top en bewerkt door Paul Verhoeven 17-20 2019")</f>
        <v>0</v>
      </c>
      <c r="D238" s="1">
        <f>hyperlink("http://dspace.library.uu.nl/handle/1874/210397","Burgemeesters in oorlogstijd Ruurd Kruyter Kees de Ubels 27-29 1995")</f>
        <v>0</v>
      </c>
    </row>
    <row r="239" spans="2:4">
      <c r="B239">
        <v>59</v>
      </c>
      <c r="C239" s="1">
        <f>hyperlink("https://hetutrechtsarchief.nl/collectie/57A6641019025CE9BFD058D0070423FF","Vreeland vroeger en nu H J Aalderink 121-122 1976")</f>
        <v>0</v>
      </c>
      <c r="D239" s="1">
        <f>hyperlink("http://dspace.library.uu.nl/handle/1874/210398","Onderdak in een veilig Vreeland H J Aalderink 30-31 1995")</f>
        <v>0</v>
      </c>
    </row>
    <row r="240" spans="2:4">
      <c r="B240">
        <v>56</v>
      </c>
      <c r="C240" s="1">
        <f>hyperlink("https://hetutrechtsarchief.nl/collectie/5C3399E001FD5ADE9AC2C4C6E5465DA1","10 jaar SUWK samen werken om de buurt te versterken 1-6 1986")</f>
        <v>0</v>
      </c>
      <c r="D240" s="1">
        <f>hyperlink("http://dspace.library.uu.nl/handle/1874/210399","150 jaar industrie Beek en Hoff J Boerstra 3-8 1995")</f>
        <v>0</v>
      </c>
    </row>
    <row r="241" spans="2:4">
      <c r="B241">
        <v>59</v>
      </c>
      <c r="C241" s="1">
        <f>hyperlink("https://hetutrechtsarchief.nl/collectie/1BED2CFB193558658A70EDEB6C8606E1","Het voormalige gemeentehuis van Jutphaas n eeuw oud Piet Daalhuizen 68-75 2010")</f>
        <v>0</v>
      </c>
      <c r="D241" s="1">
        <f>hyperlink("http://dspace.library.uu.nl/handle/1874/210400","Het voormalig gemeentehuis van Loenen van logement tot oud-gemeentehuis Stanny Verster 9-11 1995")</f>
        <v>0</v>
      </c>
    </row>
    <row r="242" spans="2:4">
      <c r="B242">
        <v>59</v>
      </c>
      <c r="C242" s="1">
        <f>hyperlink("https://hetutrechtsarchief.nl/collectie/63E7D35F16D654599675FF8003DA0F62","Mevrouw A Sprenger-den Uijl burgemeesters-vrouw aan het woord onder red van Juliette Jonker-Duynstee 27-30 2010")</f>
        <v>0</v>
      </c>
      <c r="D242" s="1">
        <f>hyperlink("http://dspace.library.uu.nl/handle/1874/210401","Een eeuw gemeentehuis Vreeland onderwijs en overheid onder een dak Juliette Boerstra J Jonker-Duynstee 12-15 1995")</f>
        <v>0</v>
      </c>
    </row>
    <row r="243" spans="2:4">
      <c r="B243">
        <v>56</v>
      </c>
      <c r="C243" s="1">
        <f>hyperlink("https://hetutrechtsarchief.nl/collectie/0299A8A3488B55FE8ED218E7E2E91B27","zegen of glorie over het middeleeuwse grafmonument in de Nederlands Hervormde Kerk te IJsselstein Xabier Jense 1-28 1999")</f>
        <v>0</v>
      </c>
      <c r="D243" s="1">
        <f>hyperlink("http://dspace.library.uu.nl/handle/1874/210402","Van rouw en redenloze ijdelheid rouwborden in de hervormde kerk te Loenen A W Voskuilen 16-23 1995")</f>
        <v>0</v>
      </c>
    </row>
    <row r="244" spans="2:4">
      <c r="B244">
        <v>55</v>
      </c>
      <c r="C244" s="1">
        <f>hyperlink("https://hetutrechtsarchief.nl/collectie/F3990D69D4D65DE09706734103F1301A","Op zoek naar het raadsel rond de Ossekop Ben Remie 89-91 2015")</f>
        <v>0</v>
      </c>
      <c r="D244" s="1">
        <f>hyperlink("http://dspace.library.uu.nl/handle/1874/210403","Op zoek naar de bron aspecten van regionaal c q lokaal onderzoek Fenna Brouwer 24-31 1995")</f>
        <v>0</v>
      </c>
    </row>
    <row r="245" spans="2:4">
      <c r="B245">
        <v>87</v>
      </c>
      <c r="C245" s="1">
        <f>hyperlink("https://hetutrechtsarchief.nl/collectie/6CFE4744309356088FBF0075C4AC5AB2","Plannen tot het dempen van de Loenderveense Plas Arie Manten 105-116 2004")</f>
        <v>0</v>
      </c>
      <c r="D245" s="1">
        <f>hyperlink("http://dspace.library.uu.nl/handle/1874/210404","Plannen tot het dempen van de Loenderveense Plas A A Manten 3-14 1996")</f>
        <v>0</v>
      </c>
    </row>
    <row r="246" spans="2:4">
      <c r="B246">
        <v>65</v>
      </c>
      <c r="C246" s="1">
        <f>hyperlink("https://hetutrechtsarchief.nl/collectie/0CFEBA535B275796AFC56CD42293B3C4","Martinus door de eeuwen heen Els Rose 7 ill krt 1997")</f>
        <v>0</v>
      </c>
      <c r="D246" s="1">
        <f>hyperlink("http://dspace.library.uu.nl/handle/1874/210447","Onderwijs door de eeuwen heen A Schras 3-6 1933")</f>
        <v>0</v>
      </c>
    </row>
    <row r="247" spans="2:4">
      <c r="B247">
        <v>59</v>
      </c>
      <c r="C247" s="1">
        <f>hyperlink("https://hetutrechtsarchief.nl/collectie/689F139995A353FA9CD16003D1910EEE","De geschiedenis van de gemeente Loenen Fenna Brouwer 5-19 2004")</f>
        <v>0</v>
      </c>
      <c r="D247" s="1">
        <f>hyperlink("http://dspace.library.uu.nl/handle/1874/210448","Huishoudschool te Loenen Fenna Brouwer 32 1997")</f>
        <v>0</v>
      </c>
    </row>
    <row r="248" spans="2:4">
      <c r="B248">
        <v>57</v>
      </c>
      <c r="C248" s="1">
        <f>hyperlink("https://hetutrechtsarchief.nl/collectie/3983BC261312569F8C35E881EE58165F","Juf Koelewijn en de Protestants Christelijke Kleuterschool Jaap Groeneveld 13-17 2014")</f>
        <v>0</v>
      </c>
      <c r="D248" s="1">
        <f>hyperlink("http://dspace.library.uu.nl/handle/1874/210449","Scholen met de Bijbel protestants-christelijk onderwijs in Loenen Kees de Kruijter 15-21 1997")</f>
        <v>0</v>
      </c>
    </row>
    <row r="249" spans="2:4">
      <c r="B249">
        <v>61</v>
      </c>
      <c r="C249" s="1">
        <f>hyperlink("https://hetutrechtsarchief.nl/collectie/3983BC261312569F8C35E881EE58165F","Juf Koelewijn en de Protestants Christelijke Kleuterschool Jaap Groeneveld 13-17 2014")</f>
        <v>0</v>
      </c>
      <c r="D249" s="1">
        <f>hyperlink("http://dspace.library.uu.nl/handle/1874/210450","De uitkomst van goed gezinde harten de protestants-christelijke school Vreeland A Kessler 22-25 1997")</f>
        <v>0</v>
      </c>
    </row>
    <row r="250" spans="2:4">
      <c r="B250">
        <v>51</v>
      </c>
      <c r="C250" s="1">
        <f>hyperlink("https://hetutrechtsarchief.nl/collectie/EFE87D31FF925CAA8BA6AC2BF1C4E94B","Gijsbrecht II van Nijenrode en de omstreden datering van de Kabeljauwse Verbondsakte B F van Wallene 105-108 1998")</f>
        <v>0</v>
      </c>
      <c r="D250" s="1">
        <f>hyperlink("http://dspace.library.uu.nl/handle/1874/210451","Elsabee van Loenersloot Splintersdr - slotvrouwe circa 1385 - 1450 B F van Wallene 3-16 1998")</f>
        <v>0</v>
      </c>
    </row>
    <row r="251" spans="2:4">
      <c r="B251">
        <v>82</v>
      </c>
      <c r="C251" s="1">
        <f>hyperlink("https://hetutrechtsarchief.nl/collectie/42BE8C6CBA9A5F38B3C8C2BA9B9F0E2F","Een Nieuwe Weg tussen Loenensloot en Vreeland Stanny Verster en Jan Boerstra 99-104 2004")</f>
        <v>0</v>
      </c>
      <c r="D251" s="1">
        <f>hyperlink("http://dspace.library.uu.nl/handle/1874/210452","Een Nieuwe Weg tussen Loenersloot en Vreeland Jan Verster Stanny Boerstra 3-7 1998")</f>
        <v>0</v>
      </c>
    </row>
    <row r="252" spans="2:4">
      <c r="B252">
        <v>72</v>
      </c>
      <c r="C252" s="1">
        <f>hyperlink("https://hetutrechtsarchief.nl/collectie/187466FF83E45434BE1260C103F8C48A","Het dorp Loenersloot Stanny Verster 29-33 2015")</f>
        <v>0</v>
      </c>
      <c r="D252" s="1">
        <f>hyperlink("http://dspace.library.uu.nl/handle/1874/210453","Montessori in Loenersloot Stanny Verster 30-31 1997")</f>
        <v>0</v>
      </c>
    </row>
    <row r="253" spans="2:4">
      <c r="B253">
        <v>54</v>
      </c>
      <c r="C253" s="1">
        <f>hyperlink("https://hetutrechtsarchief.nl/collectie/870913ED58FE5C6AAA59D445A65E6FE0","De tram in Utrecht rond 1910 herinneringen van een oud-inwoner J J Beyerman 33-36 1974")</f>
        <v>0</v>
      </c>
      <c r="D253" s="1">
        <f>hyperlink("http://dspace.library.uu.nl/handle/1874/210454","Vreelanden van vroeger circa 1920 herinneringen aan Vreeland Kees de Barkey Wolf A G Kruijter 22-27 1997")</f>
        <v>0</v>
      </c>
    </row>
    <row r="254" spans="2:4">
      <c r="B254">
        <v>54</v>
      </c>
      <c r="C254" s="1">
        <f>hyperlink("https://hetutrechtsarchief.nl/collectie/AA088FB168015620B4CB5DC436CF9E64","De hofstede Groenevelt te Vreeland E E Brandes-de Lestrieux Hendricks 63-74 1989")</f>
        <v>0</v>
      </c>
      <c r="D254" s="1">
        <f>hyperlink("http://dspace.library.uu.nl/handle/1874/210455","Sans Souci Stanny Brandes-de Lestrieux Ellen Verster 28 1997")</f>
        <v>0</v>
      </c>
    </row>
    <row r="255" spans="2:4">
      <c r="B255">
        <v>68</v>
      </c>
      <c r="C255" s="1">
        <f>hyperlink("https://hetutrechtsarchief.nl/collectie/AA088FB168015620B4CB5DC436CF9E64","De hofstede Groenevelt te Vreeland E E Brandes-de Lestrieux Hendricks 63-74 1989")</f>
        <v>0</v>
      </c>
      <c r="D255" s="1">
        <f>hyperlink("http://dspace.library.uu.nl/handle/1874/210456","Hoefslagpalen in Vreeland Ellen E Brandes-de Lestrieux 24 1998")</f>
        <v>0</v>
      </c>
    </row>
    <row r="256" spans="2:4">
      <c r="B256">
        <v>56</v>
      </c>
      <c r="C256" s="1">
        <f>hyperlink("https://hetutrechtsarchief.nl/collectie/C01F8E846A69581E966FBF7831D95AB9","Stadsomroep Utrecht in het hart van Nederland Peter Le Nobel 3 ill 1998")</f>
        <v>0</v>
      </c>
      <c r="D256" s="1">
        <f>hyperlink("http://dspace.library.uu.nl/handle/1874/210457","Tumult in de Klapstraat een oude kaart van Vreeland Ellen E Brandes 23-27 1998")</f>
        <v>0</v>
      </c>
    </row>
    <row r="257" spans="2:4">
      <c r="B257">
        <v>58</v>
      </c>
      <c r="C257" s="1">
        <f>hyperlink("https://hetutrechtsarchief.nl/collectie/54AA46A42E005CC99B9C266BA5E5DE12","Een Loenense chocoladeketel J Jonker-Duynstee 104-109 2015")</f>
        <v>0</v>
      </c>
      <c r="D257" s="1">
        <f>hyperlink("http://dspace.library.uu.nl/handle/1874/210458","Van Kerklaan naar Loenen de Rooms-Katholieke Ludgerusschool J Jonker-Duynstee 26-29 1997")</f>
        <v>0</v>
      </c>
    </row>
    <row r="258" spans="2:4">
      <c r="B258">
        <v>91</v>
      </c>
      <c r="C258" s="1">
        <f>hyperlink("https://hetutrechtsarchief.nl/collectie/0EDBC8828CD7543BA33047917FC0A57C","Hofdichten op huizen en tuinen het goede leven op de buitenplaats Bart Jagt 56-63 2004")</f>
        <v>0</v>
      </c>
      <c r="D258" s="1">
        <f>hyperlink("http://dspace.library.uu.nl/handle/1874/210459","Hofdichten op huizen en tuinen het goede leven op de buitenplaats Bart Jagt 12-17 1997")</f>
        <v>0</v>
      </c>
    </row>
    <row r="259" spans="2:4">
      <c r="B259">
        <v>56</v>
      </c>
      <c r="C259" s="1">
        <f>hyperlink("https://hetutrechtsarchief.nl/collectie/7F169562909B51E6BBEE40C139D8402C","Juliana van Stolbergschool de oudste openbare basisschool van Utrecht R L R hner en S Verbeeck 82-83 1974")</f>
        <v>0</v>
      </c>
      <c r="D259" s="1">
        <f>hyperlink("http://dspace.library.uu.nl/handle/1874/210460","Van dorpsschool tot openbare basisschool het openbaar onderwijs in Loenen en Vreeland Fenna Brouwer 7-14 1997")</f>
        <v>0</v>
      </c>
    </row>
    <row r="260" spans="2:4">
      <c r="B260">
        <v>67</v>
      </c>
      <c r="C260" s="1">
        <f>hyperlink("https://hetutrechtsarchief.nl/collectie/8756A211D7619253E0534701000AF8B7","Speelhuisjes aan de Vecht Juliette Jonker-Duynstee 81-105 2018")</f>
        <v>0</v>
      </c>
      <c r="D260" s="1">
        <f>hyperlink("http://dspace.library.uu.nl/handle/1874/210461","Terra Nova lustoord aan de Vecht J Jonker-Duynstee 19-23 1998")</f>
        <v>0</v>
      </c>
    </row>
    <row r="261" spans="2:4">
      <c r="B261">
        <v>59</v>
      </c>
      <c r="C261" s="1">
        <f>hyperlink("https://hetutrechtsarchief.nl/collectie/DD7761BE98E954989E9DD70A08DC963C","Kerken in Loenen Nigtevecht en Vreeland Kees de Kruijter 81-91 2004")</f>
        <v>0</v>
      </c>
      <c r="D261" s="1">
        <f>hyperlink("http://dspace.library.uu.nl/handle/1874/210462","Loenen aan de Vecht in crisistijd Kees de Tukker Ren Kruijter 8-17 1998")</f>
        <v>0</v>
      </c>
    </row>
    <row r="262" spans="2:4">
      <c r="B262">
        <v>64</v>
      </c>
      <c r="C262" s="1">
        <f>hyperlink("https://hetutrechtsarchief.nl/collectie/9B6FC1D8479E53B99B0A8BFA5D920AF9","De wapens van de gemeente Loenen Juliette Jonker-Duynstee 43-46 2010")</f>
        <v>0</v>
      </c>
      <c r="D262" s="1">
        <f>hyperlink("http://dspace.library.uu.nl/handle/1874/210463","De Nederlandse toren van Pisa de toren van hervormde kerk in Loenen Juliette Jonker-Duynstee 18-22 1998")</f>
        <v>0</v>
      </c>
    </row>
    <row r="263" spans="2:4">
      <c r="B263">
        <v>56</v>
      </c>
      <c r="C263" s="1">
        <f>hyperlink("https://hetutrechtsarchief.nl/collectie/C5D5E97D77A05256BC2AB0362D6C1117","De ligging van het oudste leprozenhuis bij Utrecht F Ketner 27-34 1951")</f>
        <v>0</v>
      </c>
      <c r="D263" s="1">
        <f>hyperlink("http://dspace.library.uu.nl/handle/1874/210464","Ondergang van het huis Kronenburg C J de Boerstra J Kruijter 7-11 1997")</f>
        <v>0</v>
      </c>
    </row>
    <row r="264" spans="2:4">
      <c r="B264">
        <v>63</v>
      </c>
      <c r="C264" s="1">
        <f>hyperlink("https://hetutrechtsarchief.nl/collectie/640ED104D908A69CE0534701000AD44A","Zestig jaar verandering in het voormalige Groot-Waterschap van Woerden Lex Albers 114-123 2017")</f>
        <v>0</v>
      </c>
      <c r="D264" s="1">
        <f>hyperlink("http://dspace.library.uu.nl/handle/1874/210465","Onderbemaling in het voormalig waterschap Loenderveen J den Besten 18-21 1997")</f>
        <v>0</v>
      </c>
    </row>
    <row r="265" spans="2:4">
      <c r="B265">
        <v>60</v>
      </c>
      <c r="C265" s="1">
        <f>hyperlink("https://hetutrechtsarchief.nl/collectie/0DAF98D67D5A5C799489719733262941","De boomstamkano in Nigtevecht Juliette Jonker-Duynstee 36 2016")</f>
        <v>0</v>
      </c>
      <c r="D265" s="1">
        <f>hyperlink("http://dspace.library.uu.nl/handle/1874/210508","Jonkheer J A F Backer burgemeester van Vreeland en Nigtevecht 1888-1911 Juliette Jonker-Duynstee 28 1999")</f>
        <v>0</v>
      </c>
    </row>
    <row r="266" spans="2:4">
      <c r="B266">
        <v>54</v>
      </c>
      <c r="C266" s="1">
        <f>hyperlink("https://hetutrechtsarchief.nl/collectie/14D948A03BCE53958AC7A7B51ADFC647","Gebouw St Joseph in Loenen Wilma de Kruijter en Willem Mooij 3-6 2017")</f>
        <v>0</v>
      </c>
      <c r="D266" s="1">
        <f>hyperlink("http://dspace.library.uu.nl/handle/1874/210509","Nigtevecht in de jaren 1899 en 1900 Willem Boerstra Jan Kruijter Kees de Mooij 23-27 1999")</f>
        <v>0</v>
      </c>
    </row>
    <row r="267" spans="2:4">
      <c r="B267">
        <v>62</v>
      </c>
      <c r="C267" s="1">
        <f>hyperlink("https://hetutrechtsarchief.nl/collectie/C37E2B69B3755F76AF7ACCCC5B95C39A","Vreedenhorst in Vreeland Juliette Jonker-Duynstee 3-10 2012")</f>
        <v>0</v>
      </c>
      <c r="D267" s="1">
        <f>hyperlink("http://dspace.library.uu.nl/handle/1874/210510","Vreeland een lieflijke gemeente Juliette Boerstra Jan Jonker-Duynstee 18-22 1999")</f>
        <v>0</v>
      </c>
    </row>
    <row r="268" spans="2:4">
      <c r="B268">
        <v>54</v>
      </c>
      <c r="C268" s="1">
        <f>hyperlink("https://hetutrechtsarchief.nl/collectie/38A433132C5D5808BF1CF43AC44724A7","Romeinse Rijk vreesde vrije Germanen Arie A Manten 144-146 1999")</f>
        <v>0</v>
      </c>
      <c r="D268" s="1">
        <f>hyperlink("http://dspace.library.uu.nl/handle/1874/210511","Problemen rond de eeuwwisseling relatief Gertjan Verhage 15-17 1999")</f>
        <v>0</v>
      </c>
    </row>
    <row r="269" spans="2:4">
      <c r="B269">
        <v>61</v>
      </c>
      <c r="C269" s="1">
        <f>hyperlink("https://hetutrechtsarchief.nl/collectie/33F6BB6DCE2256CAA6E53ADA1CFAB0EE","Vreedenhorst in Vreeland Juliette Jonker-Duynstee 70-83 2012")</f>
        <v>0</v>
      </c>
      <c r="D269" s="1">
        <f>hyperlink("http://dspace.library.uu.nl/handle/1874/210512","Geheimzinnige grafvondst op Weeresteyn Juliette Donker-Duynstee 28 1998")</f>
        <v>0</v>
      </c>
    </row>
    <row r="270" spans="2:4">
      <c r="B270">
        <v>70</v>
      </c>
      <c r="C270" s="1">
        <f>hyperlink("https://hetutrechtsarchief.nl/collectie/0DAF98D67D5A5C799489719733262941","De boomstamkano in Nigtevecht Juliette Jonker-Duynstee 36 2016")</f>
        <v>0</v>
      </c>
      <c r="D270" s="1">
        <f>hyperlink("http://dspace.library.uu.nl/handle/1874/210513","Het Doophek in de N H Kerk te Nigtevecht Juliette Jonker-Duynstee 28 1999")</f>
        <v>0</v>
      </c>
    </row>
    <row r="271" spans="2:4">
      <c r="B271">
        <v>59</v>
      </c>
      <c r="C271" s="1">
        <f>hyperlink("https://hetutrechtsarchief.nl/collectie/0CFEBA535B275796AFC56CD42293B3C4","Martinus door de eeuwen heen Els Rose 7 ill krt 1997")</f>
        <v>0</v>
      </c>
      <c r="D271" s="1">
        <f>hyperlink("http://dspace.library.uu.nl/handle/1874/210514","Vuur en wate brandbestrijding door de eeuwen heen Stanny Verster 3-15 1999")</f>
        <v>0</v>
      </c>
    </row>
    <row r="272" spans="2:4">
      <c r="B272">
        <v>56</v>
      </c>
      <c r="C272" s="1">
        <f>hyperlink("https://hetutrechtsarchief.nl/collectie/9DA9F25B759B41E9E0534701000A19E0","De Bronzen Troffel van Stichtse Vecht Juliette Jonker-Duynstee 134-141 2019")</f>
        <v>0</v>
      </c>
      <c r="D272" s="1">
        <f>hyperlink("http://dspace.library.uu.nl/handle/1874/210515","Bijzondere branden Juliette Kruijter Kees de Verhage Gertjan Jonker-Duynstee 18-22 1999")</f>
        <v>0</v>
      </c>
    </row>
    <row r="273" spans="2:4">
      <c r="B273">
        <v>59</v>
      </c>
      <c r="C273" s="1">
        <f>hyperlink("https://hetutrechtsarchief.nl/collectie/DD7761BE98E954989E9DD70A08DC963C","Kerken in Loenen Nigtevecht en Vreeland Kees de Kruijter 81-91 2004")</f>
        <v>0</v>
      </c>
      <c r="D273" s="1">
        <f>hyperlink("http://dspace.library.uu.nl/handle/1874/210516","Brandweerverordeningen van Vreeland Kees de Boerstra Jan Kruijter 16-17 1999")</f>
        <v>0</v>
      </c>
    </row>
    <row r="274" spans="2:4">
      <c r="B274">
        <v>55</v>
      </c>
      <c r="C274" s="1">
        <f>hyperlink("https://hetutrechtsarchief.nl/collectie/1421348450025E74B279D47A6B5DCC5A","De Ronde Venen wie keert de wereld om Wim Bos 101-122 1999")</f>
        <v>0</v>
      </c>
      <c r="D274" s="1">
        <f>hyperlink("http://dspace.library.uu.nl/handle/1874/210517","Loenen rond de eeuwwisseling Willem Verster Stanny Mooij 8-12 1999")</f>
        <v>0</v>
      </c>
    </row>
    <row r="275" spans="2:4">
      <c r="B275">
        <v>60</v>
      </c>
      <c r="C275" s="1">
        <f>hyperlink("https://hetutrechtsarchief.nl/collectie/9A4064BE3767556587CDFA06AD3F69AC","Heraldische wapenboeken Fred van Kan 2-3 2005")</f>
        <v>0</v>
      </c>
      <c r="D275" s="1">
        <f>hyperlink("http://dspace.library.uu.nl/handle/1874/210518","Verffabriek te Loenen R H C van Maanen 29-31 2000")</f>
        <v>0</v>
      </c>
    </row>
    <row r="276" spans="2:4">
      <c r="B276">
        <v>66</v>
      </c>
      <c r="C276" s="1">
        <f>hyperlink("https://hetutrechtsarchief.nl/collectie/CFF5A959C68A55DD8E681B3E0702DC82","Swingen in Loenen Juliette Jonker-Duynstee en Willem Mooij 15-21 2006")</f>
        <v>0</v>
      </c>
      <c r="D276" s="1">
        <f>hyperlink("http://dspace.library.uu.nl/handle/1874/210519","Een herrezen koepel Willem Jonker-Duynstee Juliette Mooij 19-21 2001")</f>
        <v>0</v>
      </c>
    </row>
    <row r="277" spans="2:4">
      <c r="B277">
        <v>61</v>
      </c>
      <c r="C277" s="1">
        <f>hyperlink("https://hetutrechtsarchief.nl/collectie/F206881900B6511D89DA098AC10EE974","Frank Mooij in het Cremerhuis Willem Mooij en Juliette Jonker-Duynstee 22-23 2006")</f>
        <v>0</v>
      </c>
      <c r="D277" s="1">
        <f>hyperlink("http://dspace.library.uu.nl/handle/1874/210520","Van Agavenloods tot zweemershuisje de bebouwing op Terra Nova Juliette Jonker-Duynstee 23-27 1999")</f>
        <v>0</v>
      </c>
    </row>
    <row r="278" spans="2:4">
      <c r="B278">
        <v>68</v>
      </c>
      <c r="C278" s="1">
        <f>hyperlink("https://hetutrechtsarchief.nl/collectie/9B6FC1D8479E53B99B0A8BFA5D920AF9","De wapens van de gemeente Loenen Juliette Jonker-Duynstee 43-46 2010")</f>
        <v>0</v>
      </c>
      <c r="D278" s="1">
        <f>hyperlink("http://dspace.library.uu.nl/handle/1874/210521","De kerkklokken van Loenen een bewogen historie Juliette Jonker-Duynstee 21-27 2000")</f>
        <v>0</v>
      </c>
    </row>
    <row r="279" spans="2:4">
      <c r="B279">
        <v>62</v>
      </c>
      <c r="C279" s="1">
        <f>hyperlink("https://hetutrechtsarchief.nl/collectie/464DC1ED5AB25AC5B5AD006197F143D3","De brand in de Grote kerk van Loenen Sander Griffioen 9-12 2010")</f>
        <v>0</v>
      </c>
      <c r="D279" s="1">
        <f>hyperlink("http://dspace.library.uu.nl/handle/1874/210617","Eigendomsrecht van de Grote Kerk in in Loenen Gertjan Verhage 23-28 2002")</f>
        <v>0</v>
      </c>
    </row>
    <row r="280" spans="2:4">
      <c r="B280">
        <v>65</v>
      </c>
      <c r="C280" s="1">
        <f>hyperlink("https://hetutrechtsarchief.nl/collectie/237FF2EE6B795F22B602D8D228E23158","De theekoepel van Vegtlust Juliette Jonker-Duynstee 46-59 2012")</f>
        <v>0</v>
      </c>
      <c r="D280" s="1">
        <f>hyperlink("http://dspace.library.uu.nl/handle/1874/210618","Drie eeuwen rooms-katholieke kerk aan de Slootdijk Juliette Jonker-Duynstee 24-28 2001")</f>
        <v>0</v>
      </c>
    </row>
    <row r="281" spans="2:4">
      <c r="B281">
        <v>64</v>
      </c>
      <c r="C281" s="1">
        <f>hyperlink("https://hetutrechtsarchief.nl/collectie/DD7761BE98E954989E9DD70A08DC963C","Kerken in Loenen Nigtevecht en Vreeland Kees de Kruijter 81-91 2004")</f>
        <v>0</v>
      </c>
      <c r="D281" s="1">
        <f>hyperlink("http://dspace.library.uu.nl/handle/1874/210619","Kerken in Loenen Nigtevecht en Vreeland duizend jaar geschiedenis in vogelvlucht Kees de Kruijter 3-15 nr 18 mei 2003 p 24-25 2002-2003")</f>
        <v>0</v>
      </c>
    </row>
    <row r="282" spans="2:4">
      <c r="B282">
        <v>83</v>
      </c>
      <c r="C282" s="1">
        <f>hyperlink("https://hetutrechtsarchief.nl/collectie/AEF9155BABA75C6492CC4C302FCA5533","Napoleon in Loenen Kees de Kruijter en Willem Mooij 10-14 2006")</f>
        <v>0</v>
      </c>
      <c r="D282" s="1">
        <f>hyperlink("http://dspace.library.uu.nl/handle/1874/210756","Napoleon in Loenen Willem Kruijter Kees de Mooij 10-14 2006")</f>
        <v>0</v>
      </c>
    </row>
    <row r="283" spans="2:4">
      <c r="B283">
        <v>83</v>
      </c>
      <c r="C283" s="1">
        <f>hyperlink("https://hetutrechtsarchief.nl/collectie/CFF5A959C68A55DD8E681B3E0702DC82","Swingen in Loenen Juliette Jonker-Duynstee en Willem Mooij 15-21 2006")</f>
        <v>0</v>
      </c>
      <c r="D283" s="1">
        <f>hyperlink("http://dspace.library.uu.nl/handle/1874/210757","Swingen in Loenen Willem Jonker-Duynstee Juliette Mooij 15-21 2006")</f>
        <v>0</v>
      </c>
    </row>
    <row r="284" spans="2:4">
      <c r="B284">
        <v>86</v>
      </c>
      <c r="C284" s="1">
        <f>hyperlink("https://hetutrechtsarchief.nl/collectie/F206881900B6511D89DA098AC10EE974","Frank Mooij in het Cremerhuis Willem Mooij en Juliette Jonker-Duynstee 22-23 2006")</f>
        <v>0</v>
      </c>
      <c r="D284" s="1">
        <f>hyperlink("http://dspace.library.uu.nl/handle/1874/210758","Frank Mooij in het Cremerhuis Juliette Mooij Willem Jonker-Duynstee 22-23 2006")</f>
        <v>0</v>
      </c>
    </row>
    <row r="285" spans="2:4">
      <c r="B285">
        <v>87</v>
      </c>
      <c r="C285" s="1">
        <f>hyperlink("https://hetutrechtsarchief.nl/collectie/E0F09445B3F259A0B6037ABB4D73569A","E R D Schaap schilder in de Vechtstreek Juliette Jonker-Duynstee en Willem Mooij 27-30 2006")</f>
        <v>0</v>
      </c>
      <c r="D285" s="1">
        <f>hyperlink("http://dspace.library.uu.nl/handle/1874/210759","E R D Schaap schilder in de Vechtstreek Willem Jonker-Duynstee Juliette Mooij 27-30 2006")</f>
        <v>0</v>
      </c>
    </row>
    <row r="286" spans="2:4">
      <c r="B286">
        <v>100</v>
      </c>
      <c r="C286" s="1">
        <f>hyperlink("https://hetutrechtsarchief.nl/collectie/30836AA038605677B232938BB9313D90","Officieren onder invloed van drank L De Jong 31 2006")</f>
        <v>0</v>
      </c>
      <c r="D286" s="1">
        <f>hyperlink("http://dspace.library.uu.nl/handle/1874/210760","Officieren onder invloed van drank L de Jong 31 2006")</f>
        <v>0</v>
      </c>
    </row>
    <row r="287" spans="2:4">
      <c r="B287">
        <v>100</v>
      </c>
      <c r="C287" s="1">
        <f>hyperlink("https://hetutrechtsarchief.nl/collectie/897555EA113D53F69F0134EFB5A53431","De melkhandel van Arie Rosemale Willem Mooij 32 2006")</f>
        <v>0</v>
      </c>
      <c r="D287" s="1">
        <f>hyperlink("http://dspace.library.uu.nl/handle/1874/210761","De melkhandel van Arie Rosemale Willem Mooij 32 2006")</f>
        <v>0</v>
      </c>
    </row>
    <row r="288" spans="2:4">
      <c r="B288">
        <v>90</v>
      </c>
      <c r="C288" s="1">
        <f>hyperlink("https://hetutrechtsarchief.nl/collectie/21592C4FA34558FA9E707AEFE0AD0A02","Herindeling van Oud Over en Mijnden grenswijziging tussen Loosdrecht en Loenen Zwannie Hageman en Kees de Kruijter 3-15 2006")</f>
        <v>0</v>
      </c>
      <c r="D288" s="1">
        <f>hyperlink("http://dspace.library.uu.nl/handle/1874/210762","Herindeling van Oud Over en Mijnden grenswijziging tussen Loosdrecht en Loenen Kees de Hageman Zwannie Kruijter 3-15 2006")</f>
        <v>0</v>
      </c>
    </row>
    <row r="289" spans="2:4">
      <c r="B289">
        <v>80</v>
      </c>
      <c r="C289" s="1">
        <f>hyperlink("https://hetutrechtsarchief.nl/collectie/B95D6C5B940A52A8AAAB96A2CDA72E65","In gesprek met Gerrit Oussoren Riek Arink en Hilde de Haan red Kees de Kruijter 16-23 2006")</f>
        <v>0</v>
      </c>
      <c r="D289" s="1">
        <f>hyperlink("http://dspace.library.uu.nl/handle/1874/210763","In gesprek met Gerrit Oussoren Gerrit Arink Riek Haan Hilde de Kruijter Kees de Oussoren 16-23 2006")</f>
        <v>0</v>
      </c>
    </row>
    <row r="290" spans="2:4">
      <c r="B290">
        <v>100</v>
      </c>
      <c r="C290" s="1">
        <f>hyperlink("https://hetutrechtsarchief.nl/collectie/F32D746B9AF25A57BB095E2EF780526E","Wico speelgoed uit Nieuwer ter Aa ons merk garandeert goed werk Mieke Kennis 24-31 2006")</f>
        <v>0</v>
      </c>
      <c r="D290" s="1">
        <f>hyperlink("http://dspace.library.uu.nl/handle/1874/210764","Wico speelgoed uit Nieuwer ter Aa ons merk garandeert goed werk Mieke Kennis 24-31 2006")</f>
        <v>0</v>
      </c>
    </row>
    <row r="291" spans="2:4">
      <c r="B291">
        <v>100</v>
      </c>
      <c r="C291" s="1">
        <f>hyperlink("https://hetutrechtsarchief.nl/collectie/E6DE6FC46E255B878B3E5766221F4D65","Alambertskade versus Dirk A Lambertszkade Juliette Jonker-Duynstee 3-9 2007")</f>
        <v>0</v>
      </c>
      <c r="D291" s="1">
        <f>hyperlink("http://dspace.library.uu.nl/handle/1874/210765","Alambertskade versus Dirk A Lambertszkade Juliette Jonker-Duynstee 3-9 2007")</f>
        <v>0</v>
      </c>
    </row>
    <row r="292" spans="2:4">
      <c r="B292">
        <v>100</v>
      </c>
      <c r="C292" s="1">
        <f>hyperlink("https://hetutrechtsarchief.nl/collectie/4B1FE78A10775128B3D92394B6497E64","Handelskwekerij De Morgenzon te Vreeland 1906-1963 Ron van Maanen 10-16 2007")</f>
        <v>0</v>
      </c>
      <c r="D292" s="1">
        <f>hyperlink("http://dspace.library.uu.nl/handle/1874/210766","Handelskwekerij De Morgenzon te Vreeland 1906-1963 Ron van Maanen 10-16 2007")</f>
        <v>0</v>
      </c>
    </row>
    <row r="293" spans="2:4">
      <c r="B293">
        <v>100</v>
      </c>
      <c r="C293" s="1">
        <f>hyperlink("https://hetutrechtsarchief.nl/collectie/81AE27670D4F5CD991DEA61AD43FD766","Het wapen van Vreeland A T E Cruysheer 17-21 2007")</f>
        <v>0</v>
      </c>
      <c r="D293" s="1">
        <f>hyperlink("http://dspace.library.uu.nl/handle/1874/210767","Het wapen van Vreeland A T E Cruysheer 17-21 2007")</f>
        <v>0</v>
      </c>
    </row>
    <row r="294" spans="2:4">
      <c r="B294">
        <v>84</v>
      </c>
      <c r="C294" s="1">
        <f>hyperlink("https://hetutrechtsarchief.nl/collectie/78C008CD015652429E4C6C9E621133C6","Met de muziek tent mee Juliette Jonker-Duynstee en Willem Mooij 22-25 2007")</f>
        <v>0</v>
      </c>
      <c r="D294" s="1">
        <f>hyperlink("http://dspace.library.uu.nl/handle/1874/210768","Met de muziek tent mee Willem Jonker-Duynstee Juliette Mooij 22-25 2007")</f>
        <v>0</v>
      </c>
    </row>
    <row r="295" spans="2:4">
      <c r="B295">
        <v>54</v>
      </c>
      <c r="C295" s="1">
        <f>hyperlink("https://hetutrechtsarchief.nl/collectie/080390334A19579C9A8D41907B723B87","Vliegkunst in vorige eeuwen - E 64-65 1926")</f>
        <v>0</v>
      </c>
      <c r="D295" s="1">
        <f>hyperlink("http://dspace.library.uu.nl/handle/1874/210790","Bladzijden uit mijn jonge leven J M Bred e 1985")</f>
        <v>0</v>
      </c>
    </row>
    <row r="296" spans="2:4">
      <c r="B296">
        <v>56</v>
      </c>
      <c r="C296" s="1">
        <f>hyperlink("https://hetutrechtsarchief.nl/collectie/3CDA61B5EAB956C89AA784D096AFF71A","De herbergh op de nieuwe melm E Heupers 50-54 ill 1965")</f>
        <v>0</v>
      </c>
      <c r="D296" s="1">
        <f>hyperlink("http://dspace.library.uu.nl/handle/1874/210791","De percelering op de Soester Eng P H Veen 1985")</f>
        <v>0</v>
      </c>
    </row>
    <row r="297" spans="2:4">
      <c r="B297">
        <v>54</v>
      </c>
      <c r="C297" s="1">
        <f>hyperlink("https://hetutrechtsarchief.nl/collectie/BB9FFD10AA615C5CB9978BADE19C1CF1","Eenige Utrechtsche paskwillen uit den tijd van Leycester P J Vermeulen 64-90 1847")</f>
        <v>0</v>
      </c>
      <c r="D297" s="1">
        <f>hyperlink("http://dspace.library.uu.nl/handle/1874/210792","Een Vriesche hangklok op zes gulden uit een notari le acte van 1826 1985")</f>
        <v>0</v>
      </c>
    </row>
    <row r="298" spans="2:4">
      <c r="B298">
        <v>59</v>
      </c>
      <c r="C298" s="1">
        <f>hyperlink("https://hetutrechtsarchief.nl/collectie/908DA5BDE2BD2066E0534701000A2A4D","Blauwkapel omstreeks 1840 Louis van den Brink 7-24 2000")</f>
        <v>0</v>
      </c>
      <c r="D298" s="1">
        <f>hyperlink("http://dspace.library.uu.nl/handle/1874/210793","Soest omstreeks 1840 A J van der Aa 1984")</f>
        <v>0</v>
      </c>
    </row>
    <row r="299" spans="2:4">
      <c r="B299">
        <v>56</v>
      </c>
      <c r="C299" s="1">
        <f>hyperlink("https://hetutrechtsarchief.nl/collectie/8FEB1A6BE1F034C5E0534701000AFD82","Soesters in het leger van Napoleon Jan de Mos 8-16 2019")</f>
        <v>0</v>
      </c>
      <c r="D299" s="1">
        <f>hyperlink("http://dspace.library.uu.nl/handle/1874/210794","De Zouaven Soester soldaten in het leger van de Paus 1864-1870 P J van den Breemer 1984")</f>
        <v>0</v>
      </c>
    </row>
    <row r="300" spans="2:4">
      <c r="B300">
        <v>54</v>
      </c>
      <c r="C300" s="1">
        <f>hyperlink("https://hetutrechtsarchief.nl/collectie/C8912F651CF75FB890BC1BA42B2BC8A8","Ode aan het USC 279 1981")</f>
        <v>0</v>
      </c>
      <c r="D300" s="1">
        <f>hyperlink("http://dspace.library.uu.nl/handle/1874/210796","Zoekt u iets 1985")</f>
        <v>0</v>
      </c>
    </row>
    <row r="301" spans="2:4">
      <c r="B301">
        <v>57</v>
      </c>
      <c r="C301" s="1">
        <f>hyperlink("https://hetutrechtsarchief.nl/collectie/6F5A3545387B5D66A308F59B52EC8405","De sterfdag van Thomas Basin 500 jaar geleden Kaj van Vliet 1990")</f>
        <v>0</v>
      </c>
      <c r="D301" s="1">
        <f>hyperlink("http://dspace.library.uu.nl/handle/1874/210797","De mooiste dag van mijn leven Simon van Alphen 1985")</f>
        <v>0</v>
      </c>
    </row>
    <row r="302" spans="2:4">
      <c r="B302">
        <v>54</v>
      </c>
      <c r="C302" s="1">
        <f>hyperlink("https://hetutrechtsarchief.nl/collectie/4259E663CA495FBAB2DD4BE10CEF23FD","De veilingman Jaap van Peperstraten 52 1984")</f>
        <v>0</v>
      </c>
      <c r="D302" s="1">
        <f>hyperlink("http://dspace.library.uu.nl/handle/1874/210798","Isings Simon van Alphen 1984")</f>
        <v>0</v>
      </c>
    </row>
    <row r="303" spans="2:4">
      <c r="B303">
        <v>51</v>
      </c>
      <c r="C303" s="1">
        <f>hyperlink("https://hetutrechtsarchief.nl/collectie/1DF0708DD52855F5876B9D0F62246606","Nog eens Mozart A Graafhuis 32-33 1956")</f>
        <v>0</v>
      </c>
      <c r="D303" s="1">
        <f>hyperlink("http://dspace.library.uu.nl/handle/1874/210799","Germaansche grafheuvels J J Bos 1985")</f>
        <v>0</v>
      </c>
    </row>
    <row r="304" spans="2:4">
      <c r="B304">
        <v>57</v>
      </c>
      <c r="C304" s="1">
        <f>hyperlink("https://hetutrechtsarchief.nl/collectie/9BF3DB87983B50369B9CDD99A098CF5E","Het Witte Huis Jennie Kohsiek 6-10 ill 1985")</f>
        <v>0</v>
      </c>
      <c r="D304" s="1">
        <f>hyperlink("http://dspace.library.uu.nl/handle/1874/210801","Het Wittemans-Veentje J J Bos 1985")</f>
        <v>0</v>
      </c>
    </row>
    <row r="305" spans="2:4">
      <c r="B305">
        <v>57</v>
      </c>
      <c r="C305" s="1">
        <f>hyperlink("https://hetutrechtsarchief.nl/collectie/1E06982E1CAA5C52932963EABEACC193","Het Utr gs kroegenboek Huub Jansen 10 1983")</f>
        <v>0</v>
      </c>
      <c r="D305" s="1">
        <f>hyperlink("http://dspace.library.uu.nl/handle/1874/210802","Het Slangenbosje Hans Kraal 1985")</f>
        <v>0</v>
      </c>
    </row>
    <row r="306" spans="2:4">
      <c r="B306">
        <v>57</v>
      </c>
      <c r="C306" s="1">
        <f>hyperlink("https://hetutrechtsarchief.nl/collectie/3601E1BB0E935A96AB7C8F5B491D1CCD","Het korte grachtje te Maarssen Ernst Hofman 82-84 ill 1998")</f>
        <v>0</v>
      </c>
      <c r="D306" s="1">
        <f>hyperlink("http://dspace.library.uu.nl/handle/1874/210803","Het Oude Grachtje Hans Kraal 1985")</f>
        <v>0</v>
      </c>
    </row>
    <row r="307" spans="2:4">
      <c r="B307">
        <v>68</v>
      </c>
      <c r="C307" s="1">
        <f>hyperlink("https://hetutrechtsarchief.nl/collectie/55A59F707D475B6E8A12DE60D6A86A35","Het Enghenbergje te Soest Hans Kruiswijk 104-105 2010")</f>
        <v>0</v>
      </c>
      <c r="D307" s="1">
        <f>hyperlink("http://dspace.library.uu.nl/handle/1874/210804","Het Enghenbergje te Soest Joh W Noordam 1985")</f>
        <v>0</v>
      </c>
    </row>
    <row r="308" spans="2:4">
      <c r="B308">
        <v>55</v>
      </c>
      <c r="C308" s="1">
        <f>hyperlink("https://hetutrechtsarchief.nl/collectie/2A1D7C92043E5FB083040DDF718CDA46","De ontwikkeling van het venster 1-16 ill 1989")</f>
        <v>0</v>
      </c>
      <c r="D308" s="1">
        <f>hyperlink("http://dspace.library.uu.nl/handle/1874/210805","De Zoom van het Gooi Soest Henri Polak 1984")</f>
        <v>0</v>
      </c>
    </row>
    <row r="309" spans="2:4">
      <c r="B309">
        <v>56</v>
      </c>
      <c r="C309" s="1">
        <f>hyperlink("https://hetutrechtsarchief.nl/collectie/0A550DB103CF5E10834C7D110095C8CF","Geimagineerde spokerije - K 18-19 1943")</f>
        <v>0</v>
      </c>
      <c r="D309" s="1">
        <f>hyperlink("http://dspace.library.uu.nl/handle/1874/210806","Genealogie De Kruyf De Kruijff F G W de Wit 1984")</f>
        <v>0</v>
      </c>
    </row>
    <row r="310" spans="2:4">
      <c r="B310">
        <v>62</v>
      </c>
      <c r="C310" s="1">
        <f>hyperlink("https://hetutrechtsarchief.nl/collectie/38184FBA788B5923B17B3253DF446655","Openbare verkoping 1845 Wim Peters 31-40 2005")</f>
        <v>0</v>
      </c>
      <c r="D310" s="1">
        <f>hyperlink("http://dspace.library.uu.nl/handle/1874/210877","Openbare verkoping 1987")</f>
        <v>0</v>
      </c>
    </row>
    <row r="311" spans="2:4">
      <c r="B311">
        <v>60</v>
      </c>
      <c r="C311" s="1">
        <f>hyperlink("https://hetutrechtsarchief.nl/collectie/34E3C80411695CC4B3422E801657BF08","Buitenplaats Oudeweg Jos Pot 3-5 2013")</f>
        <v>0</v>
      </c>
      <c r="D311" s="1">
        <f>hyperlink("http://dspace.library.uu.nl/handle/1874/210878","Buitenplaats Middelwijk J J Bos 1985")</f>
        <v>0</v>
      </c>
    </row>
    <row r="312" spans="2:4">
      <c r="B312">
        <v>61</v>
      </c>
      <c r="C312" s="1">
        <f>hyperlink("https://hetutrechtsarchief.nl/collectie/E21021439CE3502FBF2B74A9EA629E7B","Uit de oude doos Wim Klever 24-25 1998")</f>
        <v>0</v>
      </c>
      <c r="D312" s="1">
        <f>hyperlink("http://dspace.library.uu.nl/handle/1874/210879","Foto s uit de oude doos 1986")</f>
        <v>0</v>
      </c>
    </row>
    <row r="313" spans="2:4">
      <c r="B313">
        <v>50</v>
      </c>
      <c r="C313" s="1">
        <f>hyperlink("https://hetutrechtsarchief.nl/collectie/40DB8C9334D4513A8EF2FF5107CFD881","Hoe de Heilige Berg bij Amersfoort ontstond J Rasch 31-32 1936")</f>
        <v>0</v>
      </c>
      <c r="D313" s="1">
        <f>hyperlink("http://dspace.library.uu.nl/handle/1874/210880","Hamelenberg Bartolotti-Vosseveld J J Bos 1986")</f>
        <v>0</v>
      </c>
    </row>
    <row r="314" spans="2:4">
      <c r="B314">
        <v>52</v>
      </c>
      <c r="C314" s="1">
        <f>hyperlink("https://hetutrechtsarchief.nl/collectie/78E03F859F6A552595E22EA9CAD88834","Huize Oudaen 8-9 ill 1984")</f>
        <v>0</v>
      </c>
      <c r="D314" s="1">
        <f>hyperlink("http://dspace.library.uu.nl/handle/1874/210881","Huize Schoonoord Witsenburg J J Bos 1986")</f>
        <v>0</v>
      </c>
    </row>
    <row r="315" spans="2:4">
      <c r="B315">
        <v>68</v>
      </c>
      <c r="C315" s="1">
        <f>hyperlink("https://hetutrechtsarchief.nl/collectie/4E04A6A0B09257CA956DE3C478896A52","Het landgoed Pijnenburg in gevaar 17-18 1968")</f>
        <v>0</v>
      </c>
      <c r="D315" s="1">
        <f>hyperlink("http://dspace.library.uu.nl/handle/1874/210882","Landgoed Pijnenburg J J Bos 1986")</f>
        <v>0</v>
      </c>
    </row>
    <row r="316" spans="2:4">
      <c r="B316">
        <v>58</v>
      </c>
      <c r="C316" s="1">
        <f>hyperlink("https://hetutrechtsarchief.nl/collectie/D98129DFDC02537BB1390EEC69A3E428","De woning van de auteur J A Bonthuis 21-29 2009")</f>
        <v>0</v>
      </c>
      <c r="D316" s="1">
        <f>hyperlink("http://dspace.library.uu.nl/handle/1874/210883","De predikantswoning in de Kerkebuurt J J Bos 1987")</f>
        <v>0</v>
      </c>
    </row>
    <row r="317" spans="2:4">
      <c r="B317">
        <v>62</v>
      </c>
      <c r="C317" s="1">
        <f>hyperlink("https://hetutrechtsarchief.nl/collectie/C1FE4CF044DB5B4AB5069E25D90B4BC2","Het kasteel Vredenburg 131 -132 1936")</f>
        <v>0</v>
      </c>
      <c r="D317" s="1">
        <f>hyperlink("http://dspace.library.uu.nl/handle/1874/210884","Het kasteel Hamelenburg P J van den Breemer 1986")</f>
        <v>0</v>
      </c>
    </row>
    <row r="318" spans="2:4">
      <c r="B318">
        <v>58</v>
      </c>
      <c r="C318" s="1">
        <f>hyperlink("https://hetutrechtsarchief.nl/collectie/18F3DA92305A59B3BD744C7E73E72A0B","De Spuikoker clubblad van de SOVU Jellie van der Meulen 1-3 1984")</f>
        <v>0</v>
      </c>
      <c r="D318" s="1">
        <f>hyperlink("http://dspace.library.uu.nl/handle/1874/210885","De bakkerij van Van Brummelen G van Brummelen 1986")</f>
        <v>0</v>
      </c>
    </row>
    <row r="319" spans="2:4">
      <c r="B319">
        <v>53</v>
      </c>
      <c r="C319" s="1">
        <f>hyperlink("https://hetutrechtsarchief.nl/collectie/44C8992ED4E555C7851D6E4BB7C6FA96","De Maria-kapel van het Duitse Huis I A S Klusener 653-654 ill 1985")</f>
        <v>0</v>
      </c>
      <c r="D319" s="1">
        <f>hyperlink("http://dspace.library.uu.nl/handle/1874/210886","Het Seminarie op De Bunt - het huidige Soest-Zuid W H A Klein 1986")</f>
        <v>0</v>
      </c>
    </row>
    <row r="320" spans="2:4">
      <c r="B320">
        <v>56</v>
      </c>
      <c r="C320" s="1">
        <f>hyperlink("https://hetutrechtsarchief.nl/collectie/F5D5962B754556C6ABE16DB9F1CB8BDF","Studenten in Domsteeg F A L Franken 10-11 1962")</f>
        <v>0</v>
      </c>
      <c r="D320" s="1">
        <f>hyperlink("http://dspace.library.uu.nl/handle/1874/210887","De Bunt en omgeving omstreeks 1900 W H A Klein 1987")</f>
        <v>0</v>
      </c>
    </row>
    <row r="321" spans="2:4">
      <c r="B321">
        <v>54</v>
      </c>
      <c r="C321" s="1">
        <f>hyperlink("https://hetutrechtsarchief.nl/collectie/6F31E477B4F25A0C89713BCD01A0BB3F","Het Groenstructuurplan 17-19 ill 1993")</f>
        <v>0</v>
      </c>
      <c r="D321" s="1">
        <f>hyperlink("http://dspace.library.uu.nl/handle/1874/210888","Het Soester natuurbad Hans Kraal 1986")</f>
        <v>0</v>
      </c>
    </row>
    <row r="322" spans="2:4">
      <c r="B322">
        <v>57</v>
      </c>
      <c r="C322" s="1">
        <f>hyperlink("https://hetutrechtsarchief.nl/collectie/5175683BBA1C5DF0B75DEF91EEFB5F97","Het huis Hamelenberg in de Slaag te Soest Jos G M Hilhorst 30-32 1999")</f>
        <v>0</v>
      </c>
      <c r="D322" s="1">
        <f>hyperlink("http://dspace.library.uu.nl/handle/1874/210889","Huijs en hofstede Luchtensteijn te Soest Jo Staalenhoef G Hilhorst 1986")</f>
        <v>0</v>
      </c>
    </row>
    <row r="323" spans="2:4">
      <c r="B323">
        <v>61</v>
      </c>
      <c r="C323" s="1">
        <f>hyperlink("https://hetutrechtsarchief.nl/collectie/79A9AB94D9C65DC7AFC75618600946CD","Het topje van de ijsberg 16-18 1985")</f>
        <v>0</v>
      </c>
      <c r="D323" s="1">
        <f>hyperlink("http://dspace.library.uu.nl/handle/1874/210890","Soesterberg P J van den Breemer 1986-1987")</f>
        <v>0</v>
      </c>
    </row>
    <row r="324" spans="2:4">
      <c r="B324">
        <v>57</v>
      </c>
      <c r="C324" s="1">
        <f>hyperlink("https://hetutrechtsarchief.nl/collectie/77D5FE60A3B25FD7A48A8A11B0E6CF54","De maires van Soest E Heupers 114-122 ill 1963")</f>
        <v>0</v>
      </c>
      <c r="D324" s="1">
        <f>hyperlink("http://dspace.library.uu.nl/handle/1874/210892","De kalkbranderij E Heupers 1986")</f>
        <v>0</v>
      </c>
    </row>
    <row r="325" spans="2:4">
      <c r="B325">
        <v>57</v>
      </c>
      <c r="C325" s="1">
        <f>hyperlink("https://hetutrechtsarchief.nl/collectie/885108F290885F849C62BA9681A99AC5","Hollie Hasenbos 2 1984")</f>
        <v>0</v>
      </c>
      <c r="D325" s="1">
        <f>hyperlink("http://dspace.library.uu.nl/handle/1874/210893","Bushistorie Hans Kraal 1987")</f>
        <v>0</v>
      </c>
    </row>
    <row r="326" spans="2:4">
      <c r="B326">
        <v>56</v>
      </c>
      <c r="C326" s="1">
        <f>hyperlink("https://hetutrechtsarchief.nl/collectie/7BF909D7D3DF5842A28E675A2D6EFEE7","Opening Vliegkamp Soesterberg in 1910 19-20 1999")</f>
        <v>0</v>
      </c>
      <c r="D326" s="1">
        <f>hyperlink("http://dspace.library.uu.nl/handle/1874/210894","Het vliegveld Soesterberg Hans Kraal 1985")</f>
        <v>0</v>
      </c>
    </row>
    <row r="327" spans="2:4">
      <c r="B327">
        <v>55</v>
      </c>
      <c r="C327" s="1">
        <f>hyperlink("https://hetutrechtsarchief.nl/collectie/B65667BEDB0E563890C7163CED1921EB","Over de oudheid van de Munt te Utrecht 35-63 1847")</f>
        <v>0</v>
      </c>
      <c r="D327" s="1">
        <f>hyperlink("http://dspace.library.uu.nl/handle/1874/210895","Naam en oudheid van Soest J J Bos 1987")</f>
        <v>0</v>
      </c>
    </row>
    <row r="328" spans="2:4">
      <c r="B328">
        <v>56</v>
      </c>
      <c r="C328" s="1">
        <f>hyperlink("https://hetutrechtsarchief.nl/collectie/DCC9E2CFAD6D55668C338C5D663649F4","De bedevaarten onzer landgenoten A C J van der Kemp 1 -103 1880")</f>
        <v>0</v>
      </c>
      <c r="D328" s="1">
        <f>hyperlink("http://dspace.library.uu.nl/handle/1874/210896","Braamhage aan het Lange Eind P J van den Breemer 1987-1988")</f>
        <v>0</v>
      </c>
    </row>
    <row r="329" spans="2:4">
      <c r="B329">
        <v>59</v>
      </c>
      <c r="C329" s="1">
        <f>hyperlink("https://hetutrechtsarchief.nl/collectie/20006C0F40335FE78E55A4C769B88DF1","Monumenten het huis aan de Kleine Melm Henk Gerth 27-28 2001")</f>
        <v>0</v>
      </c>
      <c r="D329" s="1">
        <f>hyperlink("http://dspace.library.uu.nl/handle/1874/210898","Het veerhuis aan de Kleine Melm J M Staalenhoef G Veenstra 1986-1988")</f>
        <v>0</v>
      </c>
    </row>
    <row r="330" spans="2:4">
      <c r="B330">
        <v>61</v>
      </c>
      <c r="C330" s="1">
        <f>hyperlink("https://hetutrechtsarchief.nl/collectie/9AB168204ECE50EE936D128A4B5CDAFC","Het Universiteitshuis De Commissie van Beheer 1946")</f>
        <v>0</v>
      </c>
      <c r="D330" s="1">
        <f>hyperlink("http://dspace.library.uu.nl/handle/1874/210902","De instelling van de Commissie van Weldadigheid 1987")</f>
        <v>0</v>
      </c>
    </row>
    <row r="331" spans="2:4">
      <c r="B331">
        <v>54</v>
      </c>
      <c r="C331" s="1">
        <f>hyperlink("https://hetutrechtsarchief.nl/collectie/5D66167F4D8E518EA88F38AA3CAB5A51","Een Stichtenaar op den Deventer leerstoel W B J van Eijck 157-169 1868")</f>
        <v>0</v>
      </c>
      <c r="D331" s="1">
        <f>hyperlink("http://dspace.library.uu.nl/handle/1874/210903","Van de Kwikstaart naar De Lasenberg school W J A Klein 1988")</f>
        <v>0</v>
      </c>
    </row>
    <row r="332" spans="2:4">
      <c r="B332">
        <v>57</v>
      </c>
      <c r="C332" s="1">
        <f>hyperlink("https://hetutrechtsarchief.nl/collectie/557A731A203C5BBCBFE97319A6BB6E11","Boerenwijsheid in Soest E Heupers 53-54 ill 1971")</f>
        <v>0</v>
      </c>
      <c r="D332" s="1">
        <f>hyperlink("http://dspace.library.uu.nl/handle/1874/210905","Koehaarspinnerijen in Eemland E Heupers 1987")</f>
        <v>0</v>
      </c>
    </row>
    <row r="333" spans="2:4">
      <c r="B333">
        <v>59</v>
      </c>
      <c r="C333" s="1">
        <f>hyperlink("https://hetutrechtsarchief.nl/collectie/700087A52B86503BE0534701000A4DD7","Een historische parel op de Bunt Paul Verhoeven 22-25 2018")</f>
        <v>0</v>
      </c>
      <c r="D333" s="1">
        <f>hyperlink("http://dspace.library.uu.nl/handle/1874/210907","Prehistorische grafheuvel op de Eng gerestaureerd 1985")</f>
        <v>0</v>
      </c>
    </row>
    <row r="334" spans="2:4">
      <c r="B334">
        <v>59</v>
      </c>
      <c r="C334" s="1">
        <f>hyperlink("https://hetutrechtsarchief.nl/collectie/5F37FC5291CA5DC899FEE8931E84112A","Uit de Collectie Van de Pollbank 21-22 2008")</f>
        <v>0</v>
      </c>
      <c r="D334" s="1">
        <f>hyperlink("http://dspace.library.uu.nl/handle/1874/210908","Uit de tijd van de patriotten 1787 1986")</f>
        <v>0</v>
      </c>
    </row>
    <row r="335" spans="2:4">
      <c r="B335">
        <v>54</v>
      </c>
      <c r="C335" s="1">
        <f>hyperlink("https://hetutrechtsarchief.nl/collectie/77DABD8D9A8BD56FE0534701000A717A","Van de Wint Iconisch en historisch Corien Alsbach 4-19 2018")</f>
        <v>0</v>
      </c>
      <c r="D335" s="1">
        <f>hyperlink("http://dspace.library.uu.nl/handle/1874/210910","Landjuweel de prijswinnaars van de historische optocht 1987")</f>
        <v>0</v>
      </c>
    </row>
    <row r="336" spans="2:4">
      <c r="B336">
        <v>57</v>
      </c>
      <c r="C336" s="1">
        <f>hyperlink("https://hetutrechtsarchief.nl/collectie/40467FF10A8357AD8B4F326759766E90","De krant het Utrechts Nieuwsblad Jan Cino en Willem Koning 10-11 1989")</f>
        <v>0</v>
      </c>
      <c r="D336" s="1">
        <f>hyperlink("http://dspace.library.uu.nl/handle/1874/210912","Krantenknipsels Utrechts Nieuwsblad 4 Febr 1927 het uitbreidingsplan van 1927 1986")</f>
        <v>0</v>
      </c>
    </row>
    <row r="337" spans="2:4">
      <c r="B337">
        <v>56</v>
      </c>
      <c r="C337" s="1">
        <f>hyperlink("https://hetutrechtsarchief.nl/collectie/65311DA5AB425F6E8E4C25546B324A89","Een stukje historie van het postkantoor in Maarssen Theo Schouten 73-74 2016")</f>
        <v>0</v>
      </c>
      <c r="D337" s="1">
        <f>hyperlink("http://dspace.library.uu.nl/handle/1874/210913","Een stukje historie tot leven gebracht met een metaaldetector T Bikker 1985")</f>
        <v>0</v>
      </c>
    </row>
    <row r="338" spans="2:4">
      <c r="B338">
        <v>56</v>
      </c>
      <c r="C338" s="1">
        <f>hyperlink("https://hetutrechtsarchief.nl/collectie/07E65E0E264A514992FF036EF4992FBB","Bouwgeschiedenis van het Co peratie gebouw aan de Panoven Rinus Verweij 17-27 2012")</f>
        <v>0</v>
      </c>
      <c r="D338" s="1">
        <f>hyperlink("http://dspace.library.uu.nl/handle/1874/210914","Geschiedenis van Soest e o voor de eerste vermelding in de bronnen Rainoud van Dorresteijn 1986")</f>
        <v>0</v>
      </c>
    </row>
    <row r="339" spans="2:4">
      <c r="B339">
        <v>57</v>
      </c>
      <c r="C339" s="1">
        <f>hyperlink("https://hetutrechtsarchief.nl/collectie/09ABB5AC3CDD529CA565527BF4197C24","De grote- en kleine melm te Soest E Heupers 13-20 ill 1964")</f>
        <v>0</v>
      </c>
      <c r="D339" s="1">
        <f>hyperlink("http://dspace.library.uu.nl/handle/1874/210915","De glasblazerij te Isselt E Heupers 1986")</f>
        <v>0</v>
      </c>
    </row>
    <row r="340" spans="2:4">
      <c r="B340">
        <v>58</v>
      </c>
      <c r="C340" s="1">
        <f>hyperlink("https://hetutrechtsarchief.nl/collectie/557A731A203C5BBCBFE97319A6BB6E11","Boerenwijsheid in Soest E Heupers 53-54 ill 1971")</f>
        <v>0</v>
      </c>
      <c r="D340" s="1">
        <f>hyperlink("http://dspace.library.uu.nl/handle/1874/210916","Schuttersdag in Soest W Heupers Engelbert Schimmel 1987")</f>
        <v>0</v>
      </c>
    </row>
    <row r="341" spans="2:4">
      <c r="B341">
        <v>63</v>
      </c>
      <c r="C341" s="1">
        <f>hyperlink("https://hetutrechtsarchief.nl/collectie/0E07BE488DD95D8399612A288721DEEC","De kloostergang van St Marie Ren e Harp 15-16 ill 1987")</f>
        <v>0</v>
      </c>
      <c r="D341" s="1">
        <f>hyperlink("http://dspace.library.uu.nl/handle/1874/210917","De ondergang van een dorp J H Isings 1987")</f>
        <v>0</v>
      </c>
    </row>
    <row r="342" spans="2:4">
      <c r="B342">
        <v>57</v>
      </c>
      <c r="C342" s="1">
        <f>hyperlink("https://hetutrechtsarchief.nl/collectie/A3A7CF79726C504C9586957A9A0910B9","Stationsplein - Veenstra 2- 5 ill 1975")</f>
        <v>0</v>
      </c>
      <c r="D342" s="1">
        <f>hyperlink("http://dspace.library.uu.nl/handle/1874/210918","Station Soest Hans Kraal 1985")</f>
        <v>0</v>
      </c>
    </row>
    <row r="343" spans="2:4">
      <c r="B343">
        <v>52</v>
      </c>
      <c r="C343" s="1">
        <f>hyperlink("https://hetutrechtsarchief.nl/collectie/312756F67F05504E99A6BC49E34540B2","Opkomst bloei en neergang van molens in de omgeving van Breukelen Arie A Manten 66-81 ill 1998")</f>
        <v>0</v>
      </c>
      <c r="D343" s="1">
        <f>hyperlink("http://dspace.library.uu.nl/handle/1874/210919","Oorsprong wegen in deze omgeving onduidelijk wegen voeren naar oneindigheid B van Os 1986")</f>
        <v>0</v>
      </c>
    </row>
    <row r="344" spans="2:4">
      <c r="B344">
        <v>63</v>
      </c>
      <c r="C344" s="1">
        <f>hyperlink("https://hetutrechtsarchief.nl/collectie/BCD4098CB89B537CB4C6F7F10D5FDA34","De Sint Paulus Abdij te Utrecht II W Stooker 65-70 ill 1955")</f>
        <v>0</v>
      </c>
      <c r="D344" s="1">
        <f>hyperlink("http://dspace.library.uu.nl/handle/1874/210920","De Sint Paulusabdij F Th Roeten 1985")</f>
        <v>0</v>
      </c>
    </row>
    <row r="345" spans="2:4">
      <c r="B345">
        <v>58</v>
      </c>
      <c r="C345" s="1">
        <f>hyperlink("https://hetutrechtsarchief.nl/collectie/C48F69A3E771526FB38809B6B5142CF2","Onze omgeving in vroegere tijden Harm Sok 9-14 1998")</f>
        <v>0</v>
      </c>
      <c r="D345" s="1">
        <f>hyperlink("http://dspace.library.uu.nl/handle/1874/210921","Onbewaakte overwegen in vroeger dagen J M Veenstra 1987")</f>
        <v>0</v>
      </c>
    </row>
    <row r="346" spans="2:4">
      <c r="B346">
        <v>51</v>
      </c>
      <c r="C346" s="1">
        <f>hyperlink("https://hetutrechtsarchief.nl/collectie/28B2215D72415B2DA1BEC81C349C9CD2","Het Duitse Huis slot A S Klusener 683-684 1985")</f>
        <v>0</v>
      </c>
      <c r="D346" s="1">
        <f>hyperlink("http://dspace.library.uu.nl/handle/1874/210949","Jhr Ir Felix Louis Ortt W H A Klein 1988")</f>
        <v>0</v>
      </c>
    </row>
    <row r="347" spans="2:4">
      <c r="B347">
        <v>66</v>
      </c>
      <c r="C347" s="1">
        <f>hyperlink("https://hetutrechtsarchief.nl/collectie/92154EA6D8495E249E0D642E31C24A90","Klederdracht uit Gooi- en Eemland in Baarn Karin de Harder 14-16 2002")</f>
        <v>0</v>
      </c>
      <c r="D347" s="1">
        <f>hyperlink("http://dspace.library.uu.nl/handle/1874/210950","De klederdracht van Gooi- en Eemland Livia Klap Alie Lankreijer 1989")</f>
        <v>0</v>
      </c>
    </row>
    <row r="348" spans="2:4">
      <c r="B348">
        <v>59</v>
      </c>
      <c r="C348" s="1">
        <f>hyperlink("https://hetutrechtsarchief.nl/collectie/6381C7600D012AFBE0534701000A44F3","De Postweg in Soesterberg Jan de Mos 26-28 2017")</f>
        <v>0</v>
      </c>
      <c r="D348" s="1">
        <f>hyperlink("http://dspace.library.uu.nl/handle/1874/210951","Scholen te Soest en Soesterberg J J Bos 1989")</f>
        <v>0</v>
      </c>
    </row>
    <row r="349" spans="2:4">
      <c r="B349">
        <v>61</v>
      </c>
      <c r="C349" s="1">
        <f>hyperlink("https://hetutrechtsarchief.nl/collectie/77270278F650E433E0534701000AB084","Open monumenten het waterleidingbedrijf W Klein 29-32 2018")</f>
        <v>0</v>
      </c>
      <c r="D349" s="1">
        <f>hyperlink("http://dspace.library.uu.nl/handle/1874/210952","De vestiging en ontwikkeling van het waterleidingbedrijf in Soest W H A Klein 1989")</f>
        <v>0</v>
      </c>
    </row>
    <row r="350" spans="2:4">
      <c r="B350">
        <v>57</v>
      </c>
      <c r="C350" s="1">
        <f>hyperlink("https://hetutrechtsarchief.nl/collectie/A18A9C12F2165D35A0AD2192922758AF","Jan Steen en Utrecht - Sw 40 1949")</f>
        <v>0</v>
      </c>
      <c r="D350" s="1">
        <f>hyperlink("http://dspace.library.uu.nl/handle/1874/210953","Wateren in Soest J J Bos 1988-1989")</f>
        <v>0</v>
      </c>
    </row>
    <row r="351" spans="2:4">
      <c r="B351">
        <v>68</v>
      </c>
      <c r="C351" s="1">
        <f>hyperlink("https://hetutrechtsarchief.nl/collectie/8663C33F838B56F3B64A7BDC93B9645F","De Eemsche molen op een kaart uit de zeventiende eeuw Hans Bronkhorst 11-16 ill 1998")</f>
        <v>0</v>
      </c>
      <c r="D351" s="1">
        <f>hyperlink("http://dspace.library.uu.nl/handle/1874/210954","De oude kerk van Soest in de zeventiende eeuw H Bronkhorst 1989")</f>
        <v>0</v>
      </c>
    </row>
    <row r="352" spans="2:4">
      <c r="B352">
        <v>53</v>
      </c>
      <c r="C352" s="1">
        <f>hyperlink("https://hetutrechtsarchief.nl/collectie/C9CA59501CAA5ECE9EE14041FA5FEC1A","Jan van Scorel en de Utrechtsche kunst W Vogelsang 110-125 ill 1942")</f>
        <v>0</v>
      </c>
      <c r="D352" s="1">
        <f>hyperlink("http://dspace.library.uu.nl/handle/1874/210955","Jacob van Gaasbeek het Utrechts schisma en de polder De Slaag Jan H M Hilhorst 1990")</f>
        <v>0</v>
      </c>
    </row>
    <row r="353" spans="2:4">
      <c r="B353">
        <v>53</v>
      </c>
      <c r="C353" s="1">
        <f>hyperlink("https://hetutrechtsarchief.nl/collectie/87813290E8E25D079525F96BA7852761","De gemeentelijke herindeling van Zeist R P M Rhoen 24-29 2001")</f>
        <v>0</v>
      </c>
      <c r="D353" s="1">
        <f>hyperlink("http://dspace.library.uu.nl/handle/1874/210957","De interlokale verbindingen van Soest van prehistorie tot heden W H A Klein 1988-1989")</f>
        <v>0</v>
      </c>
    </row>
    <row r="354" spans="2:4">
      <c r="B354">
        <v>56</v>
      </c>
      <c r="C354" s="1">
        <f>hyperlink("https://hetutrechtsarchief.nl/collectie/3AD9473573885684A788CA19FED8CDCD","Het Soester dialect J E J Hilhorst 29-31 2002")</f>
        <v>0</v>
      </c>
      <c r="D354" s="1">
        <f>hyperlink("http://dspace.library.uu.nl/handle/1874/210958","Een Soester traditie die verdween C G Hilhorst-Tilburg 1988")</f>
        <v>0</v>
      </c>
    </row>
    <row r="355" spans="2:4">
      <c r="B355">
        <v>56</v>
      </c>
      <c r="C355" s="1">
        <f>hyperlink("https://hetutrechtsarchief.nl/collectie/B345D1E3BE015F929D900EB51B621919","Torenuurwerk uit de toren van de Petrus en Pauluskerk Cees Vos 34-37 2016")</f>
        <v>0</v>
      </c>
      <c r="D355" s="1">
        <f>hyperlink("http://dspace.library.uu.nl/handle/1874/210959","De kerk van de H H Petrus en Paulus te Soest F S I Knaapen 1988")</f>
        <v>0</v>
      </c>
    </row>
    <row r="356" spans="2:4">
      <c r="B356">
        <v>51</v>
      </c>
      <c r="C356" s="1">
        <f>hyperlink("https://hetutrechtsarchief.nl/collectie/557A731A203C5BBCBFE97319A6BB6E11","Boerenwijsheid in Soest E Heupers 53-54 ill 1971")</f>
        <v>0</v>
      </c>
      <c r="D356" s="1">
        <f>hyperlink("http://dspace.library.uu.nl/handle/1874/210960","1902 - beroepsonderwijs in Soest Redactie 1990")</f>
        <v>0</v>
      </c>
    </row>
    <row r="357" spans="2:4">
      <c r="B357">
        <v>53</v>
      </c>
      <c r="C357" s="1">
        <f>hyperlink("https://hetutrechtsarchief.nl/collectie/8AA4CB23CA6A8A80E0534701000AA753","Kun je nog zingen Zing dan mee Gerard Arninkhof 8-9 2019")</f>
        <v>0</v>
      </c>
      <c r="D357" s="1">
        <f>hyperlink("http://dspace.library.uu.nl/handle/1874/210962","Wat men in een zin kan zeggen Redactie 1989")</f>
        <v>0</v>
      </c>
    </row>
    <row r="358" spans="2:4">
      <c r="B358">
        <v>53</v>
      </c>
      <c r="C358" s="1">
        <f>hyperlink("https://hetutrechtsarchief.nl/collectie/A636E2D650175020BA4C8CDE86258DA1","Kerken Kijken in Utrecht I 7 ill 1994")</f>
        <v>0</v>
      </c>
      <c r="D358" s="1">
        <f>hyperlink("http://dspace.library.uu.nl/handle/1874/210963","Zuivelfabrieken in Soest Redactie 1989")</f>
        <v>0</v>
      </c>
    </row>
    <row r="359" spans="2:4">
      <c r="B359">
        <v>51</v>
      </c>
      <c r="C359" s="1">
        <f>hyperlink("https://hetutrechtsarchief.nl/collectie/817D80A11FB2518DABF00C64F81297D5","Historische fietsroute door Hooglanderveen toekomstig Vathorst tekst Gijs Hilhorst 5-11 1998")</f>
        <v>0</v>
      </c>
      <c r="D359" s="1">
        <f>hyperlink("http://dspace.library.uu.nl/handle/1874/210964","1787 Pruisische troepen trekken door Soest Redactie Van Zoys tot Soest 1989-1991")</f>
        <v>0</v>
      </c>
    </row>
    <row r="360" spans="2:4">
      <c r="B360">
        <v>62</v>
      </c>
      <c r="C360" s="1">
        <f>hyperlink("https://hetutrechtsarchief.nl/collectie/92154EA6D8495E249E0D642E31C24A90","Klederdracht uit Gooi- en Eemland in Baarn Karin de Harder 14-16 2002")</f>
        <v>0</v>
      </c>
      <c r="D360" s="1">
        <f>hyperlink("http://dspace.library.uu.nl/handle/1874/210965","De klederdracht van Gooi- en Eemland Redactie 1989")</f>
        <v>0</v>
      </c>
    </row>
    <row r="361" spans="2:4">
      <c r="B361">
        <v>51</v>
      </c>
      <c r="C361" s="1">
        <f>hyperlink("https://hetutrechtsarchief.nl/collectie/0050310D6CD8509E83AC376E6B4C03E7","Teunis Pluim 150 jaar geleden geboren Martin Breij 77-79 2014")</f>
        <v>0</v>
      </c>
      <c r="D361" s="1">
        <f>hyperlink("http://dspace.library.uu.nl/handle/1874/210966","Pijnenburgergrift-Praamgracht 750 jaar geleden gegraven J E J Hilhorst 1989")</f>
        <v>0</v>
      </c>
    </row>
    <row r="362" spans="2:4">
      <c r="B362">
        <v>51</v>
      </c>
      <c r="C362" s="1">
        <f>hyperlink("https://hetutrechtsarchief.nl/collectie/783B8A83F8585B9198885260FE2F4550","Dr Pieter Templeman van der Hoeven J de Louter I -V portr 1918")</f>
        <v>0</v>
      </c>
      <c r="D362" s="1">
        <f>hyperlink("http://dspace.library.uu.nl/handle/1874/210967","Hand- en spandiensten geformaliseerd aandacht voor een tweetal raadsbesluiten Wim C J M Peters 1988")</f>
        <v>0</v>
      </c>
    </row>
    <row r="363" spans="2:4">
      <c r="B363">
        <v>54</v>
      </c>
      <c r="C363" s="1">
        <f>hyperlink("https://hetutrechtsarchief.nl/collectie/FEFB35F2AA355E0C8198D3E4C50345EB","De lijkkist van Weerestein S Muller Fz 1-7 7 ill 1914")</f>
        <v>0</v>
      </c>
      <c r="D363" s="1">
        <f>hyperlink("http://dspace.library.uu.nl/handle/1874/210968","De lijst van inwoners in 1786 Gerard Staalenhoef 1988-1989")</f>
        <v>0</v>
      </c>
    </row>
    <row r="364" spans="2:4">
      <c r="B364">
        <v>55</v>
      </c>
      <c r="C364" s="1">
        <f>hyperlink("https://hetutrechtsarchief.nl/collectie/8E7EA78786B6C648E0534701000AD082","Een oorkonde opmaat voor geschiedschrijving Herman Docter 17-24 2019")</f>
        <v>0</v>
      </c>
      <c r="D364" s="1">
        <f>hyperlink("http://dspace.library.uu.nl/handle/1874/210969","Het dorp Zoest beschrijving van 1772 1989")</f>
        <v>0</v>
      </c>
    </row>
    <row r="365" spans="2:4">
      <c r="B365">
        <v>55</v>
      </c>
      <c r="C365" s="1">
        <f>hyperlink("https://hetutrechtsarchief.nl/collectie/8A3A953C2F6C5A649DEDD3CB1E852743","Briefkaart uit Utrecht 159-160 ill 1985")</f>
        <v>0</v>
      </c>
      <c r="D365" s="1">
        <f>hyperlink("http://dspace.library.uu.nl/handle/1874/211053","Een ansichtkaart uit Soest Redactie 1990-1991")</f>
        <v>0</v>
      </c>
    </row>
    <row r="366" spans="2:4">
      <c r="B366">
        <v>55</v>
      </c>
      <c r="C366" s="1">
        <f>hyperlink("https://hetutrechtsarchief.nl/collectie/9682D3C626E605F7E0534701000AA00A","Landbouw in Maartensdijk omstreeks 1800 Lous de Raadt 15-16 2009")</f>
        <v>0</v>
      </c>
      <c r="D366" s="1">
        <f>hyperlink("http://dspace.library.uu.nl/handle/1874/211055","Soestdijk omstreeks 1870 C G Hilhorst 1991")</f>
        <v>0</v>
      </c>
    </row>
    <row r="367" spans="2:4">
      <c r="B367">
        <v>67</v>
      </c>
      <c r="C367" s="1">
        <f>hyperlink("https://hetutrechtsarchief.nl/collectie/D1A8A3D8AA175DC28FFAB5A70DD3E01D","De oude gildeboeken Rainoud van Dorresteijn 16-19 2000")</f>
        <v>0</v>
      </c>
      <c r="D367" s="1">
        <f>hyperlink("http://dspace.library.uu.nl/handle/1874/211057","De geschiedenis van Hees Rainoud van Dorresteijn 1991")</f>
        <v>0</v>
      </c>
    </row>
    <row r="368" spans="2:4">
      <c r="B368">
        <v>59</v>
      </c>
      <c r="C368" s="1">
        <f>hyperlink("https://hetutrechtsarchief.nl/collectie/D7E6F74DA218557EB267076016594884","Een aanbesteding in vroeger jaren 19-20 1998")</f>
        <v>0</v>
      </c>
      <c r="D368" s="1">
        <f>hyperlink("http://dspace.library.uu.nl/handle/1874/211059","Middelen van bestaan in Soest J J Bos 1990-1992")</f>
        <v>0</v>
      </c>
    </row>
    <row r="369" spans="2:4">
      <c r="B369">
        <v>63</v>
      </c>
      <c r="C369" s="1">
        <f>hyperlink("https://hetutrechtsarchief.nl/collectie/C93230D6ACCACE65E0538F04000AA0BB","Herinneringen aan 49 jaar Nieuwegein Ris van Veenendaal 17 2021")</f>
        <v>0</v>
      </c>
      <c r="D369" s="1">
        <f>hyperlink("http://dspace.library.uu.nl/handle/1874/211060","Herinneringen aan de Kerkebuurt J Veenendaal E J Hepp 1990")</f>
        <v>0</v>
      </c>
    </row>
    <row r="370" spans="2:4">
      <c r="B370">
        <v>51</v>
      </c>
      <c r="C370" s="1">
        <f>hyperlink("https://hetutrechtsarchief.nl/collectie/A906F5F5F3DF5C2CAA4F3C2A3FB2877F","Vondel op de Hieronymusschool 50 1967")</f>
        <v>0</v>
      </c>
      <c r="D370" s="1">
        <f>hyperlink("http://dspace.library.uu.nl/handle/1874/211061","De Dorpsschool J Hepp 1990")</f>
        <v>0</v>
      </c>
    </row>
    <row r="371" spans="2:4">
      <c r="B371">
        <v>58</v>
      </c>
      <c r="C371" s="1">
        <f>hyperlink("https://hetutrechtsarchief.nl/collectie/29F88A3679255898A26D80C0CADE0EDB","Herinneringen aan de Domsteeg W L van Nieuwenhuysen 104-107 1961")</f>
        <v>0</v>
      </c>
      <c r="D371" s="1">
        <f>hyperlink("http://dspace.library.uu.nl/handle/1874/211062","Herinneringen aan de Soester dorpsschool omstreeks 1840 J Veenendaal E J Hepp 1990")</f>
        <v>0</v>
      </c>
    </row>
    <row r="372" spans="2:4">
      <c r="B372">
        <v>63</v>
      </c>
      <c r="C372" s="1">
        <f>hyperlink("https://hetutrechtsarchief.nl/collectie/A37BBEABC4A85234B3509733BAC15414","De herberg De Drie Ringen te Soest E Heupers 38-42 ill 1961")</f>
        <v>0</v>
      </c>
      <c r="D372" s="1">
        <f>hyperlink("http://dspace.library.uu.nl/handle/1874/211063","Herberg De Drie Ringen W H A Klein 1990")</f>
        <v>0</v>
      </c>
    </row>
    <row r="373" spans="2:4">
      <c r="B373">
        <v>60</v>
      </c>
      <c r="C373" s="1">
        <f>hyperlink("https://hetutrechtsarchief.nl/collectie/F562D1C7B41A575ABDFF801447929E1D","Baarhuisje R K Kerkhof Eemnes Piet Hagen 95-96 1998")</f>
        <v>0</v>
      </c>
      <c r="D373" s="1">
        <f>hyperlink("http://dspace.library.uu.nl/handle/1874/211064","Het R K Kerkhof aan de Dalweg Ren van Hal 1993")</f>
        <v>0</v>
      </c>
    </row>
    <row r="374" spans="2:4">
      <c r="B374">
        <v>56</v>
      </c>
      <c r="C374" s="1">
        <f>hyperlink("https://hetutrechtsarchief.nl/collectie/82937AC264825E0AA195F19EA82BDB6B","Een duik in de archieven met de hoed in de hand J van der Meulen 134 1979")</f>
        <v>0</v>
      </c>
      <c r="D374" s="1">
        <f>hyperlink("http://dspace.library.uu.nl/handle/1874/211065","Brand en baklucht bij De Roode Haan Gijs van Brummelen 1991")</f>
        <v>0</v>
      </c>
    </row>
    <row r="375" spans="2:4">
      <c r="B375">
        <v>54</v>
      </c>
      <c r="C375" s="1">
        <f>hyperlink("https://hetutrechtsarchief.nl/collectie/24E63EC68A3258678FD96A9BE16CD905","hun leven voor de paus pauselijke zouaven uit IJsselstein en omgeving 1860-1870 Hans Ellenbroek 1-28 1999")</f>
        <v>0</v>
      </c>
      <c r="D375" s="1">
        <f>hyperlink("http://dspace.library.uu.nl/handle/1874/211066","Volksverhalen uit Soest en omgeving J J H A Heupers E Hoppenbrouwers 1993-1994")</f>
        <v>0</v>
      </c>
    </row>
    <row r="376" spans="2:4">
      <c r="B376">
        <v>55</v>
      </c>
      <c r="C376" s="1">
        <f>hyperlink("https://hetutrechtsarchief.nl/collectie/0E4C95A9040D57E7B1EC1B31466A9BD1","Waterbouw herstelt werfmuren 12-14 ill 1993")</f>
        <v>0</v>
      </c>
      <c r="D376" s="1">
        <f>hyperlink("http://dspace.library.uu.nl/handle/1874/211067","Waterdistributie winter 1929 1993")</f>
        <v>0</v>
      </c>
    </row>
    <row r="377" spans="2:4">
      <c r="B377">
        <v>54</v>
      </c>
      <c r="C377" s="1">
        <f>hyperlink("https://hetutrechtsarchief.nl/collectie/BA033D4E71A85620B72AE26D1D77805E","Hoe oud is het Grote Gild van Soest E Heupers 206-219 ill 1975")</f>
        <v>0</v>
      </c>
      <c r="D377" s="1">
        <f>hyperlink("http://dspace.library.uu.nl/handle/1874/211068","Hoe oud is ons Soest Redactie 1993")</f>
        <v>0</v>
      </c>
    </row>
    <row r="378" spans="2:4">
      <c r="B378">
        <v>56</v>
      </c>
      <c r="C378" s="1">
        <f>hyperlink("https://hetutrechtsarchief.nl/collectie/E97439FA6A31566D896C74C026574E2A","Manenburg - K 90 1934")</f>
        <v>0</v>
      </c>
      <c r="D378" s="1">
        <f>hyperlink("http://dspace.library.uu.nl/handle/1874/211069","Nieuw Marie nburg 1993")</f>
        <v>0</v>
      </c>
    </row>
    <row r="379" spans="2:4">
      <c r="B379">
        <v>90</v>
      </c>
      <c r="C379" s="1">
        <f>hyperlink("https://hetutrechtsarchief.nl/collectie/D77D65E86E035B5EA3BE7AFBF97D9A6E","Bevolking van het platte land der provincie Utrecht in 1632 198-208 1847")</f>
        <v>0</v>
      </c>
      <c r="D379" s="1">
        <f>hyperlink("http://dspace.library.uu.nl/handle/1874/211070","Bevolking van het platteland der provincie Utrecht in 1632 1993")</f>
        <v>0</v>
      </c>
    </row>
    <row r="380" spans="2:4">
      <c r="B380">
        <v>53</v>
      </c>
      <c r="C380" s="1">
        <f>hyperlink("https://hetutrechtsarchief.nl/collectie/FD73251431255526A21F5F9E94A3B6A9","In memoriam Rodolph de Josselin de Jong 1868-1958 J F Nuboer 5-10 1958")</f>
        <v>0</v>
      </c>
      <c r="D380" s="1">
        <f>hyperlink("http://dspace.library.uu.nl/handle/1874/211071","Een amateur-archeoloog op de Soester Hei in 1861 W J de Boone 1993")</f>
        <v>0</v>
      </c>
    </row>
    <row r="381" spans="2:4">
      <c r="B381">
        <v>60</v>
      </c>
      <c r="C381" s="1">
        <f>hyperlink("https://hetutrechtsarchief.nl/collectie/C1FE4CF044DB5B4AB5069E25D90B4BC2","Het kasteel Vredenburg 131 -132 1936")</f>
        <v>0</v>
      </c>
      <c r="D381" s="1">
        <f>hyperlink("http://dspace.library.uu.nl/handle/1874/211072","Het klooster Mari nburgh J J Bos 1993")</f>
        <v>0</v>
      </c>
    </row>
    <row r="382" spans="2:4">
      <c r="B382">
        <v>55</v>
      </c>
      <c r="C382" s="1">
        <f>hyperlink("https://hetutrechtsarchief.nl/collectie/D548908C906F5AE1BC796B898BCA7B27","De vroedvrouw van Thamen een sociaal conflict in de 18e eeuw F Doeleman 9-10 1974")</f>
        <v>0</v>
      </c>
      <c r="D382" s="1">
        <f>hyperlink("http://dspace.library.uu.nl/handle/1874/211073","De vrouwe en de boerin sociale verhoudingen in een 18e eeuws huurcontract G J M Derks 1993")</f>
        <v>0</v>
      </c>
    </row>
    <row r="383" spans="2:4">
      <c r="B383">
        <v>53</v>
      </c>
      <c r="C383" s="1">
        <f>hyperlink("https://hetutrechtsarchief.nl/collectie/E0775A725E255B7F9D6AC52CDFDF5EE9","Een wandeling over Soestbergen Wim Smit 231-236 ill 1986")</f>
        <v>0</v>
      </c>
      <c r="D383" s="1">
        <f>hyperlink("http://dspace.library.uu.nl/handle/1874/211074","Een amateur-archeoloog op de Soesterhei in 1861 C Isings 1993")</f>
        <v>0</v>
      </c>
    </row>
    <row r="384" spans="2:4">
      <c r="B384">
        <v>65</v>
      </c>
      <c r="C384" s="1">
        <f>hyperlink("https://hetutrechtsarchief.nl/collectie/8789FC3D22EE58518194D2E0D4D57C2C","Herinneringen van een verkeersagent Het waren er zes 2 1984")</f>
        <v>0</v>
      </c>
      <c r="D384" s="1">
        <f>hyperlink("http://dspace.library.uu.nl/handle/1874/211075","Herinneringen van een slagersjongen op Soest R J van Lierop 1993")</f>
        <v>0</v>
      </c>
    </row>
    <row r="385" spans="2:4">
      <c r="B385">
        <v>57</v>
      </c>
      <c r="C385" s="1">
        <f>hyperlink("https://hetutrechtsarchief.nl/collectie/0A1D1E2862E85085885BF78D53048676","Een pijnlijk incident op het station Soestduinen A F M Reichgelt 12-17 ill 1998")</f>
        <v>0</v>
      </c>
      <c r="D385" s="1">
        <f>hyperlink("http://dspace.library.uu.nl/handle/1874/211076","Datering oudste oorkonde van Soest A F M Reichgelt 1993")</f>
        <v>0</v>
      </c>
    </row>
    <row r="386" spans="2:4">
      <c r="B386">
        <v>57</v>
      </c>
      <c r="C386" s="1">
        <f>hyperlink("https://hetutrechtsarchief.nl/collectie/86FD308E02225AF2AD0C652FFD4CBA33","Musea in de stad Erik de Jong 112-115 ill 1979")</f>
        <v>0</v>
      </c>
      <c r="D386" s="1">
        <f>hyperlink("http://dspace.library.uu.nl/handle/1874/211078","Soest in de landelijke pers - 1910 Redactie 1991")</f>
        <v>0</v>
      </c>
    </row>
    <row r="387" spans="2:4">
      <c r="B387">
        <v>56</v>
      </c>
      <c r="C387" s="1">
        <f>hyperlink("https://hetutrechtsarchief.nl/collectie/49D00ED774B45768BBE7326C824D5829","Leidseveer eigendom van de gemeente 42-44 1949")</f>
        <v>0</v>
      </c>
      <c r="D387" s="1">
        <f>hyperlink("http://dspace.library.uu.nl/handle/1874/211079","Publieke verkoopingen van roerende goederen Redactie 1991")</f>
        <v>0</v>
      </c>
    </row>
    <row r="388" spans="2:4">
      <c r="B388">
        <v>57</v>
      </c>
      <c r="C388" s="1">
        <f>hyperlink("https://hetutrechtsarchief.nl/collectie/F8B88E0609D1536ABDDDDF1A92E1F92B","Amersfoort bedreigd 98-99 1968")</f>
        <v>0</v>
      </c>
      <c r="D388" s="1">
        <f>hyperlink("http://dspace.library.uu.nl/handle/1874/211080","Soester schoon bedreigd Joh Hepp 1990")</f>
        <v>0</v>
      </c>
    </row>
    <row r="389" spans="2:4">
      <c r="B389">
        <v>65</v>
      </c>
      <c r="C389" s="1">
        <f>hyperlink("https://hetutrechtsarchief.nl/collectie/CB2CBBE6B8CA595FBD1FFBD1877C646A","De restauratie van de carillontoren van de Nicola kerk G W van Hoogevest 1-15 ill tek 1987")</f>
        <v>0</v>
      </c>
      <c r="D389" s="1">
        <f>hyperlink("http://dspace.library.uu.nl/handle/1874/211081","Restauratie van de toren van de Oude Kerk J E J Hilhorst 1991")</f>
        <v>0</v>
      </c>
    </row>
    <row r="390" spans="2:4">
      <c r="B390">
        <v>56</v>
      </c>
      <c r="C390" s="1">
        <f>hyperlink("https://hetutrechtsarchief.nl/collectie/6D675542FCE3C0FBE0534701000A1B17","Het verdwenen bevolkingsregister Rinus van den Heijkant 14-17 2018")</f>
        <v>0</v>
      </c>
      <c r="D390" s="1">
        <f>hyperlink("http://dspace.library.uu.nl/handle/1874/211082","Hocus pocus pas met het bevolkingsregister van Soest Jan Onstenk 1991")</f>
        <v>0</v>
      </c>
    </row>
    <row r="391" spans="2:4">
      <c r="B391">
        <v>56</v>
      </c>
      <c r="C391" s="1">
        <f>hyperlink("https://hetutrechtsarchief.nl/collectie/DD1C0EAC6AFB5C0FADC580B99FE8E0A9","De oudste generaties van het geslacht Van Lynden Nico Plomp 154-194 1999")</f>
        <v>0</v>
      </c>
      <c r="D391" s="1">
        <f>hyperlink("http://dspace.library.uu.nl/handle/1874/211083","De oudste families van Soest Gerard Staalenhoef 1990")</f>
        <v>0</v>
      </c>
    </row>
    <row r="392" spans="2:4">
      <c r="B392">
        <v>59</v>
      </c>
      <c r="C392" s="1">
        <f>hyperlink("https://hetutrechtsarchief.nl/collectie/B1A308A72F515E0DB255ACB6A56C7AC1","De familie Van Hofslot 3 G J M Derks met medew van Ton Hartman 1-10 2003")</f>
        <v>0</v>
      </c>
      <c r="D392" s="1">
        <f>hyperlink("http://dspace.library.uu.nl/handle/1874/211084","De familie Van Hofslot Gerard Staalenhoef 1991")</f>
        <v>0</v>
      </c>
    </row>
    <row r="393" spans="2:4">
      <c r="B393">
        <v>54</v>
      </c>
      <c r="C393" s="1">
        <f>hyperlink("https://hetutrechtsarchief.nl/collectie/C2EC06FDA5415A2E9D6517B9CAD8C830","Lustrum 1946 Quo Vadis 1946")</f>
        <v>0</v>
      </c>
      <c r="D393" s="1">
        <f>hyperlink("http://dspace.library.uu.nl/handle/1874/211085","Mei 1940 Hugo Schaaf 1994")</f>
        <v>0</v>
      </c>
    </row>
    <row r="394" spans="2:4">
      <c r="B394">
        <v>58</v>
      </c>
      <c r="C394" s="1">
        <f>hyperlink("https://hetutrechtsarchief.nl/collectie/EF9D7CF0309C5443A200F6202B12C076","Het klooster Chartroise of van het Nieuwe Licht G W Beger 83-90 1862")</f>
        <v>0</v>
      </c>
      <c r="D394" s="1">
        <f>hyperlink("http://dspace.library.uu.nl/handle/1874/211086","Het klooster Mari nhof in de Birckt J J Bos 1993-1994")</f>
        <v>0</v>
      </c>
    </row>
    <row r="395" spans="2:4">
      <c r="B395">
        <v>54</v>
      </c>
      <c r="C395" s="1">
        <f>hyperlink("https://hetutrechtsarchief.nl/collectie/D91FA1E2A26B522787118BD5468AC925","Het veen en de herberg van De Dolder Harm Sok 11-16 1998")</f>
        <v>0</v>
      </c>
      <c r="D395" s="1">
        <f>hyperlink("http://dspace.library.uu.nl/handle/1874/211087","Heuvel en Dael later Vosseveld P J van den Hepp J Breemer 1991-1992")</f>
        <v>0</v>
      </c>
    </row>
    <row r="396" spans="2:4">
      <c r="B396">
        <v>61</v>
      </c>
      <c r="C396" s="1">
        <f>hyperlink("https://hetutrechtsarchief.nl/collectie/8789FC3D22EE58518194D2E0D4D57C2C","Herinneringen van een verkeersagent Het waren er zes 2 1984")</f>
        <v>0</v>
      </c>
      <c r="D396" s="1">
        <f>hyperlink("http://dspace.library.uu.nl/handle/1874/211088","Herinneringen van een Soester pauselijke zouaaf Peter van Doorn 1991-1994")</f>
        <v>0</v>
      </c>
    </row>
    <row r="397" spans="2:4">
      <c r="B397">
        <v>59</v>
      </c>
      <c r="C397" s="1">
        <f>hyperlink("https://hetutrechtsarchief.nl/collectie/968B7F42CFFA554897D5EAAA016D4158","Veertig-jarig jubileum Prof Dr S Talma M J t K 340 -345 portr 1917")</f>
        <v>0</v>
      </c>
      <c r="D397" s="1">
        <f>hyperlink("http://dspace.library.uu.nl/handle/1874/211182","Veertig jaar jubileum uit De Raadszaal Mei 1933 1994")</f>
        <v>0</v>
      </c>
    </row>
    <row r="398" spans="2:4">
      <c r="B398">
        <v>53</v>
      </c>
      <c r="C398" s="1">
        <f>hyperlink("https://hetutrechtsarchief.nl/collectie/02A2E4BFF0335A179BD3C9D243F316EC","Uit de rechterlijke archieven de zorgen van een kroegbaas R Loenen 19-20 1998")</f>
        <v>0</v>
      </c>
      <c r="D398" s="1">
        <f>hyperlink("http://dspace.library.uu.nl/handle/1874/211183","Uit de Raadzaal april 1933 brief van wethouder Karel Lodeesen Karel Lodeesen 1994")</f>
        <v>0</v>
      </c>
    </row>
    <row r="399" spans="2:4">
      <c r="B399">
        <v>54</v>
      </c>
      <c r="C399" s="1">
        <f>hyperlink("https://hetutrechtsarchief.nl/collectie/21CE4C634C2D54E48CC6B786C0E10EDE","Moment voor een monument de waterpompen van de stad 15-17 ill 1992")</f>
        <v>0</v>
      </c>
      <c r="D399" s="1">
        <f>hyperlink("http://dspace.library.uu.nl/handle/1874/211185","Klompen voor een arm kind en brood voor een arme vrouw armenzorg in Soest 1720-1721 G J M Derks 1994")</f>
        <v>0</v>
      </c>
    </row>
    <row r="400" spans="2:4">
      <c r="B400">
        <v>55</v>
      </c>
      <c r="C400" s="1">
        <f>hyperlink("https://hetutrechtsarchief.nl/collectie/53F8504BCCDE516692561197EF177062","Verstandelijk gehandicapten in de verkoop Ren Greve en Frank Dries 4 ill 1998")</f>
        <v>0</v>
      </c>
      <c r="D400" s="1">
        <f>hyperlink("http://dspace.library.uu.nl/handle/1874/211186","Vergunning nodig voor de verkoop van sterke drank Gijs van Brummelen 1994")</f>
        <v>0</v>
      </c>
    </row>
    <row r="401" spans="2:4">
      <c r="B401">
        <v>55</v>
      </c>
      <c r="C401" s="1">
        <f>hyperlink("https://hetutrechtsarchief.nl/collectie/370806C68B145F66B41525E4465017F8","Paus tegen wil en dank Twan Geurts 51-56 2017")</f>
        <v>0</v>
      </c>
      <c r="D401" s="1">
        <f>hyperlink("http://dspace.library.uu.nl/handle/1874/211187","Woonplaats Soest - tegen wil en dank H Schaaf 1994")</f>
        <v>0</v>
      </c>
    </row>
    <row r="402" spans="2:4">
      <c r="B402">
        <v>67</v>
      </c>
      <c r="C402" s="1">
        <f>hyperlink("https://hetutrechtsarchief.nl/collectie/1CB5270339F6581D894E865957DE6091","Katholiek onderwijs in De Meern 3 Jan Heesters 19-21 2007")</f>
        <v>0</v>
      </c>
      <c r="D402" s="1">
        <f>hyperlink("http://dspace.library.uu.nl/handle/1874/211188","Katholiek onderwijs in Soest J E J Hilhorst 1994-1995")</f>
        <v>0</v>
      </c>
    </row>
    <row r="403" spans="2:4">
      <c r="B403">
        <v>60</v>
      </c>
      <c r="C403" s="1">
        <f>hyperlink("https://hetutrechtsarchief.nl/collectie/78DE88E512E15E24B2CA0F7EAA7BEBDC","Uit het verleden van Soest J van Galen 90-92 1958")</f>
        <v>0</v>
      </c>
      <c r="D403" s="1">
        <f>hyperlink("http://dspace.library.uu.nl/handle/1874/211189","De oudste herberg van Soest Gijs van Brummelen 1994")</f>
        <v>0</v>
      </c>
    </row>
    <row r="404" spans="2:4">
      <c r="B404">
        <v>53</v>
      </c>
      <c r="C404" s="1">
        <f>hyperlink("https://hetutrechtsarchief.nl/collectie/2F44FCC0888D57C3B8458097D9BD6196","De Paulus abdij W Stooker 89-90 1949")</f>
        <v>0</v>
      </c>
      <c r="D404" s="1">
        <f>hyperlink("http://dspace.library.uu.nl/handle/1874/211190","De Paltz J J Bos 1994")</f>
        <v>0</v>
      </c>
    </row>
    <row r="405" spans="2:4">
      <c r="B405">
        <v>63</v>
      </c>
      <c r="C405" s="1">
        <f>hyperlink("https://hetutrechtsarchief.nl/collectie/715261F5177D53AD80D769C2BD503186","Park Bloeyendael 13 ill 1994")</f>
        <v>0</v>
      </c>
      <c r="D405" s="1">
        <f>hyperlink("http://dspace.library.uu.nl/handle/1874/211191","Bleyendaal J J Bos 1994")</f>
        <v>0</v>
      </c>
    </row>
    <row r="406" spans="2:4">
      <c r="B406">
        <v>58</v>
      </c>
      <c r="C406" s="1">
        <f>hyperlink("https://hetutrechtsarchief.nl/collectie/6451AF39756B5277A0FEC6A859F563A0","Nogmaals het seminarie te Soest G J M Derks 1-14 2006")</f>
        <v>0</v>
      </c>
      <c r="D406" s="1">
        <f>hyperlink("http://dspace.library.uu.nl/handle/1874/211192","Runderpest in Soest G J M Derks 1995")</f>
        <v>0</v>
      </c>
    </row>
    <row r="407" spans="2:4">
      <c r="B407">
        <v>55</v>
      </c>
      <c r="C407" s="1">
        <f>hyperlink("https://hetutrechtsarchief.nl/collectie/EDEFDC11B1FD5F8F97702346A3EFC26C","De Utrechtse familie Pelt E J Wolleswinkel 24-41 1991")</f>
        <v>0</v>
      </c>
      <c r="D407" s="1">
        <f>hyperlink("http://dspace.library.uu.nl/handle/1874/211193","De protestantse familie Schimmel Gerard Staalenhoef 1995")</f>
        <v>0</v>
      </c>
    </row>
    <row r="408" spans="2:4">
      <c r="B408">
        <v>51</v>
      </c>
      <c r="C408" s="1">
        <f>hyperlink("https://hetutrechtsarchief.nl/collectie/114A5711EB4D5A9187E3B7E2541FAAC1","De Leijen 1 Lies Haan 87-94 2005")</f>
        <v>0</v>
      </c>
      <c r="D408" s="1">
        <f>hyperlink("http://dspace.library.uu.nl/handle/1874/211194","De Eigendomweg Hugo Schaaf 1995")</f>
        <v>0</v>
      </c>
    </row>
    <row r="409" spans="2:4">
      <c r="B409">
        <v>59</v>
      </c>
      <c r="C409" s="1">
        <f>hyperlink("https://hetutrechtsarchief.nl/collectie/1146CE2C139D517D96B2CF1FE7C1B6A7","De geschiedenis van de Amsterdamsestraatweg 5 ill 1989")</f>
        <v>0</v>
      </c>
      <c r="D409" s="1">
        <f>hyperlink("http://dspace.library.uu.nl/handle/1874/211195","Geschiedenis van hotel caf restaurant Eemland Gijs van Brummelen 1995")</f>
        <v>0</v>
      </c>
    </row>
    <row r="410" spans="2:4">
      <c r="B410">
        <v>53</v>
      </c>
      <c r="C410" s="1">
        <f>hyperlink("https://hetutrechtsarchief.nl/collectie/4BC0E1D8CD2F5B7CBE21F5453E02C714","Uilen in het Convent T J H 9-10 ill 1991")</f>
        <v>0</v>
      </c>
      <c r="D410" s="1">
        <f>hyperlink("http://dspace.library.uu.nl/handle/1874/211196","Wijlen het Soester Natuurbad Th M Peet 1995")</f>
        <v>0</v>
      </c>
    </row>
    <row r="411" spans="2:4">
      <c r="B411">
        <v>58</v>
      </c>
      <c r="C411" s="1">
        <f>hyperlink("https://hetutrechtsarchief.nl/collectie/BBC335EB68F5543BA096DEA910DDAA31","De oude stad aan de Eem H Molendijk 26-27 1950")</f>
        <v>0</v>
      </c>
      <c r="D411" s="1">
        <f>hyperlink("http://dspace.library.uu.nl/handle/1874/211197","De Oude Tempel en De Tempel J J Bos 1995")</f>
        <v>0</v>
      </c>
    </row>
    <row r="412" spans="2:4">
      <c r="B412">
        <v>51</v>
      </c>
      <c r="C412" s="1">
        <f>hyperlink("https://hetutrechtsarchief.nl/collectie/5C64838F6DB35EEF93DB39685DFB45ED","Vondsten Sint Maarten te paard 135 ill 1995")</f>
        <v>0</v>
      </c>
      <c r="D412" s="1">
        <f>hyperlink("http://dspace.library.uu.nl/handle/1874/211198","Vakantie a la Carte Hugo Schaaf 1995")</f>
        <v>0</v>
      </c>
    </row>
    <row r="413" spans="2:4">
      <c r="B413">
        <v>57</v>
      </c>
      <c r="C413" s="1">
        <f>hyperlink("https://hetutrechtsarchief.nl/collectie/3A322D9877EB5636AEF1F75ABAA9E088","Mr G Deketh burgemeester van Soest 1926-1937 Wim de Kam 10-14 1999")</f>
        <v>0</v>
      </c>
      <c r="D413" s="1">
        <f>hyperlink("http://dspace.library.uu.nl/handle/1874/211199","De Oude Pastorije van Soest 1642-1757 G J M Derks 1995")</f>
        <v>0</v>
      </c>
    </row>
    <row r="414" spans="2:4">
      <c r="B414">
        <v>58</v>
      </c>
      <c r="C414" s="1">
        <f>hyperlink("https://hetutrechtsarchief.nl/collectie/BD27843F09F552368C9465E8219FD70B","Andries Stemerding Soester verzetsmensen 2 Jan van Steendelaar 18-21 2015")</f>
        <v>0</v>
      </c>
      <c r="D414" s="1">
        <f>hyperlink("http://dspace.library.uu.nl/handle/1874/211200","Amersfoort stal vooral stuk Soester historie Jan van Steendelaar 1995")</f>
        <v>0</v>
      </c>
    </row>
    <row r="415" spans="2:4">
      <c r="B415">
        <v>68</v>
      </c>
      <c r="C415" s="1">
        <f>hyperlink("https://hetutrechtsarchief.nl/collectie/6FF2E650AC765A6683E6F9071DBAA083","De Nachtwacht van Soest deel 2 Ton Hartman 1-9 2006")</f>
        <v>0</v>
      </c>
      <c r="D415" s="1">
        <f>hyperlink("http://dspace.library.uu.nl/handle/1874/211201","De Nachtwacht van Soest Redactie 1995")</f>
        <v>0</v>
      </c>
    </row>
    <row r="416" spans="2:4">
      <c r="B416">
        <v>57</v>
      </c>
      <c r="C416" s="1">
        <f>hyperlink("https://hetutrechtsarchief.nl/collectie/09ABB5AC3CDD529CA565527BF4197C24","De grote- en kleine melm te Soest E Heupers 13-20 ill 1964")</f>
        <v>0</v>
      </c>
      <c r="D416" s="1">
        <f>hyperlink("http://dspace.library.uu.nl/handle/1874/211202","De Groote Oude Melm en de Kleine Melm J J Bos 1995")</f>
        <v>0</v>
      </c>
    </row>
    <row r="417" spans="2:4">
      <c r="B417">
        <v>54</v>
      </c>
      <c r="C417" s="1">
        <f>hyperlink("https://hetutrechtsarchief.nl/collectie/1D1F301C47D357F9886B7FCB69125AEB","Het Soester volkslied tekst H Horvers 24 1999")</f>
        <v>0</v>
      </c>
      <c r="D417" s="1">
        <f>hyperlink("http://dspace.library.uu.nl/handle/1874/211203","Mijn Soester voorvader was een rotmeester N Bos 1995")</f>
        <v>0</v>
      </c>
    </row>
    <row r="418" spans="2:4">
      <c r="B418">
        <v>52</v>
      </c>
      <c r="C418" s="1">
        <f>hyperlink("https://hetutrechtsarchief.nl/collectie/6451AF39756B5277A0FEC6A859F563A0","Nogmaals het seminarie te Soest G J M Derks 1-14 2006")</f>
        <v>0</v>
      </c>
      <c r="D418" s="1">
        <f>hyperlink("http://dspace.library.uu.nl/handle/1874/211204","Van timmermanswoning tot R K kerk en pastorie G J M Derks 1996")</f>
        <v>0</v>
      </c>
    </row>
    <row r="419" spans="2:4">
      <c r="B419">
        <v>51</v>
      </c>
      <c r="C419" s="1">
        <f>hyperlink("https://hetutrechtsarchief.nl/collectie/BCEDEC889A8B5C74BD61D834F1BF0B4D","De ontwikkeling in Utrecht-Oost - F 2-6 ill plgr 1962")</f>
        <v>0</v>
      </c>
      <c r="D419" s="1">
        <f>hyperlink("http://dspace.library.uu.nl/handle/1874/211205","Sportuitwisseling Soest-Soest tot en met 1992 Th M Peet 1996")</f>
        <v>0</v>
      </c>
    </row>
    <row r="420" spans="2:4">
      <c r="B420">
        <v>52</v>
      </c>
      <c r="C420" s="1">
        <f>hyperlink("https://hetutrechtsarchief.nl/collectie/A4D4EF1AA89F5926BB0076D72DA6F85F","Bouw verval en restauratie van de Pyramide van Austerlitz A F M Reichgelt 49-63 2002")</f>
        <v>0</v>
      </c>
      <c r="D420" s="1">
        <f>hyperlink("http://dspace.library.uu.nl/handle/1874/211206","De Bataafs-Franse tijd 1781-1815 A F M Reichgelt 444-465 2000")</f>
        <v>0</v>
      </c>
    </row>
    <row r="421" spans="2:4">
      <c r="B421">
        <v>90</v>
      </c>
      <c r="C421" s="1">
        <f>hyperlink("https://hetutrechtsarchief.nl/collectie/03590E4F5BE754AD98797F82933F6390","Dorpen met geschiedenis in gemeente zonder verleden A Doedens 77-80 2001")</f>
        <v>0</v>
      </c>
      <c r="D421" s="1">
        <f>hyperlink("http://dspace.library.uu.nl/handle/1874/211207","Dorpen met geschiedenis in gemeente zonder verleden A Doedens 12-16 1988")</f>
        <v>0</v>
      </c>
    </row>
    <row r="422" spans="2:4">
      <c r="B422">
        <v>58</v>
      </c>
      <c r="C422" s="1">
        <f>hyperlink("https://hetutrechtsarchief.nl/collectie/36A8EE9B5A585808BB35FA0A0BB19D1A","Gebouwd op geloof iets over de geschiedenis van de Cunera kerk en van Rhenen Willem H Strous 49-54 2005")</f>
        <v>0</v>
      </c>
      <c r="D422" s="1">
        <f>hyperlink("http://dspace.library.uu.nl/handle/1874/211208","Van Gerecht tot Gemeente over de geschiedenis van de gemeente Maartensdijk en haar archieven F E Brouwer 3-11 1988")</f>
        <v>0</v>
      </c>
    </row>
    <row r="423" spans="2:4">
      <c r="B423">
        <v>53</v>
      </c>
      <c r="C423" s="1">
        <f>hyperlink("https://hetutrechtsarchief.nl/collectie/92A87830A5065299E0534701000A148F","De gezinnen Van Eem en Vlastuin voor hun boerderijen gefotografeerd Cees Jansen 12-19 2019")</f>
        <v>0</v>
      </c>
      <c r="D423" s="1">
        <f>hyperlink("http://dspace.library.uu.nl/handle/1874/211209","Een molenblokje om opvallende namen van boerderijen in Westbroek en Achttienhoven N Adema 18-19 1988")</f>
        <v>0</v>
      </c>
    </row>
    <row r="424" spans="2:4">
      <c r="B424">
        <v>65</v>
      </c>
      <c r="C424" s="1">
        <f>hyperlink("https://hetutrechtsarchief.nl/collectie/5A6B2B61C56F569DBFA0B644BC4FA884","De Hollandsche Rading J Kleijntjens 210-213 ill 1945")</f>
        <v>0</v>
      </c>
      <c r="D424" s="1">
        <f>hyperlink("http://dspace.library.uu.nl/handle/1874/211210","Over grenzen bij Hollandsche Rading H Fokkens 20-21 1988")</f>
        <v>0</v>
      </c>
    </row>
    <row r="425" spans="2:4">
      <c r="B425">
        <v>61</v>
      </c>
      <c r="C425" s="1">
        <f>hyperlink("https://hetutrechtsarchief.nl/collectie/F2CBAC6E0408524489E7024AE7CB2C30","De rijke historie van Loenersloot Stanny Verster 172-182 2014")</f>
        <v>0</v>
      </c>
      <c r="D425" s="1">
        <f>hyperlink("http://dspace.library.uu.nl/handle/1874/211211","Dagboeknotities van meester Van Schie Stanny Verster 12-25 1995")</f>
        <v>0</v>
      </c>
    </row>
    <row r="426" spans="2:4">
      <c r="B426">
        <v>65</v>
      </c>
      <c r="C426" s="1">
        <f>hyperlink("https://hetutrechtsarchief.nl/collectie/9B6FC1D8479E53B99B0A8BFA5D920AF9","De wapens van de gemeente Loenen Juliette Jonker-Duynstee 43-46 2010")</f>
        <v>0</v>
      </c>
      <c r="D426" s="1">
        <f>hyperlink("http://dspace.library.uu.nl/handle/1874/211212","Willem van Braam een admiraal in Loenen Juliette Mooij Willem Jonker-Duynstee 3-8 2000")</f>
        <v>0</v>
      </c>
    </row>
    <row r="427" spans="2:4">
      <c r="B427">
        <v>62</v>
      </c>
      <c r="C427" s="1">
        <f>hyperlink("https://hetutrechtsarchief.nl/collectie/DD7761BE98E954989E9DD70A08DC963C","Kerken in Loenen Nigtevecht en Vreeland Kees de Kruijter 81-91 2004")</f>
        <v>0</v>
      </c>
      <c r="D427" s="1">
        <f>hyperlink("http://dspace.library.uu.nl/handle/1874/211213","Katoendrukker in Vreeland Kees de Boerstra Jan Kruijter 9-11 2000")</f>
        <v>0</v>
      </c>
    </row>
    <row r="428" spans="2:4">
      <c r="B428">
        <v>62</v>
      </c>
      <c r="C428" s="1">
        <f>hyperlink("https://hetutrechtsarchief.nl/collectie/CFF5A959C68A55DD8E681B3E0702DC82","Swingen in Loenen Juliette Jonker-Duynstee en Willem Mooij 15-21 2006")</f>
        <v>0</v>
      </c>
      <c r="D428" s="1">
        <f>hyperlink("http://dspace.library.uu.nl/handle/1874/211214","Huisvuilophaaldienst in vroeger tijd Willem Jonker-Duynstee Juliette Mooij 12-17 2000")</f>
        <v>0</v>
      </c>
    </row>
    <row r="429" spans="2:4">
      <c r="B429">
        <v>58</v>
      </c>
      <c r="C429" s="1">
        <f>hyperlink("https://hetutrechtsarchief.nl/collectie/40024B93E4465DC498B988B15AC94341","De vuilnisboer van de universiteit Eva Houtsma 18-20 2005")</f>
        <v>0</v>
      </c>
      <c r="D429" s="1">
        <f>hyperlink("http://dspace.library.uu.nl/handle/1874/211215","De pupillenschool te Nieuwersluis Gertjan Verhage 18-20 2000")</f>
        <v>0</v>
      </c>
    </row>
    <row r="430" spans="2:4">
      <c r="B430">
        <v>57</v>
      </c>
      <c r="C430" s="1">
        <f>hyperlink("https://hetutrechtsarchief.nl/collectie/851CF7AF8FE957EF903F1B851DEBA774","75 jaar Vrijwillige Brandweer van Renswoude Jan D H van den Brink 1-32 2006")</f>
        <v>0</v>
      </c>
      <c r="D430" s="1">
        <f>hyperlink("http://dspace.library.uu.nl/handle/1874/211216","75 jaar Brandweer Vreeland 1925-2000 Herman van t Loo 28 2000")</f>
        <v>0</v>
      </c>
    </row>
    <row r="431" spans="2:4">
      <c r="B431">
        <v>64</v>
      </c>
      <c r="C431" s="1">
        <f>hyperlink("https://hetutrechtsarchief.nl/collectie/CFF5A959C68A55DD8E681B3E0702DC82","Swingen in Loenen Juliette Jonker-Duynstee en Willem Mooij 15-21 2006")</f>
        <v>0</v>
      </c>
      <c r="D431" s="1">
        <f>hyperlink("http://dspace.library.uu.nl/handle/1874/211217","De begraafplaats in Loenen Willem Jonker-Duynstee Juliette Mooij 3-18 2000")</f>
        <v>0</v>
      </c>
    </row>
    <row r="432" spans="2:4">
      <c r="B432">
        <v>76</v>
      </c>
      <c r="C432" s="1">
        <f>hyperlink("https://hetutrechtsarchief.nl/collectie/D9855B4685D1537A9304B476F1A0FB83","Prins Maurits nazaten in Loenen Kees de Kruijter en Willem Mooij 47-55")</f>
        <v>0</v>
      </c>
      <c r="D432" s="1">
        <f>hyperlink("http://dspace.library.uu.nl/handle/1874/211218","Prins Maurits nazaten in Loenen Willem Kruijter Kees de Mooij 19-26 2000")</f>
        <v>0</v>
      </c>
    </row>
    <row r="433" spans="2:4">
      <c r="B433">
        <v>65</v>
      </c>
      <c r="C433" s="1">
        <f>hyperlink("https://hetutrechtsarchief.nl/collectie/33F6BB6DCE2256CAA6E53ADA1CFAB0EE","Vreedenhorst in Vreeland Juliette Jonker-Duynstee 70-83 2012")</f>
        <v>0</v>
      </c>
      <c r="D433" s="1">
        <f>hyperlink("http://dspace.library.uu.nl/handle/1874/211219","Een bijzondere begrafenis in Vreeland Juliette J M A M Boerstra Jan Jonker-Duynstee 27-28 2000")</f>
        <v>0</v>
      </c>
    </row>
    <row r="434" spans="2:4">
      <c r="B434">
        <v>54</v>
      </c>
      <c r="C434" s="1">
        <f>hyperlink("https://hetutrechtsarchief.nl/collectie/DBBB2D1758B456E58F5BE9E0672B7C71","Brand op het station Nieuwersluis Wilma de Kruijter en Willem Mooij 29-30 2016")</f>
        <v>0</v>
      </c>
      <c r="D434" s="1">
        <f>hyperlink("http://dspace.library.uu.nl/handle/1874/211220","Schoolplaat Nieuwersluis W Berghoef J Mooij 32 2000")</f>
        <v>0</v>
      </c>
    </row>
    <row r="435" spans="2:4">
      <c r="B435">
        <v>75</v>
      </c>
      <c r="C435" s="1">
        <f>hyperlink("https://hetutrechtsarchief.nl/collectie/C443DBEF7A3E515C8BEA441C97C8E7E6","Vervolging van de Rooms-katholieke bevolking van Loenen in de 17e eeuw Gertjan Verhage en Kees de Kruijter 74-80 2004")</f>
        <v>0</v>
      </c>
      <c r="D435" s="1">
        <f>hyperlink("http://dspace.library.uu.nl/handle/1874/211221","Vervolging van de rooms-katholieke bevolking Kees de Verhage Gertjan Kruijter 3-9 2001")</f>
        <v>0</v>
      </c>
    </row>
    <row r="436" spans="2:4">
      <c r="B436">
        <v>62</v>
      </c>
      <c r="C436" s="1">
        <f>hyperlink("https://hetutrechtsarchief.nl/collectie/C4EAD3A9455557358FA6F08BE67FCA06","De Ronde van Nederland in 1948 Jan Rouwenhorst 128-130 2000")</f>
        <v>0</v>
      </c>
      <c r="D436" s="1">
        <f>hyperlink("http://dspace.library.uu.nl/handle/1874/211222","De bevolking van Vreeland rond 1748 J Berghoef 10-18 2001")</f>
        <v>0</v>
      </c>
    </row>
    <row r="437" spans="2:4">
      <c r="B437">
        <v>71</v>
      </c>
      <c r="C437" s="1">
        <f>hyperlink("https://hetutrechtsarchief.nl/collectie/17430412E1A15AE7BC4A9CF6F45D2D6C","Vreedenhorst in Vreeland Juliette Jonker-Duynstee 239-245 2012")</f>
        <v>0</v>
      </c>
      <c r="D437" s="1">
        <f>hyperlink("http://dspace.library.uu.nl/handle/1874/211223","Grenstwist tussen Vreeland en Nigtevecht Juliette Jonker-Duynstee 22-23 2001")</f>
        <v>0</v>
      </c>
    </row>
    <row r="438" spans="2:4">
      <c r="B438">
        <v>70</v>
      </c>
      <c r="C438" s="1">
        <f>hyperlink("https://hetutrechtsarchief.nl/collectie/565C8FB0393A5102A0A98349FAF27721","Pieter van Gelder kunstenaar te Vreeland Juliette Jonker-Duynstee 2009")</f>
        <v>0</v>
      </c>
      <c r="D438" s="1">
        <f>hyperlink("http://dspace.library.uu.nl/handle/1874/211224","Oproer op de buitenplaats Vreedenhoff Juliette Jonker-Duynstee 29-31 2001")</f>
        <v>0</v>
      </c>
    </row>
    <row r="439" spans="2:4">
      <c r="B439">
        <v>59</v>
      </c>
      <c r="C439" s="1">
        <f>hyperlink("https://hetutrechtsarchief.nl/collectie/DD7761BE98E954989E9DD70A08DC963C","Kerken in Loenen Nigtevecht en Vreeland Kees de Kruijter 81-91 2004")</f>
        <v>0</v>
      </c>
      <c r="D439" s="1">
        <f>hyperlink("http://dspace.library.uu.nl/handle/1874/211225","Tolheffing bij de brug van Vreeland Kees de Mooij Willem Kruijter 32 2001")</f>
        <v>0</v>
      </c>
    </row>
    <row r="440" spans="2:4">
      <c r="B440">
        <v>81</v>
      </c>
      <c r="C440" s="1">
        <f>hyperlink("https://hetutrechtsarchief.nl/collectie/36AF448450AD583EB32291E2CCF1E266","Opkomst en ondergang van kasteel Vreeland Juliette Jonker-Duynstee en Kees de Kruyter 20-25 2004")</f>
        <v>0</v>
      </c>
      <c r="D440" s="1">
        <f>hyperlink("http://dspace.library.uu.nl/handle/1874/211226","Opkomst en ondergang van kasteel Vreeland Kees de Jonker-Duynstee Juliette Kruijter 3-8 2001")</f>
        <v>0</v>
      </c>
    </row>
    <row r="441" spans="2:4">
      <c r="B441">
        <v>66</v>
      </c>
      <c r="C441" s="1">
        <f>hyperlink("https://hetutrechtsarchief.nl/collectie/302F98ADA0935F8BA5B6D84A00ABF957","De Franse Tijd in Nigtevecht een duister verhaal Arjan van t Riet 27-29 2013")</f>
        <v>0</v>
      </c>
      <c r="D441" s="1">
        <f>hyperlink("http://dspace.library.uu.nl/handle/1874/211227","Een boerderij in Nigtevecht Overberg en de familie Kersbergen Arjan van t Riet 9-17 2001")</f>
        <v>0</v>
      </c>
    </row>
    <row r="442" spans="2:4">
      <c r="B442">
        <v>66</v>
      </c>
      <c r="C442" s="1">
        <f>hyperlink("https://hetutrechtsarchief.nl/collectie/7D5CF5504D9BCE7DE0534701000AF294","De Vroeger en Nu wandeling door Breukelen Juliette Jonker-Duynstee 5-6 2018")</f>
        <v>0</v>
      </c>
      <c r="D442" s="1">
        <f>hyperlink("http://dspace.library.uu.nl/handle/1874/211228","Bernard van Leer en zijn paardencircus Juliette Jonker-Duynstee 18-23 2001")</f>
        <v>0</v>
      </c>
    </row>
    <row r="443" spans="2:4">
      <c r="B443">
        <v>66</v>
      </c>
      <c r="C443" s="1">
        <f>hyperlink("https://hetutrechtsarchief.nl/collectie/9B6FC1D8479E53B99B0A8BFA5D920AF9","De wapens van de gemeente Loenen Juliette Jonker-Duynstee 43-46 2010")</f>
        <v>0</v>
      </c>
      <c r="D443" s="1">
        <f>hyperlink("http://dspace.library.uu.nl/handle/1874/211229","Een nooit uitgevoerd uitbreidingsplan in Loenen Juliette Jonker-Duynstee 24-25 2011")</f>
        <v>0</v>
      </c>
    </row>
    <row r="444" spans="2:4">
      <c r="B444">
        <v>75</v>
      </c>
      <c r="C444" s="1">
        <f>hyperlink("https://hetutrechtsarchief.nl/collectie/8756A211D7619253E0534701000AF8B7","Speelhuisjes aan de Vecht Juliette Jonker-Duynstee 81-105 2018")</f>
        <v>0</v>
      </c>
      <c r="D444" s="1">
        <f>hyperlink("http://dspace.library.uu.nl/handle/1874/211230","Pontje over de Vecht Juliette Jonker-Duynstee 26 2001")</f>
        <v>0</v>
      </c>
    </row>
    <row r="445" spans="2:4">
      <c r="B445">
        <v>60</v>
      </c>
      <c r="C445" s="1">
        <f>hyperlink("https://hetutrechtsarchief.nl/collectie/D4EB24DDAE6AF8B3E0538F04000A7C53","Burgemeester Elsen en de pers een professionele relatie 5 en slot Arie Bloed 168-171 2021")</f>
        <v>0</v>
      </c>
      <c r="D445" s="1">
        <f>hyperlink("http://dspace.library.uu.nl/handle/1874/211231","Burgemeester Sanderson en de Afscheiding in loenersloot Jaap Berghoef 16-22 2002")</f>
        <v>0</v>
      </c>
    </row>
    <row r="446" spans="2:4">
      <c r="B446">
        <v>59</v>
      </c>
      <c r="C446" s="1">
        <f>hyperlink("https://hetutrechtsarchief.nl/collectie/EAA720CC2928507FBF1ACD8489F67217","In gesprek met Klaas Vermaat Riek Arink Anneke Binnerts en Kees de Kruijter 3-9 2006")</f>
        <v>0</v>
      </c>
      <c r="D446" s="1">
        <f>hyperlink("http://dspace.library.uu.nl/handle/1874/211232","Bij de tijd blijven kerkklok in Loenen Kees de Kruijter 29 2002")</f>
        <v>0</v>
      </c>
    </row>
    <row r="447" spans="2:4">
      <c r="B447">
        <v>61</v>
      </c>
      <c r="C447" s="1">
        <f>hyperlink("https://hetutrechtsarchief.nl/collectie/CFF5A959C68A55DD8E681B3E0702DC82","Swingen in Loenen Juliette Jonker-Duynstee en Willem Mooij 15-21 2006")</f>
        <v>0</v>
      </c>
      <c r="D447" s="1">
        <f>hyperlink("http://dspace.library.uu.nl/handle/1874/211233","Garage Brouwer Willem Jonker-Duynstee Juliette Mooij 30-31 2002")</f>
        <v>0</v>
      </c>
    </row>
    <row r="448" spans="2:4">
      <c r="B448">
        <v>60</v>
      </c>
      <c r="C448" s="1">
        <f>hyperlink("https://hetutrechtsarchief.nl/collectie/E0F09445B3F259A0B6037ABB4D73569A","E R D Schaap schilder in de Vechtstreek Juliette Jonker-Duynstee en Willem Mooij 27-30 2006")</f>
        <v>0</v>
      </c>
      <c r="D448" s="1">
        <f>hyperlink("http://dspace.library.uu.nl/handle/1874/211234","Negentig jaar slagers in de Dorpsstraat Willem Jonker-Duynstee Juliette Mooij 32 2002")</f>
        <v>0</v>
      </c>
    </row>
    <row r="449" spans="2:4">
      <c r="B449">
        <v>58</v>
      </c>
      <c r="C449" s="1">
        <f>hyperlink("https://hetutrechtsarchief.nl/collectie/13FE2CCD204957958A2867C9B374AF37","Honderd jaar bouwen op historie C C de Boer-van Hoogevest 32-37 2009")</f>
        <v>0</v>
      </c>
      <c r="D449" s="1">
        <f>hyperlink("http://dspace.library.uu.nl/handle/1874/211235","Honderd jaar zusterwerk in Loenen Hilde de Schras A Haan 1-36 2002")</f>
        <v>0</v>
      </c>
    </row>
    <row r="450" spans="2:4">
      <c r="B450">
        <v>65</v>
      </c>
      <c r="C450" s="1">
        <f>hyperlink("https://hetutrechtsarchief.nl/collectie/897555EA113D53F69F0134EFB5A53431","De melkhandel van Arie Rosemale Willem Mooij 32 2006")</f>
        <v>0</v>
      </c>
      <c r="D450" s="1">
        <f>hyperlink("http://dspace.library.uu.nl/handle/1874/211236","Zuster Bea en tante Koosje Willem Mooij 36 2002")</f>
        <v>0</v>
      </c>
    </row>
    <row r="451" spans="2:4">
      <c r="B451">
        <v>59</v>
      </c>
      <c r="C451" s="1">
        <f>hyperlink("https://hetutrechtsarchief.nl/collectie/661CB54E5ED253E6A7D6938C07FA6E75","Nogmaals de heraldiek in de dorpskerk van Nieuwer Ter Aa Arie A Manten 67-72 2007")</f>
        <v>0</v>
      </c>
      <c r="D451" s="1">
        <f>hyperlink("http://dspace.library.uu.nl/handle/1874/211237","Voorschrift voor de sluiswachter van Nieuwersluis uit 1527 Arie A Manten 3-6 2003")</f>
        <v>0</v>
      </c>
    </row>
    <row r="452" spans="2:4">
      <c r="B452">
        <v>62</v>
      </c>
      <c r="C452" s="1">
        <f>hyperlink("https://hetutrechtsarchief.nl/collectie/765D25F0253553498C3388D9D296BCE8","Geschiedschrijvers van Vreeland Juliette Jonker-Duynstee en Willem Mooij 3-9 2008")</f>
        <v>0</v>
      </c>
      <c r="D452" s="1">
        <f>hyperlink("http://dspace.library.uu.nl/handle/1874/211238","Roeiwedstrijden op de Vecht Willem Jonker-Duynstee Juliette Mooij 7-9 2003")</f>
        <v>0</v>
      </c>
    </row>
    <row r="453" spans="2:4">
      <c r="B453">
        <v>58</v>
      </c>
      <c r="C453" s="1">
        <f>hyperlink("https://hetutrechtsarchief.nl/collectie/7D5CF5504D9BCE7DE0534701000AF294","De Vroeger en Nu wandeling door Breukelen Juliette Jonker-Duynstee 5-6 2018")</f>
        <v>0</v>
      </c>
      <c r="D453" s="1">
        <f>hyperlink("http://dspace.library.uu.nl/handle/1874/211239","Een eenvoudige begrafenis Juliette Brandes-de Lestrieux Ellen E Jonker-Duijnstee 10-13 2003")</f>
        <v>0</v>
      </c>
    </row>
    <row r="454" spans="2:4">
      <c r="B454">
        <v>59</v>
      </c>
      <c r="C454" s="1">
        <f>hyperlink("https://hetutrechtsarchief.nl/collectie/8064EDE9A93A5FF393AE0050B515DFF9","Levendige handel in ivoor serieproductie in de veertiende eeuw Micha Leeflang 18-19 2011")</f>
        <v>0</v>
      </c>
      <c r="D454" s="1">
        <f>hyperlink("http://dspace.library.uu.nl/handle/1874/211240","Vreeland schakelstation voor telecommunicatie in de 18e eeuw Gertjan Verhage 14-19 2003")</f>
        <v>0</v>
      </c>
    </row>
    <row r="455" spans="2:4">
      <c r="B455">
        <v>61</v>
      </c>
      <c r="C455" s="1">
        <f>hyperlink("https://hetutrechtsarchief.nl/collectie/5230C59C98345F7ABCABD3CCC8B9CF69","Heren en vrouwen van Kronenburg Kees de Kruijter en Harry Pieron 35-46 2004")</f>
        <v>0</v>
      </c>
      <c r="D455" s="1">
        <f>hyperlink("http://dspace.library.uu.nl/handle/1874/211241","Heren en vrouwen van Kronenburg H B J Kruijter C J de Pieron 20-23 nr 19 nov 2003 p 9-12 nr 20 mei 2004 p 19-22 2003-2004")</f>
        <v>0</v>
      </c>
    </row>
    <row r="456" spans="2:4">
      <c r="B456">
        <v>59</v>
      </c>
      <c r="C456" s="1">
        <f>hyperlink("https://hetutrechtsarchief.nl/collectie/E0F09445B3F259A0B6037ABB4D73569A","E R D Schaap schilder in de Vechtstreek Juliette Jonker-Duynstee en Willem Mooij 27-30 2006")</f>
        <v>0</v>
      </c>
      <c r="D456" s="1">
        <f>hyperlink("http://dspace.library.uu.nl/handle/1874/211242","Fijne Vleeschwaren en Comestibles in de Grutterstraat Willem Jonker-Duynstee Juliette Mooij 28 2003")</f>
        <v>0</v>
      </c>
    </row>
    <row r="457" spans="2:4">
      <c r="B457">
        <v>61</v>
      </c>
      <c r="C457" s="1">
        <f>hyperlink("https://hetutrechtsarchief.nl/collectie/78C008CD015652429E4C6C9E621133C6","Met de muziek tent mee Juliette Jonker-Duynstee en Willem Mooij 22-25 2007")</f>
        <v>0</v>
      </c>
      <c r="D457" s="1">
        <f>hyperlink("http://dspace.library.uu.nl/handle/1874/211243","Een koninklijke droom Willem Jonker-Duynstee Juliette Mooij 3-5 2003")</f>
        <v>0</v>
      </c>
    </row>
    <row r="458" spans="2:4">
      <c r="B458">
        <v>54</v>
      </c>
      <c r="C458" s="1">
        <f>hyperlink("https://hetutrechtsarchief.nl/collectie/8A54CA2E957C52E88360F88082A427F8","Een duivelse dominee aan de Vecht - Balthasar Bekker in Loenen en Weesp 1674-1679 Hans Mous 263-273 2012")</f>
        <v>0</v>
      </c>
      <c r="D458" s="1">
        <f>hyperlink("http://dspace.library.uu.nl/handle/1874/211244","Een bekende Loenenaar Ds Balthasar Bekker 1634-1698 Gertjan Verhage 6-8 2003")</f>
        <v>0</v>
      </c>
    </row>
    <row r="459" spans="2:4">
      <c r="B459">
        <v>62</v>
      </c>
      <c r="C459" s="1">
        <f>hyperlink("https://hetutrechtsarchief.nl/collectie/DBBB2D1758B456E58F5BE9E0672B7C71","Brand op het station Nieuwersluis Wilma de Kruijter en Willem Mooij 29-30 2016")</f>
        <v>0</v>
      </c>
      <c r="D459" s="1">
        <f>hyperlink("http://dspace.library.uu.nl/handle/1874/211245","De Stationsweg te Nieuwersluis Willem Jonker-Duynstee Juliette Mooij 13-19 2003")</f>
        <v>0</v>
      </c>
    </row>
    <row r="460" spans="2:4">
      <c r="B460">
        <v>53</v>
      </c>
      <c r="C460" s="1">
        <f>hyperlink("https://hetutrechtsarchief.nl/collectie/EFE93994D1D155F08E73EF89264FF4AA","Loenen Peter Bos en A J A M Lisman fotogr Gemeente Loenen en Peter Bos 1-15 2007")</f>
        <v>0</v>
      </c>
      <c r="D460" s="1">
        <f>hyperlink("http://dspace.library.uu.nl/handle/1874/211246","Unieke verzameling foto s aangekocht door de gemeente Loenen Willem Berghoef Jaap Mooij 20-21 2003")</f>
        <v>0</v>
      </c>
    </row>
    <row r="461" spans="2:4">
      <c r="B461">
        <v>58</v>
      </c>
      <c r="C461" s="1">
        <f>hyperlink("https://hetutrechtsarchief.nl/collectie/9528E20644A35B06A35888AAC9E5101C","Vistent in Loenen Wilma de Kruijter-Zandstra en Willem Mooij 17-20 2011")</f>
        <v>0</v>
      </c>
      <c r="D461" s="1">
        <f>hyperlink("http://dspace.library.uu.nl/handle/1874/211247","Verhalen uit het doopregister van Loenen Willem Hageman Zwannie Willem Mooij 24-27 2003")</f>
        <v>0</v>
      </c>
    </row>
    <row r="462" spans="2:4">
      <c r="B462">
        <v>62</v>
      </c>
      <c r="C462" s="1">
        <f>hyperlink("https://hetutrechtsarchief.nl/collectie/094B5D37222259469942D7C4910BFC55","Kerk te Vreeland Edwin Maes 12-15 2004")</f>
        <v>0</v>
      </c>
      <c r="D462" s="1">
        <f>hyperlink("http://dspace.library.uu.nl/handle/1874/211248","Duinkerken in Vreeland Jan Boerstra 28 2003")</f>
        <v>0</v>
      </c>
    </row>
    <row r="463" spans="2:4">
      <c r="B463">
        <v>94</v>
      </c>
      <c r="C463" s="1">
        <f>hyperlink("https://hetutrechtsarchief.nl/collectie/E60309F01BE9558CACE3E81694DC9394","110 jaar Zwaanwijck Juliette Jonker-Duynstee 69-73 2004")</f>
        <v>0</v>
      </c>
      <c r="D463" s="1">
        <f>hyperlink("http://dspace.library.uu.nl/handle/1874/211249","110 jaar Zwaanwijck Juliette Jonker-Duynstee 4-8 2004")</f>
        <v>0</v>
      </c>
    </row>
    <row r="464" spans="2:4">
      <c r="B464">
        <v>55</v>
      </c>
      <c r="C464" s="1">
        <f>hyperlink("https://hetutrechtsarchief.nl/collectie/47ED3305E687523EA4E797D295B2667B","Het Huis ter Heide P H Damst 9-15 2004")</f>
        <v>0</v>
      </c>
      <c r="D464" s="1">
        <f>hyperlink("http://dspace.library.uu.nl/handle/1874/211250","Foto s Nigtevecht 9-10 2004")</f>
        <v>0</v>
      </c>
    </row>
    <row r="465" spans="2:4">
      <c r="B465">
        <v>90</v>
      </c>
      <c r="C465" s="1">
        <f>hyperlink("https://hetutrechtsarchief.nl/collectie/B18DF322304C88D2E0534701000ACF71","Annexatiecomit in Vreeland waarin een klein dorp groot kan zijn Zwannie Hageman 164-168 2020")</f>
        <v>0</v>
      </c>
      <c r="D465" s="1">
        <f>hyperlink("http://dspace.library.uu.nl/handle/1874/211251","Annexatiecomit in Vreeland waarin een dorp groot kan zijn Hannie Hageman 11-15 2004")</f>
        <v>0</v>
      </c>
    </row>
    <row r="466" spans="2:4">
      <c r="B466">
        <v>63</v>
      </c>
      <c r="C466" s="1">
        <f>hyperlink("https://hetutrechtsarchief.nl/collectie/3FA34168AEE45738B88D6415C5899D33","De Gooi- en Eemlander 176-177 2000")</f>
        <v>0</v>
      </c>
      <c r="D466" s="1">
        <f>hyperlink("http://dspace.library.uu.nl/handle/1874/211252","Foto s Vreeland 16-18 2004")</f>
        <v>0</v>
      </c>
    </row>
    <row r="467" spans="2:4">
      <c r="B467">
        <v>56</v>
      </c>
      <c r="C467" s="1">
        <f>hyperlink("https://hetutrechtsarchief.nl/collectie/B1E04BB93415513C8EE55C2D710307E5","Politietroepen in Nieuwersluis Willem Mooij en Wim van Schaik 32-38 2017")</f>
        <v>0</v>
      </c>
      <c r="D467" s="1">
        <f>hyperlink("http://dspace.library.uu.nl/handle/1874/211253","Loenen en Nieuwersluis in 14 foto s ca 1885 - ca 1900 23-30 2004")</f>
        <v>0</v>
      </c>
    </row>
    <row r="468" spans="2:4">
      <c r="B468">
        <v>68</v>
      </c>
      <c r="C468" s="1">
        <f>hyperlink("https://hetutrechtsarchief.nl/collectie/CFF5A959C68A55DD8E681B3E0702DC82","Swingen in Loenen Juliette Jonker-Duynstee en Willem Mooij 15-21 2006")</f>
        <v>0</v>
      </c>
      <c r="D468" s="1">
        <f>hyperlink("http://dspace.library.uu.nl/handle/1874/211254","Horlogedief in Loenen Willem Jonker-Duynstee Juliette Mooij 31-33 2004")</f>
        <v>0</v>
      </c>
    </row>
    <row r="469" spans="2:4">
      <c r="B469">
        <v>55</v>
      </c>
      <c r="C469" s="1">
        <f>hyperlink("https://hetutrechtsarchief.nl/collectie/615C253F51725A4EB523EF81E3E8D0C9","De buitenplaats Ouderhoek te Nieuwersluis terug aan de Vecht E Munnig Schmidt 32-37 2012")</f>
        <v>0</v>
      </c>
      <c r="D469" s="1">
        <f>hyperlink("http://dspace.library.uu.nl/handle/1874/211255","Luxe bakkerij Westveen te Nieuwersluis Gertjan Verhage 34-37 2004")</f>
        <v>0</v>
      </c>
    </row>
    <row r="470" spans="2:4">
      <c r="B470">
        <v>52</v>
      </c>
      <c r="C470" s="1">
        <f>hyperlink("https://hetutrechtsarchief.nl/collectie/72542B690040501CBD5696C1537F2CC0","Onze gemeente in de jaren zestig 1 een terugblik Margreet Staal-Spekman 95 2008")</f>
        <v>0</v>
      </c>
      <c r="D470" s="1">
        <f>hyperlink("http://dspace.library.uu.nl/handle/1874/211256","Supportersgeweld in de jaren twintig in Loenersloot Willem Berghoef Jaap Mooij 38 2004")</f>
        <v>0</v>
      </c>
    </row>
    <row r="471" spans="2:4">
      <c r="B471">
        <v>58</v>
      </c>
      <c r="C471" s="1">
        <f>hyperlink("https://hetutrechtsarchief.nl/collectie/F2CBAC6E0408524489E7024AE7CB2C30","De rijke historie van Loenersloot Stanny Verster 172-182 2014")</f>
        <v>0</v>
      </c>
      <c r="D471" s="1">
        <f>hyperlink("http://dspace.library.uu.nl/handle/1874/211257","De orgels van de Loenense Ludgeruskerk Stanny Straesser Joep Verster 3-10 2004")</f>
        <v>0</v>
      </c>
    </row>
    <row r="472" spans="2:4">
      <c r="B472">
        <v>56</v>
      </c>
      <c r="C472" s="1">
        <f>hyperlink("https://hetutrechtsarchief.nl/collectie/A8E88AA44228DF9AE0534701000A3920","Park Lievendaal in Amerongen Wim Eimers 21-23 2020")</f>
        <v>0</v>
      </c>
      <c r="D472" s="1">
        <f>hyperlink("http://dspace.library.uu.nl/handle/1874/211258","Procesverbaal in 1862 Achtervolging op Oud Over 11-12 2004")</f>
        <v>0</v>
      </c>
    </row>
    <row r="473" spans="2:4">
      <c r="B473">
        <v>57</v>
      </c>
      <c r="C473" s="1">
        <f>hyperlink("https://hetutrechtsarchief.nl/collectie/499A8A9A58465E9FB95DAB3428A970AE","Uit het foto-archief van Jan J van Dijk deel 5 58-59 2012")</f>
        <v>0</v>
      </c>
      <c r="D473" s="1">
        <f>hyperlink("http://dspace.library.uu.nl/handle/1874/211259","Uit het archief 12-13 nr 22 mei 2005 p 25 2004-2005")</f>
        <v>0</v>
      </c>
    </row>
    <row r="474" spans="2:4">
      <c r="B474">
        <v>53</v>
      </c>
      <c r="C474" s="1">
        <f>hyperlink("https://hetutrechtsarchief.nl/collectie/A13336F710BB5AA5964FAD4D2D69A1F0","Een buitenplaats is niet van steen herinneringen van een kleindochter aan de Heiligenberg Carine Alders 8-11 2012")</f>
        <v>0</v>
      </c>
      <c r="D474" s="1">
        <f>hyperlink("http://dspace.library.uu.nl/handle/1874/211260","Voormalige buitenplaats Oostervecht in parelmoer de wonderlijke omzwervingen van een Loenens reli f Jaap Berghoef 14-16 2004")</f>
        <v>0</v>
      </c>
    </row>
    <row r="475" spans="2:4">
      <c r="B475">
        <v>53</v>
      </c>
      <c r="C475" s="1">
        <f>hyperlink("https://hetutrechtsarchief.nl/collectie/7A716ECF54B05B92AEC5FFC518A43A47","Van schoenen de dingen die voorbij gaan Wim W Timmer 178-179 2003")</f>
        <v>0</v>
      </c>
      <c r="D475" s="1">
        <f>hyperlink("http://dspace.library.uu.nl/handle/1874/211261","Van oude mensen en de dingen die niet voorbijgaan de eerste Loenense bejaardentochten Micha Gerretsen-Cluysenaer 17-20 2004")</f>
        <v>0</v>
      </c>
    </row>
    <row r="476" spans="2:4">
      <c r="B476">
        <v>58</v>
      </c>
      <c r="C476" s="1">
        <f>hyperlink("https://hetutrechtsarchief.nl/collectie/78C008CD015652429E4C6C9E621133C6","Met de muziek tent mee Juliette Jonker-Duynstee en Willem Mooij 22-25 2007")</f>
        <v>0</v>
      </c>
      <c r="D476" s="1">
        <f>hyperlink("http://dspace.library.uu.nl/handle/1874/211262","De boedel van tekenmeester P J Lutgens 1808-1874 Willem Jonker-Duynstee Juliette Mooij 21-27 2004")</f>
        <v>0</v>
      </c>
    </row>
    <row r="477" spans="2:4">
      <c r="B477">
        <v>57</v>
      </c>
      <c r="C477" s="1">
        <f>hyperlink("https://hetutrechtsarchief.nl/collectie/CFF5A959C68A55DD8E681B3E0702DC82","Swingen in Loenen Juliette Jonker-Duynstee en Willem Mooij 15-21 2006")</f>
        <v>0</v>
      </c>
      <c r="D477" s="1">
        <f>hyperlink("http://dspace.library.uu.nl/handle/1874/211263","Bijna een fabriek bij Bijdorp Willem Jonker-Duynstee Juliette Mooij 28-30 2004")</f>
        <v>0</v>
      </c>
    </row>
    <row r="478" spans="2:4">
      <c r="B478">
        <v>63</v>
      </c>
      <c r="C478" s="1">
        <f>hyperlink("https://hetutrechtsarchief.nl/collectie/B47720BC8DB15C958EB209C96CA05D87","De Veenmolen te Wilnis Jan Rouwenhorst 125-127 2000")</f>
        <v>0</v>
      </c>
      <c r="D478" s="1">
        <f>hyperlink("http://dspace.library.uu.nl/handle/1874/211264","De windkorenmolen te Vreeland Jan Boerstra 30-31 2004")</f>
        <v>0</v>
      </c>
    </row>
    <row r="479" spans="2:4">
      <c r="B479">
        <v>68</v>
      </c>
      <c r="C479" s="1">
        <f>hyperlink("https://hetutrechtsarchief.nl/collectie/897555EA113D53F69F0134EFB5A53431","De melkhandel van Arie Rosemale Willem Mooij 32 2006")</f>
        <v>0</v>
      </c>
      <c r="D479" s="1">
        <f>hyperlink("http://dspace.library.uu.nl/handle/1874/211265","De wagenmakerij van Jan Winkelman Willem Mooij 32 2004")</f>
        <v>0</v>
      </c>
    </row>
    <row r="480" spans="2:4">
      <c r="B480">
        <v>69</v>
      </c>
      <c r="C480" s="1">
        <f>hyperlink("https://hetutrechtsarchief.nl/collectie/14D948A03BCE53958AC7A7B51ADFC647","Gebouw St Joseph in Loenen Wilma de Kruijter en Willem Mooij 3-6 2017")</f>
        <v>0</v>
      </c>
      <c r="D480" s="1">
        <f>hyperlink("http://dspace.library.uu.nl/handle/1874/211266","Gevangen in Loenen Willem Kruijter Kees de Mooij 3-16 2005")</f>
        <v>0</v>
      </c>
    </row>
    <row r="481" spans="2:4">
      <c r="B481">
        <v>58</v>
      </c>
      <c r="C481" s="1">
        <f>hyperlink("https://hetutrechtsarchief.nl/collectie/829541D2ACD756578C5C25CB8200B0A3","Naar aanleiding van de artikelen over Willem Berendse 2 Peter Koelewijn 170-171 2004")</f>
        <v>0</v>
      </c>
      <c r="D481" s="1">
        <f>hyperlink("http://dspace.library.uu.nl/handle/1874/211267","Gedicht naar aanleiding van de gebeurtenissen in Loenen vlak voor de bevrijding 17 2005")</f>
        <v>0</v>
      </c>
    </row>
    <row r="482" spans="2:4">
      <c r="B482">
        <v>57</v>
      </c>
      <c r="C482" s="1">
        <f>hyperlink("https://hetutrechtsarchief.nl/collectie/1C1A01AE09FF52169ABCE1B6A59726BB","Het inwijdingsfeest van het buitenhuis Minstroom 1828 Cees van Walre de Bordes 104-109 2010")</f>
        <v>0</v>
      </c>
      <c r="D482" s="1">
        <f>hyperlink("http://dspace.library.uu.nl/handle/1874/211268","De inwijding van het B tzorgel en de instructies voor de organist Stanny Verster 18-20 2005")</f>
        <v>0</v>
      </c>
    </row>
    <row r="483" spans="2:4">
      <c r="B483">
        <v>60</v>
      </c>
      <c r="C483" s="1">
        <f>hyperlink("https://hetutrechtsarchief.nl/collectie/D0D29DD1A6385777992CB715C720AB1F","President Coty in Loenen Wim van Schaik 21-22 2016")</f>
        <v>0</v>
      </c>
      <c r="D483" s="1">
        <f>hyperlink("http://dspace.library.uu.nl/handle/1874/211269","De afvallige koster in Loenen Zwannie Hageman 21-22 2005")</f>
        <v>0</v>
      </c>
    </row>
    <row r="484" spans="2:4">
      <c r="B484">
        <v>56</v>
      </c>
      <c r="C484" s="1">
        <f>hyperlink("https://hetutrechtsarchief.nl/collectie/00EE052EB91D5624B2B183B0EF9807CD","Amstelhoek in de beginjaren van de 20e eeuw A L Th Verhaar 23-25 2004")</f>
        <v>0</v>
      </c>
      <c r="D484" s="1">
        <f>hyperlink("http://dspace.library.uu.nl/handle/1874/211270","Moord en doodslag in Vreeland in de 17e eeuw G raldine E Berghoef Jaap Verhaar-Klomp 23-24 2005")</f>
        <v>0</v>
      </c>
    </row>
    <row r="485" spans="2:4">
      <c r="B485">
        <v>65</v>
      </c>
      <c r="C485" s="1">
        <f>hyperlink("https://hetutrechtsarchief.nl/collectie/A9C5991BF02BE4A6E0534701000A13C0","Foto s van na de bevrijding red 102-107 2020")</f>
        <v>0</v>
      </c>
      <c r="D485" s="1">
        <f>hyperlink("http://dspace.library.uu.nl/handle/1874/211271","ABC van de bevrijding in Loenen 26-27 2005")</f>
        <v>0</v>
      </c>
    </row>
    <row r="486" spans="2:4">
      <c r="B486">
        <v>62</v>
      </c>
      <c r="C486" s="1">
        <f>hyperlink("https://hetutrechtsarchief.nl/collectie/277C5E843E615065B33A4DA33FE305F6","Het verzetsmonument in Vleuten C W M Rasch 27-31 2010")</f>
        <v>0</v>
      </c>
      <c r="D486" s="1">
        <f>hyperlink("http://dspace.library.uu.nl/handle/1874/211272","Het herdenkingsmonument in Vreeland Jan Boerstra 28 2005")</f>
        <v>0</v>
      </c>
    </row>
    <row r="487" spans="2:4">
      <c r="B487">
        <v>68</v>
      </c>
      <c r="C487" s="1">
        <f>hyperlink("https://hetutrechtsarchief.nl/collectie/CFF5A959C68A55DD8E681B3E0702DC82","Swingen in Loenen Juliette Jonker-Duynstee en Willem Mooij 15-21 2006")</f>
        <v>0</v>
      </c>
      <c r="D487" s="1">
        <f>hyperlink("http://dspace.library.uu.nl/handle/1874/211273","Verdwenen smederij in Loenen Willem Jonker-Duynstee Juliette Mooij 3-10 2005")</f>
        <v>0</v>
      </c>
    </row>
    <row r="488" spans="2:4">
      <c r="B488">
        <v>60</v>
      </c>
      <c r="C488" s="1">
        <f>hyperlink("https://hetutrechtsarchief.nl/collectie/27F3E190157153B08A6B71D7A57F907D","De Polder Dorssewaard te Vreeland 91-111 2006")</f>
        <v>0</v>
      </c>
      <c r="D488" s="1">
        <f>hyperlink("http://dspace.library.uu.nl/handle/1874/211274","Een onverwacht fraai orgel in Vreeland 11-12 2005")</f>
        <v>0</v>
      </c>
    </row>
    <row r="489" spans="2:4">
      <c r="B489">
        <v>55</v>
      </c>
      <c r="C489" s="1">
        <f>hyperlink("https://hetutrechtsarchief.nl/collectie/B18DF322304C88D2E0534701000ACF71","Annexatiecomit in Vreeland waarin een klein dorp groot kan zijn Zwannie Hageman 164-168 2020")</f>
        <v>0</v>
      </c>
      <c r="D489" s="1">
        <f>hyperlink("http://dspace.library.uu.nl/handle/1874/211275","Haastige spoed is zelden goed Gertjan Mooij Willem Verhage 13-16 2005")</f>
        <v>0</v>
      </c>
    </row>
    <row r="490" spans="2:4">
      <c r="B490">
        <v>54</v>
      </c>
      <c r="C490" s="1">
        <f>hyperlink("https://hetutrechtsarchief.nl/collectie/CFF5A959C68A55DD8E681B3E0702DC82","Swingen in Loenen Juliette Jonker-Duynstee en Willem Mooij 15-21 2006")</f>
        <v>0</v>
      </c>
      <c r="D490" s="1">
        <f>hyperlink("http://dspace.library.uu.nl/handle/1874/211276","Waarom P J Lutgens een dirigeerstok bezat Juliette Jonker-Duynstee archiefonderzoek Willem Mooij Willem Jonker-Duynstee Juliette Mooij 17-19 2005")</f>
        <v>0</v>
      </c>
    </row>
    <row r="491" spans="2:4">
      <c r="B491">
        <v>60</v>
      </c>
      <c r="C491" s="1">
        <f>hyperlink("https://hetutrechtsarchief.nl/collectie/894FCDA2807471A5E0534701000A1F9F","De Bilt toen en nu de school aan de Middellaan Abe Postema 20-21 2019")</f>
        <v>0</v>
      </c>
      <c r="D491" s="1">
        <f>hyperlink("http://dspace.library.uu.nl/handle/1874/211277","Debat normen en waarden is van alle tijden Jaap Berghoef 20-21 2005")</f>
        <v>0</v>
      </c>
    </row>
    <row r="492" spans="2:4">
      <c r="B492">
        <v>63</v>
      </c>
      <c r="C492" s="1">
        <f>hyperlink("https://hetutrechtsarchief.nl/collectie/DC80265A61BF5522A9EDB3C604F3F53B","Opgegroeid bij het stoomgemaal in Loenen in gesprek met Henk van Tol Piet Bakker door Arie de Reuver onder red van Kees de Kruijter 13-18 2008")</f>
        <v>0</v>
      </c>
      <c r="D492" s="1">
        <f>hyperlink("http://dspace.library.uu.nl/handle/1874/211278","Geboren en getogen in Loenersloot in gesprek met Leo van Dijk bewerkt door Kees de Kruijter Kees de Dijk Leo van Kruijter 22-29 2005")</f>
        <v>0</v>
      </c>
    </row>
    <row r="493" spans="2:4">
      <c r="B493">
        <v>57</v>
      </c>
      <c r="C493" s="1">
        <f>hyperlink("https://hetutrechtsarchief.nl/collectie/CFF5A959C68A55DD8E681B3E0702DC82","Swingen in Loenen Juliette Jonker-Duynstee en Willem Mooij 15-21 2006")</f>
        <v>0</v>
      </c>
      <c r="D493" s="1">
        <f>hyperlink("http://dspace.library.uu.nl/handle/1874/211279","Beloning voor redders van een bijna verdronken meisje Willem Jonker-Duynstee Juliette Mooij 30-31 2005")</f>
        <v>0</v>
      </c>
    </row>
    <row r="494" spans="2:4">
      <c r="B494">
        <v>67</v>
      </c>
      <c r="C494" s="1">
        <f>hyperlink("https://hetutrechtsarchief.nl/collectie/A7E5DA4E673A5A588E96499A9A4BA29F","Huize Calorama in Oud Over Willem Mooij 52 2012")</f>
        <v>0</v>
      </c>
      <c r="D494" s="1">
        <f>hyperlink("http://dspace.library.uu.nl/handle/1874/211280","Koeien aan de Vecht Willem Mooij 32 2005")</f>
        <v>0</v>
      </c>
    </row>
    <row r="495" spans="2:4">
      <c r="B495">
        <v>85</v>
      </c>
      <c r="C495" s="1">
        <f>hyperlink("https://hetutrechtsarchief.nl/collectie/EAA720CC2928507FBF1ACD8489F67217","In gesprek met Klaas Vermaat Riek Arink Anneke Binnerts en Kees de Kruijter 3-9 2006")</f>
        <v>0</v>
      </c>
      <c r="D495" s="1">
        <f>hyperlink("http://dspace.library.uu.nl/handle/1874/211281","In gesprek met Klaas Vermaat Kees de Arink RIek Binnerts Anneke Kruijter 3-9 2006")</f>
        <v>0</v>
      </c>
    </row>
    <row r="496" spans="2:4">
      <c r="B496">
        <v>59</v>
      </c>
      <c r="C496" s="1">
        <f>hyperlink("https://hetutrechtsarchief.nl/collectie/1B311A68638A5D8EBAD510E55BD3AA50","De molenaar en haar gilde tekst en foto s Jaap van der Veen 10-13 2007")</f>
        <v>0</v>
      </c>
      <c r="D496" s="1">
        <f>hyperlink("http://dspace.library.uu.nl/handle/1874/211282","De molen Gabri l naar mededelingen van Jan den Besten Jan den Besten 32 2006")</f>
        <v>0</v>
      </c>
    </row>
    <row r="497" spans="2:4">
      <c r="B497">
        <v>58</v>
      </c>
      <c r="C497" s="1">
        <f>hyperlink("https://hetutrechtsarchief.nl/collectie/FB8AEC972E085756BEEA6776A2697899","Trekhondenkeuring in Loenen Wim van Schaik en Willem Mooij 16-19 2016")</f>
        <v>0</v>
      </c>
      <c r="D497" s="1">
        <f>hyperlink("http://dspace.library.uu.nl/handle/1874/211283","150 jaar strijd om de kleuters in Loenen Willem Kennis Mieke Mooij 3-12 2007")</f>
        <v>0</v>
      </c>
    </row>
    <row r="498" spans="2:4">
      <c r="B498">
        <v>54</v>
      </c>
      <c r="C498" s="1">
        <f>hyperlink("https://hetutrechtsarchief.nl/collectie/B44A85299BA1AAC8E0534701000A3F0D","Wel en wee in de werfkelders schade en scheuren maar prachtig wonen en werken Ben Nijssen et al 1-9 2020")</f>
        <v>0</v>
      </c>
      <c r="D498" s="1">
        <f>hyperlink("http://dspace.library.uu.nl/handle/1874/211284","Waterpeilbeheersing in de polders ten Westen van Vreeland Loenen Gertjan Besten Jan den Mooij Willem Verhage 13-19 2007")</f>
        <v>0</v>
      </c>
    </row>
    <row r="499" spans="2:4">
      <c r="B499">
        <v>62</v>
      </c>
      <c r="C499" s="1">
        <f>hyperlink("https://hetutrechtsarchief.nl/collectie/B95D6C5B940A52A8AAAB96A2CDA72E65","In gesprek met Gerrit Oussoren Riek Arink en Hilde de Haan red Kees de Kruijter 16-23 2006")</f>
        <v>0</v>
      </c>
      <c r="D499" s="1">
        <f>hyperlink("http://dspace.library.uu.nl/handle/1874/211285","In gesprek met Pieter Doornenbal wonen en werken in Nieuwersluis Kees de Arink Riek Haan Hilde de Kruijter 20-27 2007")</f>
        <v>0</v>
      </c>
    </row>
    <row r="500" spans="2:4">
      <c r="B500">
        <v>56</v>
      </c>
      <c r="C500" s="1">
        <f>hyperlink("https://hetutrechtsarchief.nl/collectie/A23BD1B249715B0798F5754C46722839","Het Rhenense dialect J P Menting 28-44 2003")</f>
        <v>0</v>
      </c>
      <c r="D500" s="1">
        <f>hyperlink("http://dspace.library.uu.nl/handle/1874/211286","Het rijdende pontveer in Nigtevecht Henk Otten 28 2007")</f>
        <v>0</v>
      </c>
    </row>
    <row r="501" spans="2:4">
      <c r="B501">
        <v>66</v>
      </c>
      <c r="C501" s="1">
        <f>hyperlink("https://hetutrechtsarchief.nl/collectie/742F1C327CB85D0E8B3448496A9FF212","Zuylenburgh Juliette J M A M Jonker-Duynstee 55-87 2008")</f>
        <v>0</v>
      </c>
      <c r="D501" s="1">
        <f>hyperlink("http://dspace.library.uu.nl/handle/1874/211287","Het raadhuis van Kronenburg Juliette Mooij Willem Jonker-Duynstee 28 2007")</f>
        <v>0</v>
      </c>
    </row>
    <row r="502" spans="2:4">
      <c r="B502">
        <v>55</v>
      </c>
      <c r="C502" s="1">
        <f>hyperlink("https://hetutrechtsarchief.nl/collectie/9A4064BE3767556587CDFA06AD3F69AC","Heraldische wapenboeken Fred van Kan 2-3 2005")</f>
        <v>0</v>
      </c>
      <c r="D502" s="1">
        <f>hyperlink("http://dspace.library.uu.nl/handle/1874/211288","Heraldiek of wapenkunde F S I Knaapen 1981")</f>
        <v>0</v>
      </c>
    </row>
    <row r="503" spans="2:4">
      <c r="B503">
        <v>55</v>
      </c>
      <c r="C503" s="1">
        <f>hyperlink("https://hetutrechtsarchief.nl/collectie/7146D28AD7F65BD9B5E22271F2007427","Een kleine onderneming aan de Pleineslaan Jan van Dijk 10-22 2001")</f>
        <v>0</v>
      </c>
      <c r="D503" s="1">
        <f>hyperlink("http://dspace.library.uu.nl/handle/1874/211289","Een herinnering Eembrugge - Baarn Egberdien van IJken 1988")</f>
        <v>0</v>
      </c>
    </row>
    <row r="504" spans="2:4">
      <c r="B504">
        <v>61</v>
      </c>
      <c r="C504" s="1">
        <f>hyperlink("https://hetutrechtsarchief.nl/collectie/3641B9D52A2C50DD8FBF0188D0435BB2","Fictieve genealogie n A E Cohen 7-9 ill 1987")</f>
        <v>0</v>
      </c>
      <c r="D504" s="1">
        <f>hyperlink("http://dspace.library.uu.nl/handle/1874/211290","Genealogie - niet gecompareerd J A Bijl 1988")</f>
        <v>0</v>
      </c>
    </row>
    <row r="505" spans="2:4">
      <c r="B505">
        <v>55</v>
      </c>
      <c r="C505" s="1">
        <f>hyperlink("https://hetutrechtsarchief.nl/collectie/F8C668F3B03F559391D8D78A39C96426","Sint Joriskerk Amersfoort 750 jaar Middenkatern 1998")</f>
        <v>0</v>
      </c>
      <c r="D505" s="1">
        <f>hyperlink("http://dspace.library.uu.nl/handle/1874/211291","Rekening der stad Amersfoort Redactie 1988")</f>
        <v>0</v>
      </c>
    </row>
    <row r="506" spans="2:4">
      <c r="B506">
        <v>54</v>
      </c>
      <c r="C506" s="1">
        <f>hyperlink("https://hetutrechtsarchief.nl/collectie/B9E6AA84A18F50819E5174A8218CED7B","Onze straatnamen A J van der Weijde 81-82 1931")</f>
        <v>0</v>
      </c>
      <c r="D506" s="1">
        <f>hyperlink("http://dspace.library.uu.nl/handle/1874/211292","Mijn grootvader P J van den Redactie Breemer 1989-1991")</f>
        <v>0</v>
      </c>
    </row>
    <row r="507" spans="2:4">
      <c r="B507">
        <v>67</v>
      </c>
      <c r="C507" s="1">
        <f>hyperlink("https://hetutrechtsarchief.nl/collectie/361B7C041337526D816ABB39C73561F3","De toekomst van de Utrechtse Heuvelrug en Vallei P A C Beelaerts van Blokland 41-45 1992")</f>
        <v>0</v>
      </c>
      <c r="D507" s="1">
        <f>hyperlink("http://dspace.library.uu.nl/handle/1874/211293","Ontstaan van de Utrechtse Heuvelrug en de Eemvallei W H A Klein 1990")</f>
        <v>0</v>
      </c>
    </row>
    <row r="508" spans="2:4">
      <c r="B508">
        <v>55</v>
      </c>
      <c r="C508" s="1">
        <f>hyperlink("https://hetutrechtsarchief.nl/collectie/0596557B567751C599D4253DBAC0DED6","Verrechtsing en het onderwijs 1982")</f>
        <v>0</v>
      </c>
      <c r="D508" s="1">
        <f>hyperlink("http://dspace.library.uu.nl/handle/1874/211294","1853 verpachting van tienden in Soest 1990")</f>
        <v>0</v>
      </c>
    </row>
    <row r="509" spans="2:4">
      <c r="B509">
        <v>55</v>
      </c>
      <c r="C509" s="1">
        <f>hyperlink("https://hetutrechtsarchief.nl/collectie/4E26F7CFED8E5051A0524971D4BBA425","De gemeente Maarssen en Endelhoven 154 ill 1979")</f>
        <v>0</v>
      </c>
      <c r="D509" s="1">
        <f>hyperlink("http://dspace.library.uu.nl/handle/1874/211295","De gemeente Soest heeft uitbreidingsplannen Pimmy 1991")</f>
        <v>0</v>
      </c>
    </row>
    <row r="510" spans="2:4">
      <c r="B510">
        <v>70</v>
      </c>
      <c r="C510" s="1">
        <f>hyperlink("https://hetutrechtsarchief.nl/collectie/1D1F301C47D357F9886B7FCB69125AEB","Het Soester volkslied tekst H Horvers 24 1999")</f>
        <v>0</v>
      </c>
      <c r="D510" s="1">
        <f>hyperlink("http://dspace.library.uu.nl/handle/1874/211296","Soester feestlied H Horvers 1992")</f>
        <v>0</v>
      </c>
    </row>
    <row r="511" spans="2:4">
      <c r="B511">
        <v>60</v>
      </c>
      <c r="C511" s="1">
        <f>hyperlink("https://hetutrechtsarchief.nl/collectie/C17CEF9B06DB57FFAC9B1137F62E163F","Het portret van de familie Kok Ton Hartman 30-33 2016")</f>
        <v>0</v>
      </c>
      <c r="D511" s="1">
        <f>hyperlink("http://dspace.library.uu.nl/handle/1874/211298","De klokken van de H Familie Kerk Soest-Zuid A G Hartman 1992")</f>
        <v>0</v>
      </c>
    </row>
    <row r="512" spans="2:4">
      <c r="B512">
        <v>54</v>
      </c>
      <c r="C512" s="1">
        <f>hyperlink("https://hetutrechtsarchief.nl/collectie/3BC87E8DD8305B46BED7448B82407913","De Santekraam zoekt naar beelden achter woorden Cees Baan 6 1988")</f>
        <v>0</v>
      </c>
      <c r="D512" s="1">
        <f>hyperlink("http://dspace.library.uu.nl/handle/1874/211299","Hoe is het om in zo n gezegend huis te worden Cora van Gessel 1993")</f>
        <v>0</v>
      </c>
    </row>
    <row r="513" spans="2:4">
      <c r="B513">
        <v>69</v>
      </c>
      <c r="C513" s="1">
        <f>hyperlink("https://hetutrechtsarchief.nl/collectie/29BB92B02C3B55A280C63B69B2A84774","Opsporing verzocht 28-29 2008")</f>
        <v>0</v>
      </c>
      <c r="D513" s="1">
        <f>hyperlink("http://dspace.library.uu.nl/handle/1874/211300","Opsporing verzocht Redactie 1994")</f>
        <v>0</v>
      </c>
    </row>
    <row r="514" spans="2:4">
      <c r="B514">
        <v>52</v>
      </c>
      <c r="C514" s="1">
        <f>hyperlink("https://hetutrechtsarchief.nl/collectie/819021DF4D60561D87D5A535F147DA11","In de voetsporen van de meester Vincent van Drie 93-98 2000")</f>
        <v>0</v>
      </c>
      <c r="D514" s="1">
        <f>hyperlink("http://dspace.library.uu.nl/handle/1874/211301","In 1786 had een op de twee Soester gezinnen een dienstbode N Bos 1995")</f>
        <v>0</v>
      </c>
    </row>
    <row r="515" spans="2:4">
      <c r="B515">
        <v>55</v>
      </c>
      <c r="C515" s="1">
        <f>hyperlink("https://hetutrechtsarchief.nl/collectie/AAA286E06AFA54AAAA25E1FA3EF34C88","De kleren van de kardinaal C S 2-5 ill 1992")</f>
        <v>0</v>
      </c>
      <c r="D515" s="1">
        <f>hyperlink("http://dspace.library.uu.nl/handle/1874/211302","Een reis langs de gasleiding F W Beijen 1992")</f>
        <v>0</v>
      </c>
    </row>
    <row r="516" spans="2:4">
      <c r="B516">
        <v>52</v>
      </c>
      <c r="C516" s="1">
        <f>hyperlink("https://hetutrechtsarchief.nl/collectie/F72C576B2E2A5B0B9312A096F18F2252","Het Werk aan de Roode Haan Gerard Muller 12-15 2016")</f>
        <v>0</v>
      </c>
      <c r="D516" s="1">
        <f>hyperlink("http://dspace.library.uu.nl/handle/1874/211303","Heeft Margaretha Verhorst Soester nazaten Gerard Staalenhoef 1992")</f>
        <v>0</v>
      </c>
    </row>
    <row r="517" spans="2:4">
      <c r="B517">
        <v>63</v>
      </c>
      <c r="C517" s="1">
        <f>hyperlink("https://hetutrechtsarchief.nl/collectie/5A6B2B61C56F569DBFA0B644BC4FA884","De Hollandsche Rading J Kleijntjens 210-213 ill 1945")</f>
        <v>0</v>
      </c>
      <c r="D517" s="1">
        <f>hyperlink("http://dspace.library.uu.nl/handle/1874/211304","De Hollandsche Rading een grensgeval D Koen 6-7 1992")</f>
        <v>0</v>
      </c>
    </row>
    <row r="518" spans="2:4">
      <c r="B518">
        <v>61</v>
      </c>
      <c r="C518" s="1">
        <f>hyperlink("https://hetutrechtsarchief.nl/collectie/BC898FDDBABD5FD594E5A007B8BC61BA","De opgravingen op het Domplein 49-55 1931")</f>
        <v>0</v>
      </c>
      <c r="D518" s="1">
        <f>hyperlink("http://dspace.library.uu.nl/handle/1874/211305","De ontginningen D Koen 4-5 1992")</f>
        <v>0</v>
      </c>
    </row>
    <row r="519" spans="2:4">
      <c r="B519">
        <v>64</v>
      </c>
      <c r="C519" s="1">
        <f>hyperlink("https://hetutrechtsarchief.nl/collectie/6C62F9F9F7E757EF87F8F978EDAD7258","Boerderijen in Amersfoort 3-49 2003")</f>
        <v>0</v>
      </c>
      <c r="D519" s="1">
        <f>hyperlink("http://dspace.library.uu.nl/handle/1874/211306","Boerderijen in Westbroek D Koen 8-9 1992")</f>
        <v>0</v>
      </c>
    </row>
    <row r="520" spans="2:4">
      <c r="B520">
        <v>63</v>
      </c>
      <c r="C520" s="1">
        <f>hyperlink("https://hetutrechtsarchief.nl/collectie/975BE5C942F952C580B8606A142AFE65","De laatste lijnen van een verdwenen landschap Erik Hardeman 13-14 1991")</f>
        <v>0</v>
      </c>
      <c r="D520" s="1">
        <f>hyperlink("http://dspace.library.uu.nl/handle/1874/211307","De Beukenburg een verdwenen landhuis D Koen 10-12 1992")</f>
        <v>0</v>
      </c>
    </row>
    <row r="521" spans="2:4">
      <c r="B521">
        <v>57</v>
      </c>
      <c r="C521" s="1">
        <f>hyperlink("https://hetutrechtsarchief.nl/collectie/2FCFD8CA341A53CFA68F85880DB23791","De meester is droncken B de Ligt 137-145 1999")</f>
        <v>0</v>
      </c>
      <c r="D521" s="1">
        <f>hyperlink("http://dspace.library.uu.nl/handle/1874/211308","De Eemvaart over Maartensdijks grondgebied D Koen 13-15 1992")</f>
        <v>0</v>
      </c>
    </row>
    <row r="522" spans="2:4">
      <c r="B522">
        <v>56</v>
      </c>
      <c r="C522" s="1">
        <f>hyperlink("https://hetutrechtsarchief.nl/collectie/95757457CE945DD4902BA572D46CDE2C","Gezondheidszorg in Soest Ton Hartman 18-23 2014")</f>
        <v>0</v>
      </c>
      <c r="D522" s="1">
        <f>hyperlink("http://dspace.library.uu.nl/handle/1874/211309","Schoonheid van Soest Rinke Tolman 1992")</f>
        <v>0</v>
      </c>
    </row>
    <row r="523" spans="2:4">
      <c r="B523">
        <v>60</v>
      </c>
      <c r="C523" s="1">
        <f>hyperlink("https://hetutrechtsarchief.nl/collectie/68938C185AF8543CAF186D69E0B785E5","Verkenningen in de bouwput Dick Franssen 14-15 2013")</f>
        <v>0</v>
      </c>
      <c r="D523" s="1">
        <f>hyperlink("http://dspace.library.uu.nl/handle/1874/211310","Verveningen in Westbroek D Koen 16-17 1992")</f>
        <v>0</v>
      </c>
    </row>
    <row r="524" spans="2:4">
      <c r="B524">
        <v>59</v>
      </c>
      <c r="C524" s="1">
        <f>hyperlink("https://hetutrechtsarchief.nl/collectie/A7A37C1B88D02AD5E0534701000A5F64","Bommen bij Blauwkapel Jan Maasen 5-8 2020")</f>
        <v>0</v>
      </c>
      <c r="D524" s="1">
        <f>hyperlink("http://dspace.library.uu.nl/handle/1874/211311","Fort Blauwkapel D Koen 18-20 1992")</f>
        <v>0</v>
      </c>
    </row>
    <row r="525" spans="2:4">
      <c r="B525">
        <v>60</v>
      </c>
      <c r="C525" s="1">
        <f>hyperlink("https://hetutrechtsarchief.nl/collectie/91038779566EEB9FE0534701000AB972","De komst van het licht in Maartensdijk W Hoebink 18-35 2001")</f>
        <v>0</v>
      </c>
      <c r="D525" s="1">
        <f>hyperlink("http://dspace.library.uu.nl/handle/1874/211312","Kadastrale kaart van Maartensdijk D Koen 21-23 1992")</f>
        <v>0</v>
      </c>
    </row>
    <row r="526" spans="2:4">
      <c r="B526">
        <v>60</v>
      </c>
      <c r="C526" s="1">
        <f>hyperlink("https://hetutrechtsarchief.nl/collectie/9141CC53B29326B7E0534701000AF890","De nalatenschap van Neeltje Spelt geboren in Achterwetering 1724 gestorven in Achttienhoven 1763 M L de Raadt-Nolst Trenit 18-29 2002")</f>
        <v>0</v>
      </c>
      <c r="D526" s="1">
        <f>hyperlink("http://dspace.library.uu.nl/handle/1874/211313","De oude grenzen van Westbroek en Achttienhoven M L de Raadt-Nolst Trenit 3-13 1993")</f>
        <v>0</v>
      </c>
    </row>
    <row r="527" spans="2:4">
      <c r="B527">
        <v>61</v>
      </c>
      <c r="C527" s="1">
        <f>hyperlink("https://hetutrechtsarchief.nl/collectie/0BC4688C7EFC5A0DBBD23A5AD45347CC","De orde van den inventaris - Muller - Feith en - Fruin 1-11 7 1910")</f>
        <v>0</v>
      </c>
      <c r="D527" s="1">
        <f>hyperlink("http://dspace.library.uu.nl/handle/1874/211314","De hofstede van de Vrouwe van Elten L v d Brink 14-17 1993")</f>
        <v>0</v>
      </c>
    </row>
    <row r="528" spans="2:4">
      <c r="B528">
        <v>58</v>
      </c>
      <c r="C528" s="1">
        <f>hyperlink("https://hetutrechtsarchief.nl/collectie/95681CC35A9B1CF4E0534701000A06F2","Groenekan en het zand voor de A27 Wim Hoebink 28-34 2005")</f>
        <v>0</v>
      </c>
      <c r="D528" s="1">
        <f>hyperlink("http://dspace.library.uu.nl/handle/1874/211315","De supermarkt in Groenekan een schets van de historie W Hoebink 19-26 1993")</f>
        <v>0</v>
      </c>
    </row>
    <row r="529" spans="2:4">
      <c r="B529">
        <v>53</v>
      </c>
      <c r="C529" s="1">
        <f>hyperlink("https://hetutrechtsarchief.nl/collectie/CC46A3CEFCD458D9AACCB821D81716AD","Tekens van vroeger fotografie Gerard Arninkhof 12-13 2014")</f>
        <v>0</v>
      </c>
      <c r="D529" s="1">
        <f>hyperlink("http://dspace.library.uu.nl/handle/1874/211316","Verwanten van Margaretha Verhorst Gerard Staalenhoef 1992")</f>
        <v>0</v>
      </c>
    </row>
    <row r="530" spans="2:4">
      <c r="B530">
        <v>50</v>
      </c>
      <c r="C530" s="1">
        <f>hyperlink("https://hetutrechtsarchief.nl/collectie/A317D01E25BD58DDAF6717B7E3E8ED9E","Vijftig jaar geleden Zusters van Onze Lieve Vrouw nemen afscheid van Maarssen Arie de Zwart 62-64 2009")</f>
        <v>0</v>
      </c>
      <c r="D530" s="1">
        <f>hyperlink("http://dspace.library.uu.nl/handle/1874/211317","Veertig jaar geleden afschaffing van landelijk fenomeen eindeloze twist om Maartensdijkse tol Leo Fijen 3-9 1993")</f>
        <v>0</v>
      </c>
    </row>
    <row r="531" spans="2:4">
      <c r="B531">
        <v>57</v>
      </c>
      <c r="C531" s="1">
        <f>hyperlink("https://hetutrechtsarchief.nl/collectie/689F139995A353FA9CD16003D1910EEE","De geschiedenis van de gemeente Loenen Fenna Brouwer 5-19 2004")</f>
        <v>0</v>
      </c>
      <c r="D531" s="1">
        <f>hyperlink("http://dspace.library.uu.nl/handle/1874/211318","De Afscheiding te Westbroek Achttienhoven en Maartensdijk Fenna Brouwer 10-22 1993")</f>
        <v>0</v>
      </c>
    </row>
    <row r="532" spans="2:4">
      <c r="B532">
        <v>52</v>
      </c>
      <c r="C532" s="1">
        <f>hyperlink("https://hetutrechtsarchief.nl/collectie/D78EDA88CD2F55119BEECA548EB0BD02","Enige hervormde kerkdiensten in de Dom M G L den Boer 1-8 portr 1985")</f>
        <v>0</v>
      </c>
      <c r="D532" s="1">
        <f>hyperlink("http://dspace.library.uu.nl/handle/1874/211319","Hengestschote Fornheze Mokoroth en Widock P J van den Bos J J Breemer 1992")</f>
        <v>0</v>
      </c>
    </row>
    <row r="533" spans="2:4">
      <c r="B533">
        <v>62</v>
      </c>
      <c r="C533" s="1">
        <f>hyperlink("https://hetutrechtsarchief.nl/collectie/5FCE4B4BF90453BA976D5368D73D2895","Rotonde Evangelisch-Lutherse Gemeente P van den Berg 7 ill 1995")</f>
        <v>0</v>
      </c>
      <c r="D533" s="1">
        <f>hyperlink("http://dspace.library.uu.nl/handle/1874/211320","Roomsch-Catholieke gemeente P J van den Bos J J Breemer 1992")</f>
        <v>0</v>
      </c>
    </row>
    <row r="534" spans="2:4">
      <c r="B534">
        <v>54</v>
      </c>
      <c r="C534" s="1">
        <f>hyperlink("https://hetutrechtsarchief.nl/collectie/09DCDCB71C445B9186C99CB01E4656B6","Bewoners en hun ervaringen 10-11 ill portr 1995")</f>
        <v>0</v>
      </c>
      <c r="D534" s="1">
        <f>hyperlink("http://dspace.library.uu.nl/handle/1874/211321","Gewoon over een huis Kerkpad ZZ 43 H T Prins 1992")</f>
        <v>0</v>
      </c>
    </row>
    <row r="535" spans="2:4">
      <c r="B535">
        <v>56</v>
      </c>
      <c r="C535" s="1">
        <f>hyperlink("https://hetutrechtsarchief.nl/collectie/316FDA6696E05E3DB4E55AB4CBE2FBCF","Brievengaarders in Soesterberg Jan de Mos 6-17 2017")</f>
        <v>0</v>
      </c>
      <c r="D535" s="1">
        <f>hyperlink("http://dspace.library.uu.nl/handle/1874/211322","Vliegbasis Soesterberg 70 jaar F S I Knaapen 1983")</f>
        <v>0</v>
      </c>
    </row>
    <row r="536" spans="2:4">
      <c r="B536">
        <v>55</v>
      </c>
      <c r="C536" s="1">
        <f>hyperlink("https://hetutrechtsarchief.nl/collectie/74A744A7340850A9B81186BD6A265405","De stapel van Rijnwijk S Muller Fz 65-74 12 1903")</f>
        <v>0</v>
      </c>
      <c r="D536" s="1">
        <f>hyperlink("http://dspace.library.uu.nl/handle/1874/211323","De familie Van Muijlwijck Gerard Staalenhoef 1992-1993")</f>
        <v>0</v>
      </c>
    </row>
    <row r="537" spans="2:4">
      <c r="B537">
        <v>55</v>
      </c>
      <c r="C537" s="1">
        <f>hyperlink("https://hetutrechtsarchief.nl/collectie/CF107EDE9AA4517BADEDD8E011A08085","Monumenten het Cenakel H Gerth 4-6 1999")</f>
        <v>0</v>
      </c>
      <c r="D537" s="1">
        <f>hyperlink("http://dspace.library.uu.nl/handle/1874/211324","Van oliepit tot peer H Gerth 1992-1993")</f>
        <v>0</v>
      </c>
    </row>
    <row r="538" spans="2:4">
      <c r="B538">
        <v>53</v>
      </c>
      <c r="C538" s="1">
        <f>hyperlink("https://hetutrechtsarchief.nl/collectie/E24033325AB25065A35FE5EC56EA66C4","De gemeentelijke indeling door de eeuwen heen Henk Jan Derksen 18-32 2007")</f>
        <v>0</v>
      </c>
      <c r="D538" s="1">
        <f>hyperlink("http://dspace.library.uu.nl/handle/1874/211325","De meest gunstig in de kom der gemeente Soest gelegen boerenhofstede G J M Derks 1992")</f>
        <v>0</v>
      </c>
    </row>
    <row r="539" spans="2:4">
      <c r="B539">
        <v>59</v>
      </c>
      <c r="C539" s="1">
        <f>hyperlink("https://hetutrechtsarchief.nl/collectie/ACC1F726629EA5DEE0534701000ADDD1","Kleermakers in Eemnes door de eeuwen heen deel 5 Henk van Hees Bertie van Wijk-Blom 119-132 2020")</f>
        <v>0</v>
      </c>
      <c r="D539" s="1">
        <f>hyperlink("http://dspace.library.uu.nl/handle/1874/211326","Kasteel Groeneveld en zijn bewoners Bertie van Wijk-Blom 1982")</f>
        <v>0</v>
      </c>
    </row>
    <row r="540" spans="2:4">
      <c r="B540">
        <v>53</v>
      </c>
      <c r="C540" s="1">
        <f>hyperlink("https://hetutrechtsarchief.nl/collectie/E684DCAFC04158A5B6F2110F24027D44","Het Groot Gaasbeeker Gilde van Soest 650 jaar traditie in een modern jasje Ren van Hal 294-303 2009")</f>
        <v>0</v>
      </c>
      <c r="D540" s="1">
        <f>hyperlink("http://dspace.library.uu.nl/handle/1874/211328","Het Gaesbeeks gerecht Soest 135 jaar onder de Heren van Abcoude en Gaesbeek Comite Landjuweel 1987")</f>
        <v>0</v>
      </c>
    </row>
    <row r="541" spans="2:4">
      <c r="B541">
        <v>55</v>
      </c>
      <c r="C541" s="1">
        <f>hyperlink("https://hetutrechtsarchief.nl/collectie/0BE1FA6C9CB250338303B5E2832D9916","Stad 33 ill 1984")</f>
        <v>0</v>
      </c>
      <c r="D541" s="1">
        <f>hyperlink("http://dspace.library.uu.nl/handle/1874/211329","Hees W Klein 1984")</f>
        <v>0</v>
      </c>
    </row>
    <row r="542" spans="2:4">
      <c r="B542">
        <v>57</v>
      </c>
      <c r="C542" s="1">
        <f>hyperlink("https://hetutrechtsarchief.nl/collectie/1AF5AC51B9385FFEA4F8B42798B7924A","Een fragment industrieele geschiedenis - R 75-79 1928")</f>
        <v>0</v>
      </c>
      <c r="D542" s="1">
        <f>hyperlink("http://dspace.library.uu.nl/handle/1874/211330","Soester straten schrijven geschiedenis G Staalenhoef 1984-1985")</f>
        <v>0</v>
      </c>
    </row>
    <row r="543" spans="2:4">
      <c r="B543">
        <v>59</v>
      </c>
      <c r="C543" s="1">
        <f>hyperlink("https://hetutrechtsarchief.nl/collectie/BD9B361A8BA7515E87373A1E5A149545","Historische kartografie 53-102 ill 1985")</f>
        <v>0</v>
      </c>
      <c r="D543" s="1">
        <f>hyperlink("http://dspace.library.uu.nl/handle/1874/211331","Historische topografie van Soest en omgeving P Veen 1984")</f>
        <v>0</v>
      </c>
    </row>
    <row r="544" spans="2:4">
      <c r="B544">
        <v>57</v>
      </c>
      <c r="C544" s="1">
        <f>hyperlink("https://hetutrechtsarchief.nl/collectie/4ED28A5A200051FCA372600BC6F6CA05","De familie van Laar te Rhenen genealogie en heraldiek A J de Jong 7-27 1999")</f>
        <v>0</v>
      </c>
      <c r="D544" s="1">
        <f>hyperlink("http://dspace.library.uu.nl/handle/1874/211332","De familie Van t Klooster G Werkgroep Genealogie Staalenhoef 1980-1981")</f>
        <v>0</v>
      </c>
    </row>
    <row r="545" spans="2:4">
      <c r="B545">
        <v>64</v>
      </c>
      <c r="C545" s="1">
        <f>hyperlink("https://hetutrechtsarchief.nl/collectie/AFFFD95BEDD951BFBBDE2AA2CAE1588A","Romeinse vondsten in Houten 63-64 1950")</f>
        <v>0</v>
      </c>
      <c r="D545" s="1">
        <f>hyperlink("http://dspace.library.uu.nl/handle/1874/211333","Soester vondstberichten 1980")</f>
        <v>0</v>
      </c>
    </row>
    <row r="546" spans="2:4">
      <c r="B546">
        <v>54</v>
      </c>
      <c r="C546" s="1">
        <f>hyperlink("https://hetutrechtsarchief.nl/collectie/AC99A51DD011F2B0E0534701000AECF4","De oprichters van de historische vereniging Soest Fred G van den Beemt Interview door Riky van t Klooster 4-9 2020")</f>
        <v>0</v>
      </c>
      <c r="D546" s="1">
        <f>hyperlink("http://dspace.library.uu.nl/handle/1874/211334","Een korte schets over het klooster Mari nburg te Soest Fred G van den Beemt 1980")</f>
        <v>0</v>
      </c>
    </row>
    <row r="547" spans="2:4">
      <c r="B547">
        <v>59</v>
      </c>
      <c r="C547" s="1">
        <f>hyperlink("https://hetutrechtsarchief.nl/collectie/9257B9ACED252725E0534701000A1F1B","Een centrumdorp in het Veen Coen van Vliegen 77-79 2019")</f>
        <v>0</v>
      </c>
      <c r="D547" s="1">
        <f>hyperlink("http://dspace.library.uu.nl/handle/1874/211335","Veen en turf in Soesterveen Fred G van den Beemt 1980")</f>
        <v>0</v>
      </c>
    </row>
    <row r="548" spans="2:4">
      <c r="B548">
        <v>62</v>
      </c>
      <c r="C548" s="1">
        <f>hyperlink("https://hetutrechtsarchief.nl/collectie/819021DF4D60561D87D5A535F147DA11","In de voetsporen van de meester Vincent van Drie 93-98 2000")</f>
        <v>0</v>
      </c>
      <c r="D548" s="1">
        <f>hyperlink("http://dspace.library.uu.nl/handle/1874/211336","In het voetspoor van Engelbertus Heupers G van den Beemt 1980")</f>
        <v>0</v>
      </c>
    </row>
    <row r="549" spans="2:4">
      <c r="B549">
        <v>61</v>
      </c>
      <c r="C549" s="1">
        <f>hyperlink("https://hetutrechtsarchief.nl/collectie/49B135779C8C537A9B2D58FD8472475D","Het museum voor kunst en geschiedenis van de Oudkatholieke Kerk in Nederland - E L 4-7 1928")</f>
        <v>0</v>
      </c>
      <c r="D549" s="1">
        <f>hyperlink("http://dspace.library.uu.nl/handle/1874/211337","Een stukje geschiedenis van de Oude Kerk in de kerkebuurt te Soest Elias de Bree 1980")</f>
        <v>0</v>
      </c>
    </row>
    <row r="550" spans="2:4">
      <c r="B550">
        <v>63</v>
      </c>
      <c r="C550" s="1">
        <f>hyperlink("https://hetutrechtsarchief.nl/collectie/174D34B93417543AB44F5082E81BCD52","De geschiedenis van deken Roes 10 - 11 1982")</f>
        <v>0</v>
      </c>
      <c r="D550" s="1">
        <f>hyperlink("http://dspace.library.uu.nl/handle/1874/211338","Geschiedenis van Soest P J van den Breemer 1980-1981")</f>
        <v>0</v>
      </c>
    </row>
    <row r="551" spans="2:4">
      <c r="B551">
        <v>57</v>
      </c>
      <c r="C551" s="1">
        <f>hyperlink("https://hetutrechtsarchief.nl/collectie/4F0402487E875D62B59412A7172421F0","De stedelijke financi n van Amersfoort in de 15e eeuw Leen Alberts 7-58 2001")</f>
        <v>0</v>
      </c>
      <c r="D551" s="1">
        <f>hyperlink("http://dspace.library.uu.nl/handle/1874/211339","De jaarkringloop van de Soester boer in de 19e eeuw Engelbert Heupers 1980")</f>
        <v>0</v>
      </c>
    </row>
    <row r="552" spans="2:4">
      <c r="B552">
        <v>58</v>
      </c>
      <c r="C552" s="1">
        <f>hyperlink("https://hetutrechtsarchief.nl/collectie/20006C0F40335FE78E55A4C769B88DF1","Monumenten het huis aan de Kleine Melm Henk Gerth 27-28 2001")</f>
        <v>0</v>
      </c>
      <c r="D552" s="1">
        <f>hyperlink("http://dspace.library.uu.nl/handle/1874/211340","Soest en het Huis van Oranje Engelbert Heupers 1980")</f>
        <v>0</v>
      </c>
    </row>
    <row r="553" spans="2:4">
      <c r="B553">
        <v>53</v>
      </c>
      <c r="C553" s="1">
        <f>hyperlink("https://hetutrechtsarchief.nl/collectie/77987DD5B401590291370EFFF656128A","Vondsten en verhalen 8 H Elsevier Stokmans 118 2006")</f>
        <v>0</v>
      </c>
      <c r="D553" s="1">
        <f>hyperlink("http://dspace.library.uu.nl/handle/1874/211341","Dood en begraven F S I Knaapen 1980")</f>
        <v>0</v>
      </c>
    </row>
    <row r="554" spans="2:4">
      <c r="B554">
        <v>55</v>
      </c>
      <c r="C554" s="1">
        <f>hyperlink("https://hetutrechtsarchief.nl/collectie/F8649A499D24547CBE66C75950B4D764","De paragnost en de politie Henk Lodder 10-11 1987")</f>
        <v>0</v>
      </c>
      <c r="D554" s="1">
        <f>hyperlink("http://dspace.library.uu.nl/handle/1874/211342","De Paltz C A Luitwieler 1980")</f>
        <v>0</v>
      </c>
    </row>
    <row r="555" spans="2:4">
      <c r="B555">
        <v>67</v>
      </c>
      <c r="C555" s="1">
        <f>hyperlink("https://hetutrechtsarchief.nl/collectie/174D34B93417543AB44F5082E81BCD52","De geschiedenis van deken Roes 10 - 11 1982")</f>
        <v>0</v>
      </c>
      <c r="D555" s="1">
        <f>hyperlink("http://dspace.library.uu.nl/handle/1874/211343","De geschiedenis van Soest G Staalenhoef 1980")</f>
        <v>0</v>
      </c>
    </row>
    <row r="556" spans="2:4">
      <c r="B556">
        <v>56</v>
      </c>
      <c r="C556" s="1">
        <f>hyperlink("https://hetutrechtsarchief.nl/collectie/7D07585183DF5144B24DBFFA9968CEC8","De Waag geschiedenis van een boerderij en haar bewoners Michiel Valkenburcht 98-107 2010")</f>
        <v>0</v>
      </c>
      <c r="D556" s="1">
        <f>hyperlink("http://dspace.library.uu.nl/handle/1874/211344","De hofsteden te Soest het Korte Eind en haar bewoners Gerard Staalenhoef 1980-1994")</f>
        <v>0</v>
      </c>
    </row>
    <row r="557" spans="2:4">
      <c r="B557">
        <v>53</v>
      </c>
      <c r="C557" s="1">
        <f>hyperlink("https://hetutrechtsarchief.nl/collectie/7B1B62D0202C5C18A82342847230688D","Oud en nieuw Oudekamp 6 6bis ill plgr 1981")</f>
        <v>0</v>
      </c>
      <c r="D557" s="1">
        <f>hyperlink("http://dspace.library.uu.nl/handle/1874/211345","Onze Oudheidkamer 1981")</f>
        <v>0</v>
      </c>
    </row>
    <row r="558" spans="2:4">
      <c r="B558">
        <v>51</v>
      </c>
      <c r="C558" s="1">
        <f>hyperlink("https://hetutrechtsarchief.nl/collectie/4BB5849AE0C05BB6A4598AC29301689B","Herinneringen aan Vreeland in de mobilisatietijd vanaf augustus 1914 W G van de Hulst 21-28 2011")</f>
        <v>0</v>
      </c>
      <c r="D558" s="1">
        <f>hyperlink("http://dspace.library.uu.nl/handle/1874/211346","Verspreiding van grafheuvels uit het Neolithicum en de Bronstijd tussen Austerlitz en Soest G van den Beemt 1980")</f>
        <v>0</v>
      </c>
    </row>
    <row r="559" spans="2:4">
      <c r="B559">
        <v>57</v>
      </c>
      <c r="C559" s="1">
        <f>hyperlink("https://hetutrechtsarchief.nl/collectie/5863DA74D49D5035B97997CF85C435B6","Riolering en wat nog meer 6-7 ill 1984")</f>
        <v>0</v>
      </c>
      <c r="D559" s="1">
        <f>hyperlink("http://dspace.library.uu.nl/handle/1874/211347","Overlijden pastoor A G Smit 1984")</f>
        <v>0</v>
      </c>
    </row>
    <row r="560" spans="2:4">
      <c r="B560">
        <v>57</v>
      </c>
      <c r="C560" s="1">
        <f>hyperlink("https://hetutrechtsarchief.nl/collectie/BCE2D2B308B55FCC9F4BB3341D754658","Klootschieten geliefd spel gaf te veel hinder Engelbert Heupers 41-42 1976")</f>
        <v>0</v>
      </c>
      <c r="D560" s="1">
        <f>hyperlink("http://dspace.library.uu.nl/handle/1874/211348","Karakteristieke spreekwoorden en gezegden Engelbert Heupers 1981")</f>
        <v>0</v>
      </c>
    </row>
    <row r="561" spans="2:4">
      <c r="B561">
        <v>60</v>
      </c>
      <c r="C561" s="1">
        <f>hyperlink("https://hetutrechtsarchief.nl/collectie/1D1F301C47D357F9886B7FCB69125AEB","Het Soester volkslied tekst H Horvers 24 1999")</f>
        <v>0</v>
      </c>
      <c r="D561" s="1">
        <f>hyperlink("http://dspace.library.uu.nl/handle/1874/211349","Soester volksverhaal E Heupers 1981")</f>
        <v>0</v>
      </c>
    </row>
    <row r="562" spans="2:4">
      <c r="B562">
        <v>59</v>
      </c>
      <c r="C562" s="1">
        <f>hyperlink("https://hetutrechtsarchief.nl/collectie/BCE2D2B308B55FCC9F4BB3341D754658","Klootschieten geliefd spel gaf te veel hinder Engelbert Heupers 41-42 1976")</f>
        <v>0</v>
      </c>
      <c r="D562" s="1">
        <f>hyperlink("http://dspace.library.uu.nl/handle/1874/211350","Werken in het veen Engelbert Heupers 1981")</f>
        <v>0</v>
      </c>
    </row>
    <row r="563" spans="2:4">
      <c r="B563">
        <v>54</v>
      </c>
      <c r="C563" s="1">
        <f>hyperlink("https://hetutrechtsarchief.nl/collectie/28A6DD4C30515BB0A41EC927C3D974F5","De oude binnenstad aangevreten R C J van Maanen 38 1971")</f>
        <v>0</v>
      </c>
      <c r="D563" s="1">
        <f>hyperlink("http://dspace.library.uu.nl/handle/1874/211351","De Koninklijke Standaard F S I Knaapen 1981-1985")</f>
        <v>0</v>
      </c>
    </row>
    <row r="564" spans="2:4">
      <c r="B564">
        <v>58</v>
      </c>
      <c r="C564" s="1">
        <f>hyperlink("https://hetutrechtsarchief.nl/collectie/BFAD5493C2275F14BE129B6EB4ADFC4C","Oude pleinen - Enit 8-9 ill 1951")</f>
        <v>0</v>
      </c>
      <c r="D564" s="1">
        <f>hyperlink("http://dspace.library.uu.nl/handle/1874/211352","Oude namen rondom De Eng C A Luitwieler 1981")</f>
        <v>0</v>
      </c>
    </row>
    <row r="565" spans="2:4">
      <c r="B565">
        <v>54</v>
      </c>
      <c r="C565" s="1">
        <f>hyperlink("https://hetutrechtsarchief.nl/collectie/78C959C144E350A99EE57B2FDF83714B","Het kasteel Vredenburg 19 -23 uitvouwb pl 1835")</f>
        <v>0</v>
      </c>
      <c r="D565" s="1">
        <f>hyperlink("http://dspace.library.uu.nl/handle/1874/211353","Het Soesterveen C A Luitwieler 1981")</f>
        <v>0</v>
      </c>
    </row>
    <row r="566" spans="2:4">
      <c r="B566">
        <v>54</v>
      </c>
      <c r="C566" s="1">
        <f>hyperlink("https://hetutrechtsarchief.nl/collectie/51A1AF049E775965BED8020B2834B89A","Frederik en Elisabeth van de Palts in Rhenen Aleid van de Bunt 51-52 1959")</f>
        <v>0</v>
      </c>
      <c r="D566" s="1">
        <f>hyperlink("http://dspace.library.uu.nl/handle/1874/211354","Zomerzorg te Soestdijk en de wasvrouwtjes van het Paleis J D H van der Neut 1980")</f>
        <v>0</v>
      </c>
    </row>
    <row r="567" spans="2:4">
      <c r="B567">
        <v>60</v>
      </c>
      <c r="C567" s="1">
        <f>hyperlink("https://hetutrechtsarchief.nl/collectie/3641B9D52A2C50DD8FBF0188D0435BB2","Fictieve genealogie n A E Cohen 7-9 ill 1987")</f>
        <v>0</v>
      </c>
      <c r="D567" s="1">
        <f>hyperlink("http://dspace.library.uu.nl/handle/1874/211355","Heraldiek en genealogie A H F Smit 1981")</f>
        <v>0</v>
      </c>
    </row>
    <row r="568" spans="2:4">
      <c r="B568">
        <v>60</v>
      </c>
      <c r="C568" s="1">
        <f>hyperlink("https://hetutrechtsarchief.nl/collectie/352CC22DE1B45538BC6CD2ADC6DB96A0","Het wapenbord in de Waverveense kerk Piet Koster 58-61 2001")</f>
        <v>0</v>
      </c>
      <c r="D568" s="1">
        <f>hyperlink("http://dspace.library.uu.nl/handle/1874/211356","De wapenborden in de Ned Herv Kerk te Soest G Staalenhoef 1981-1982")</f>
        <v>0</v>
      </c>
    </row>
    <row r="569" spans="2:4">
      <c r="B569">
        <v>53</v>
      </c>
      <c r="C569" s="1">
        <f>hyperlink("https://hetutrechtsarchief.nl/collectie/D4FCFD39257F8A34E0538F04000A0A0B","Landverhuizers naar Noord-Amerika Ab Visser 207-211 2021")</f>
        <v>0</v>
      </c>
      <c r="D569" s="1">
        <f>hyperlink("http://dspace.library.uu.nl/handle/1874/211357","Van Zomerzorg naar Zomerlust J M Vaissier 1981")</f>
        <v>0</v>
      </c>
    </row>
    <row r="570" spans="2:4">
      <c r="B570">
        <v>56</v>
      </c>
      <c r="C570" s="1">
        <f>hyperlink("https://hetutrechtsarchief.nl/collectie/C83FD76E37E853719A4F80D771BA373A","Willem van Leusden 40 jaar geleden overleden Arie de Zwart 89-91 2014")</f>
        <v>0</v>
      </c>
      <c r="D570" s="1">
        <f>hyperlink("http://dspace.library.uu.nl/handle/1874/211358","Milieuproblemen van 60 jaar geleden J M Veenstra 1981")</f>
        <v>0</v>
      </c>
    </row>
    <row r="571" spans="2:4">
      <c r="B571">
        <v>58</v>
      </c>
      <c r="C571" s="1">
        <f>hyperlink("https://hetutrechtsarchief.nl/collectie/1676223A43785E4C975BE734689058A1","Rhenense gildetekens Aleid van de Bunt 26-28 ill 1963")</f>
        <v>0</v>
      </c>
      <c r="D571" s="1">
        <f>hyperlink("http://dspace.library.uu.nl/handle/1874/211359","Het Kleine Gild door een lid van het Kleine Gild 1982")</f>
        <v>0</v>
      </c>
    </row>
    <row r="572" spans="2:4">
      <c r="B572">
        <v>52</v>
      </c>
      <c r="C572" s="1">
        <f>hyperlink("https://hetutrechtsarchief.nl/collectie/E21021439CE3502FBF2B74A9EA629E7B","Uit de oude doos Wim Klever 24-25 1998")</f>
        <v>0</v>
      </c>
      <c r="D572" s="1">
        <f>hyperlink("http://dspace.library.uu.nl/handle/1874/211360","De oudheidkamer 1982")</f>
        <v>0</v>
      </c>
    </row>
    <row r="573" spans="2:4">
      <c r="B573">
        <v>59</v>
      </c>
      <c r="C573" s="1">
        <f>hyperlink("https://hetutrechtsarchief.nl/collectie/AE662D4B85755FD0B0B6D12ABECC454C","De Heus 32 1972")</f>
        <v>0</v>
      </c>
      <c r="D573" s="1">
        <f>hyperlink("http://dspace.library.uu.nl/handle/1874/211362","De Soester kei 1982")</f>
        <v>0</v>
      </c>
    </row>
    <row r="574" spans="2:4">
      <c r="B574">
        <v>67</v>
      </c>
      <c r="C574" s="1">
        <f>hyperlink("https://hetutrechtsarchief.nl/collectie/36B14F672C77502487B47394E25C658E","Een bijzondere grafsteen B de Ligt 45-47 ill 1998")</f>
        <v>0</v>
      </c>
      <c r="D574" s="1">
        <f>hyperlink("http://dspace.library.uu.nl/handle/1874/211363","Een bijzondere begrafenis Elias de Bree 1982")</f>
        <v>0</v>
      </c>
    </row>
    <row r="575" spans="2:4">
      <c r="B575">
        <v>58</v>
      </c>
      <c r="C575" s="1">
        <f>hyperlink("https://hetutrechtsarchief.nl/collectie/63B5CB732F505F13B331CA730DAB897B","Op zoek naar het bruine goud Gert van Beek 73-74 2003")</f>
        <v>0</v>
      </c>
      <c r="D575" s="1">
        <f>hyperlink("http://dspace.library.uu.nl/handle/1874/211364","Op zoek naar het huis Bleyendaal P J van den Breemer 1982")</f>
        <v>0</v>
      </c>
    </row>
    <row r="576" spans="2:4">
      <c r="B576">
        <v>52</v>
      </c>
      <c r="C576" s="1">
        <f>hyperlink("https://hetutrechtsarchief.nl/collectie/B8B225FCA1F71C79E0534701000A8D62","Maria Magdalena in Utrecht van de middeleeuwen tot nu Lieke Wijnia en Annabel Dijkema 234-251 2020")</f>
        <v>0</v>
      </c>
      <c r="D576" s="1">
        <f>hyperlink("http://dspace.library.uu.nl/handle/1874/211365","Zaden en vruchten uit het middeleeuwse klooster Marienburg te Soest Pauline Buurman Janneke Wijnmaalen 1982")</f>
        <v>0</v>
      </c>
    </row>
    <row r="577" spans="2:4">
      <c r="B577">
        <v>63</v>
      </c>
      <c r="C577" s="1">
        <f>hyperlink("https://hetutrechtsarchief.nl/collectie/BCE2D2B308B55FCC9F4BB3341D754658","Klootschieten geliefd spel gaf te veel hinder Engelbert Heupers 41-42 1976")</f>
        <v>0</v>
      </c>
      <c r="D577" s="1">
        <f>hyperlink("http://dspace.library.uu.nl/handle/1874/211366","Eekschillers en bezembinder Engelbert Heupers 1982")</f>
        <v>0</v>
      </c>
    </row>
    <row r="578" spans="2:4">
      <c r="B578">
        <v>55</v>
      </c>
      <c r="C578" s="1">
        <f>hyperlink("https://hetutrechtsarchief.nl/collectie/BCE2D2B308B55FCC9F4BB3341D754658","Klootschieten geliefd spel gaf te veel hinder Engelbert Heupers 41-42 1976")</f>
        <v>0</v>
      </c>
      <c r="D578" s="1">
        <f>hyperlink("http://dspace.library.uu.nl/handle/1874/211367","Heide- en plaggehutten Engelbert Heupers 1982")</f>
        <v>0</v>
      </c>
    </row>
    <row r="579" spans="2:4">
      <c r="B579">
        <v>55</v>
      </c>
      <c r="C579" s="1">
        <f>hyperlink("https://hetutrechtsarchief.nl/collectie/B9C67A999C295CB78BEB5E0E08A9C56A","Lazarus- of Lasenberg E Heupers 22-25 1961")</f>
        <v>0</v>
      </c>
      <c r="D579" s="1">
        <f>hyperlink("http://dspace.library.uu.nl/handle/1874/211368","Jan Muis Engelbert Heupers 1982")</f>
        <v>0</v>
      </c>
    </row>
    <row r="580" spans="2:4">
      <c r="B580">
        <v>71</v>
      </c>
      <c r="C580" s="1">
        <f>hyperlink("https://hetutrechtsarchief.nl/collectie/9417A84D2B255DC8846D2896E254F221","De voorgeschiedenis van Vredenburg - K 32 1952")</f>
        <v>0</v>
      </c>
      <c r="D580" s="1">
        <f>hyperlink("http://dspace.library.uu.nl/handle/1874/211369","De voorgeschiedenis van een contract F S I Knaapen 1982")</f>
        <v>0</v>
      </c>
    </row>
    <row r="581" spans="2:4">
      <c r="B581">
        <v>55</v>
      </c>
      <c r="C581" s="1">
        <f>hyperlink("https://hetutrechtsarchief.nl/collectie/F205EC34D3FE5025B913C12A35B7E7FB","Korte geschiedenis van de familie Van der Pol Henk van Hees 7-19 2007")</f>
        <v>0</v>
      </c>
      <c r="D581" s="1">
        <f>hyperlink("http://dspace.library.uu.nl/handle/1874/211370","Woartoe Garrit de Heeren van de Sniekoamer kapoabel achtte J Knoppers 1982")</f>
        <v>0</v>
      </c>
    </row>
    <row r="582" spans="2:4">
      <c r="B582">
        <v>53</v>
      </c>
      <c r="C582" s="1">
        <f>hyperlink("https://hetutrechtsarchief.nl/collectie/0BCD1B2D47DB5A38BAA3AAEF53E2E107","Cijfers over de huisvesting A G Brouwer 1959")</f>
        <v>0</v>
      </c>
      <c r="D582" s="1">
        <f>hyperlink("http://dspace.library.uu.nl/handle/1874/211371","Flora op De Eng C A Luitwieler 1982")</f>
        <v>0</v>
      </c>
    </row>
    <row r="583" spans="2:4">
      <c r="B583">
        <v>57</v>
      </c>
      <c r="C583" s="1">
        <f>hyperlink("https://hetutrechtsarchief.nl/collectie/60BCEDA8BF1C5E05A52135FF06457C88","Pegus 60 jaar in beeld jubileumuitgave 1982")</f>
        <v>0</v>
      </c>
      <c r="D583" s="1">
        <f>hyperlink("http://dspace.library.uu.nl/handle/1874/211372","Op reis - 200 jaar geleden P Siegers 1982")</f>
        <v>0</v>
      </c>
    </row>
    <row r="584" spans="2:4">
      <c r="B584">
        <v>59</v>
      </c>
      <c r="C584" s="1">
        <f>hyperlink("https://hetutrechtsarchief.nl/collectie/60BCEDA8BF1C5E05A52135FF06457C88","Pegus 60 jaar in beeld jubileumuitgave 1982")</f>
        <v>0</v>
      </c>
      <c r="D584" s="1">
        <f>hyperlink("http://dspace.library.uu.nl/handle/1874/211373","Soest - 60 jaar geleden P Siegers 1982")</f>
        <v>0</v>
      </c>
    </row>
    <row r="585" spans="2:4">
      <c r="B585">
        <v>52</v>
      </c>
      <c r="C585" s="1">
        <f>hyperlink("https://hetutrechtsarchief.nl/collectie/653CFB43F0DB5601E0534701000A981D","Interview met Walter Evert baron Snouckaert van Schauburg geboren s-Gravenhage 18 januari 1925 Jan Stutvoet 6-12 2018")</f>
        <v>0</v>
      </c>
      <c r="D585" s="1">
        <f>hyperlink("http://dspace.library.uu.nl/handle/1874/211374","Barones Snouckaert van Schauburg en haar familie G Staalenhoef 1982")</f>
        <v>0</v>
      </c>
    </row>
    <row r="586" spans="2:4">
      <c r="B586">
        <v>60</v>
      </c>
      <c r="C586" s="1">
        <f>hyperlink("https://hetutrechtsarchief.nl/collectie/BAB3EE3AA27F513C9D626D507CA4A256","Genealogische tabellen familie Van Brederode 133 -135")</f>
        <v>0</v>
      </c>
      <c r="D586" s="1">
        <f>hyperlink("http://dspace.library.uu.nl/handle/1874/211375","Genealogische termen G Staalenhoef 1981-1982")</f>
        <v>0</v>
      </c>
    </row>
    <row r="587" spans="2:4">
      <c r="B587">
        <v>56</v>
      </c>
      <c r="C587" s="1">
        <f>hyperlink("https://hetutrechtsarchief.nl/collectie/3DDA9CA5658A51CFA18AB72EFD0C6FB4","Herinneringen uit Soest Piet van den Breemer 22-25 2012")</f>
        <v>0</v>
      </c>
      <c r="D587" s="1">
        <f>hyperlink("http://dspace.library.uu.nl/handle/1874/211376","Dominee Jacobus Johannes Bos P J van den Breemer 1983")</f>
        <v>0</v>
      </c>
    </row>
    <row r="588" spans="2:4">
      <c r="B588">
        <v>52</v>
      </c>
      <c r="C588" s="1">
        <f>hyperlink("https://hetutrechtsarchief.nl/collectie/767538F4680E543ABBD15C75459791FF","Jan van Scorel Marinus van Rijn 12-13 1985")</f>
        <v>0</v>
      </c>
      <c r="D588" s="1">
        <f>hyperlink("http://dspace.library.uu.nl/handle/1874/211377","Jac van Looy schrijver-schilder 1855-1930 1983")</f>
        <v>0</v>
      </c>
    </row>
    <row r="589" spans="2:4">
      <c r="B589">
        <v>56</v>
      </c>
      <c r="C589" s="1">
        <f>hyperlink("https://hetutrechtsarchief.nl/collectie/406BFCC4A2595262AFE6E027D71BFEE2","Kanonstraat sloop 2 1984")</f>
        <v>0</v>
      </c>
      <c r="D589" s="1">
        <f>hyperlink("http://dspace.library.uu.nl/handle/1874/211378","Nog eens Jac van Looy 1983")</f>
        <v>0</v>
      </c>
    </row>
    <row r="590" spans="2:4">
      <c r="B590">
        <v>55</v>
      </c>
      <c r="C590" s="1">
        <f>hyperlink("https://hetutrechtsarchief.nl/collectie/654DE0BEC3885560A3F415F96262383E","Ledig erf 12-13 1983")</f>
        <v>0</v>
      </c>
      <c r="D590" s="1">
        <f>hyperlink("http://dspace.library.uu.nl/handle/1874/211379","Soest 1815-1983 1983")</f>
        <v>0</v>
      </c>
    </row>
    <row r="591" spans="2:4">
      <c r="B591">
        <v>57</v>
      </c>
      <c r="C591" s="1">
        <f>hyperlink("https://hetutrechtsarchief.nl/collectie/62283842E4675B77B07D184C793FB1B1","De familie van Oud-Utrecht Stichting Utrechtse Kastelen Renger de Bruin 103 2001")</f>
        <v>0</v>
      </c>
      <c r="D591" s="1">
        <f>hyperlink("http://dspace.library.uu.nl/handle/1874/211380","Verdwenen molens van Soest Stichting tot herbouw van de stelling-korenmolen De Windhond 1983")</f>
        <v>0</v>
      </c>
    </row>
    <row r="592" spans="2:4">
      <c r="B592">
        <v>51</v>
      </c>
      <c r="C592" s="1">
        <f>hyperlink("https://hetutrechtsarchief.nl/collectie/BEA470965088542691AE71EF5E9583FB","De tekenaar J Lutgens 1836-1919 onbekend talent uit Loenen 73-81 1999")</f>
        <v>0</v>
      </c>
      <c r="D592" s="1">
        <f>hyperlink("http://dspace.library.uu.nl/handle/1874/211381","Wethouder Karel Lodeesen 1867-1941 bewerkt door G Staalenhoef G Staalenhoef 1983")</f>
        <v>0</v>
      </c>
    </row>
    <row r="593" spans="2:4">
      <c r="B593">
        <v>61</v>
      </c>
      <c r="C593" s="1">
        <f>hyperlink("https://hetutrechtsarchief.nl/collectie/8FEB1A6BE1F034C5E0534701000AFD82","Soesters in het leger van Napoleon Jan de Mos 8-16 2019")</f>
        <v>0</v>
      </c>
      <c r="D593" s="1">
        <f>hyperlink("http://dspace.library.uu.nl/handle/1874/211382","De Zouaven Soester soldaten in het leger van de Paus 1864-1870 1983")</f>
        <v>0</v>
      </c>
    </row>
    <row r="594" spans="2:4">
      <c r="B594">
        <v>56</v>
      </c>
      <c r="C594" s="1">
        <f>hyperlink("https://hetutrechtsarchief.nl/collectie/3677D54FF9915132AE946F41E7B46502","Bob van Walderveen Sione van Walderveen 18-27 2000")</f>
        <v>0</v>
      </c>
      <c r="D594" s="1">
        <f>hyperlink("http://dspace.library.uu.nl/handle/1874/211383","Palm Pasen Simon van Alphen 1982")</f>
        <v>0</v>
      </c>
    </row>
    <row r="595" spans="2:4">
      <c r="B595">
        <v>59</v>
      </c>
      <c r="C595" s="1">
        <f>hyperlink("https://hetutrechtsarchief.nl/collectie/3DDA9CA5658A51CFA18AB72EFD0C6FB4","Herinneringen uit Soest Piet van den Breemer 22-25 2012")</f>
        <v>0</v>
      </c>
      <c r="D595" s="1">
        <f>hyperlink("http://dspace.library.uu.nl/handle/1874/211384","Boerderij Oudersvrucht P J van den Breemer 1983")</f>
        <v>0</v>
      </c>
    </row>
    <row r="596" spans="2:4">
      <c r="B596">
        <v>54</v>
      </c>
      <c r="C596" s="1">
        <f>hyperlink("https://hetutrechtsarchief.nl/collectie/462DECF8C46F5CCFAAF6382E2D9D30DD","De historie van de Jacob s steeg Hans Vos 57-60 2013")</f>
        <v>0</v>
      </c>
      <c r="D596" s="1">
        <f>hyperlink("http://dspace.library.uu.nl/handle/1874/211385","Dominee Jacobus Johannes Bos J J Bos 1983")</f>
        <v>0</v>
      </c>
    </row>
    <row r="597" spans="2:4">
      <c r="B597">
        <v>58</v>
      </c>
      <c r="C597" s="1">
        <f>hyperlink("https://hetutrechtsarchief.nl/collectie/05E85470ED98548FA60890E87F292B59","Over eten en nog iets S F van Heemstra 1948")</f>
        <v>0</v>
      </c>
      <c r="D597" s="1">
        <f>hyperlink("http://dspace.library.uu.nl/handle/1874/211386","Verdwenen molens van Soest F Elsman 1983")</f>
        <v>0</v>
      </c>
    </row>
    <row r="598" spans="2:4">
      <c r="B598">
        <v>55</v>
      </c>
      <c r="C598" s="1">
        <f>hyperlink("https://hetutrechtsarchief.nl/collectie/38A14701349A53CBAC3817B02F84F74F","Geschiedenis van de homoseksualiteit in Nederland 1982")</f>
        <v>0</v>
      </c>
      <c r="D598" s="1">
        <f>hyperlink("http://dspace.library.uu.nl/handle/1874/211387","Geschenk voor de kleine Beatrix Redactie 1988")</f>
        <v>0</v>
      </c>
    </row>
    <row r="599" spans="2:4">
      <c r="B599">
        <v>55</v>
      </c>
      <c r="C599" s="1">
        <f>hyperlink("https://hetutrechtsarchief.nl/collectie/0EBA1EB26A135F789B0E0008E156E104","Weinig klachten over de DOW 12-13 portr 1989")</f>
        <v>0</v>
      </c>
      <c r="D599" s="1">
        <f>hyperlink("http://dspace.library.uu.nl/handle/1874/211388","Enige gegevens over de familie de Wijs Jo G Hilhorst 1983")</f>
        <v>0</v>
      </c>
    </row>
    <row r="600" spans="2:4">
      <c r="B600">
        <v>58</v>
      </c>
      <c r="C600" s="1">
        <f>hyperlink("https://hetutrechtsarchief.nl/collectie/31B105600EA85D3DAC2D2A40CDADCCBA","Statistiek der bevolking van Utrecht L E Bosch 99-107 1858")</f>
        <v>0</v>
      </c>
      <c r="D600" s="1">
        <f>hyperlink("http://dspace.library.uu.nl/handle/1874/211389","Bevolking van Soest J J Bos 1988")</f>
        <v>0</v>
      </c>
    </row>
    <row r="601" spans="2:4">
      <c r="B601">
        <v>55</v>
      </c>
      <c r="C601" s="1">
        <f>hyperlink("https://hetutrechtsarchief.nl/collectie/2E095F5001815727B1A5E3D8D03D0CB8","100 jaar Harmoniegezelschap Fidelio 1895-1995 379-443 1998")</f>
        <v>0</v>
      </c>
      <c r="D601" s="1">
        <f>hyperlink("http://dspace.library.uu.nl/handle/1874/211391","100 jaar Hotel Schimmel G D Marringa 23-45 1985")</f>
        <v>0</v>
      </c>
    </row>
    <row r="602" spans="2:4">
      <c r="B602">
        <v>53</v>
      </c>
      <c r="C602" s="1">
        <f>hyperlink("https://hetutrechtsarchief.nl/collectie/5E23D7AAA56B5FFAA947227F0DCEFAB6","Utrechtsche overleveringen XIX De bouw der St Mariakerk - E 90-93 1940")</f>
        <v>0</v>
      </c>
      <c r="D602" s="1">
        <f>hyperlink("http://dspace.library.uu.nl/handle/1874/211392","Gerechts- en gemeentehuizen in Woudenberg J J Marringa G D Timmer 49-88 1985")</f>
        <v>0</v>
      </c>
    </row>
    <row r="603" spans="2:4">
      <c r="B603">
        <v>62</v>
      </c>
      <c r="C603" s="1">
        <f>hyperlink("https://hetutrechtsarchief.nl/collectie/C37E2B69B3755F76AF7ACCCC5B95C39A","Vreedenhorst in Vreeland Juliette Jonker-Duynstee 3-10 2012")</f>
        <v>0</v>
      </c>
      <c r="D603" s="1">
        <f>hyperlink("http://dspace.library.uu.nl/handle/1874/211393","Loenersloot een eeuw geleden Juliette Groot Hedwig de Jonker-Duynstee 13-14 1999")</f>
        <v>0</v>
      </c>
    </row>
    <row r="604" spans="2:4">
      <c r="B604">
        <v>60</v>
      </c>
      <c r="C604" s="1">
        <f>hyperlink("https://hetutrechtsarchief.nl/collectie/689F139995A353FA9CD16003D1910EEE","De geschiedenis van de gemeente Loenen Fenna Brouwer 5-19 2004")</f>
        <v>0</v>
      </c>
      <c r="D604" s="1">
        <f>hyperlink("http://dspace.library.uu.nl/handle/1874/211394","De wijkindeling in Loenen in 1890 Fenna Brouwer 17-18 1980")</f>
        <v>0</v>
      </c>
    </row>
    <row r="605" spans="2:4">
      <c r="B605">
        <v>51</v>
      </c>
      <c r="C605" s="1">
        <f>hyperlink("https://hetutrechtsarchief.nl/collectie/406BFCC4A2595262AFE6E027D71BFEE2","Kanonstraat sloop 2 1984")</f>
        <v>0</v>
      </c>
      <c r="D605" s="1">
        <f>hyperlink("http://dspace.library.uu.nl/handle/1874/211395","Proces verbaal 1984")</f>
        <v>0</v>
      </c>
    </row>
    <row r="606" spans="2:4">
      <c r="B606">
        <v>52</v>
      </c>
      <c r="C606" s="1">
        <f>hyperlink("https://hetutrechtsarchief.nl/collectie/66B0414A317356EF8D450A066C02956C","In memoriam Jacob Hollander H W Danner 58-61 1935")</f>
        <v>0</v>
      </c>
      <c r="D606" s="1">
        <f>hyperlink("http://dspace.library.uu.nl/handle/1874/211396","Van moeras naar cultuurgrond J J Eilander D A Timmer 6-13 1983")</f>
        <v>0</v>
      </c>
    </row>
    <row r="607" spans="2:4">
      <c r="B607">
        <v>63</v>
      </c>
      <c r="C607" s="1">
        <f>hyperlink("https://hetutrechtsarchief.nl/collectie/E44A730E9FC55B7EA08F17CC6734A4B6","Een schoolfoto uit 1946 156-157 1999")</f>
        <v>0</v>
      </c>
      <c r="D607" s="1">
        <f>hyperlink("http://dspace.library.uu.nl/handle/1874/211397","Een schoolfoto uit Woudenberg G Moesbergen 16-17 1983")</f>
        <v>0</v>
      </c>
    </row>
    <row r="608" spans="2:4">
      <c r="B608">
        <v>59</v>
      </c>
      <c r="C608" s="1">
        <f>hyperlink("https://hetutrechtsarchief.nl/collectie/F21EF16BBCAC54CD84702A3761A4AFBA","Testament van een regent A Graafhuis 7-8 1973")</f>
        <v>0</v>
      </c>
      <c r="D608" s="1">
        <f>hyperlink("http://dspace.library.uu.nl/handle/1874/211398","Restanten van een natuurstenen doopvont Th van Straalen 3-5 1983")</f>
        <v>0</v>
      </c>
    </row>
    <row r="609" spans="2:4">
      <c r="B609">
        <v>55</v>
      </c>
      <c r="C609" s="1">
        <f>hyperlink("https://hetutrechtsarchief.nl/collectie/1D20301E5BA25D0F828DA3876239B190","Geen enkele wethouder is z n plaats zeker 16 - 18 1982")</f>
        <v>0</v>
      </c>
      <c r="D609" s="1">
        <f>hyperlink("http://dspace.library.uu.nl/handle/1874/211399","Enkele bodemvondsten in Laanzicht J J Timmer 14-15 1983")</f>
        <v>0</v>
      </c>
    </row>
    <row r="610" spans="2:4">
      <c r="B610">
        <v>58</v>
      </c>
      <c r="C610" s="1">
        <f>hyperlink("https://hetutrechtsarchief.nl/collectie/D0B0C71128F35F38B9511E594C778434","Utrechtsche overleveringen XIII de stichting der St Mariakerk - E 29-30 1939")</f>
        <v>0</v>
      </c>
      <c r="D610" s="1">
        <f>hyperlink("http://dspace.library.uu.nl/handle/1874/211400","Uit de verzameling van de Stichting de bodebus J J Timmer 18-20 1983")</f>
        <v>0</v>
      </c>
    </row>
    <row r="611" spans="2:4">
      <c r="B611">
        <v>56</v>
      </c>
      <c r="C611" s="1">
        <f>hyperlink("https://hetutrechtsarchief.nl/collectie/46914283A2DB58E3A317C0C7CDE97F73","Poortje verdwenen 39 1952")</f>
        <v>0</v>
      </c>
      <c r="D611" s="1">
        <f>hyperlink("http://dspace.library.uu.nl/handle/1874/211401","Om nooit te vergeten 1988")</f>
        <v>0</v>
      </c>
    </row>
    <row r="612" spans="2:4">
      <c r="B612">
        <v>53</v>
      </c>
      <c r="C612" s="1">
        <f>hyperlink("https://hetutrechtsarchief.nl/collectie/6BC9F35EE0145912B58A93D37C5BC927","De eerste straatverlichting in Breukelen Jaap G Bokma 9-12 2005")</f>
        <v>0</v>
      </c>
      <c r="D612" s="1">
        <f>hyperlink("http://dspace.library.uu.nl/handle/1874/211402","Wegen en straatverlichting uit het manuscript van Ds J J Bos J J Bos 1984")</f>
        <v>0</v>
      </c>
    </row>
    <row r="613" spans="2:4">
      <c r="B613">
        <v>57</v>
      </c>
      <c r="C613" s="1">
        <f>hyperlink("https://hetutrechtsarchief.nl/collectie/D7E6F74DA218557EB267076016594884","Een aanbesteding in vroeger jaren 19-20 1998")</f>
        <v>0</v>
      </c>
      <c r="D613" s="1">
        <f>hyperlink("http://dspace.library.uu.nl/handle/1874/211403","Brandbestrijding in Soest J F Groat 1983")</f>
        <v>0</v>
      </c>
    </row>
    <row r="614" spans="2:4">
      <c r="B614">
        <v>56</v>
      </c>
      <c r="C614" s="1">
        <f>hyperlink("https://hetutrechtsarchief.nl/collectie/715261F5177D53AD80D769C2BD503186","Park Bloeyendael 13 ill 1994")</f>
        <v>0</v>
      </c>
      <c r="D614" s="1">
        <f>hyperlink("http://dspace.library.uu.nl/handle/1874/211404","Bleyendaal Jo G Hilhorst 1983")</f>
        <v>0</v>
      </c>
    </row>
    <row r="615" spans="2:4">
      <c r="B615">
        <v>51</v>
      </c>
      <c r="C615" s="1">
        <f>hyperlink("https://hetutrechtsarchief.nl/collectie/B1BB44392B5856A1A764D63A3C021D7B","De Vrijplaats Rita 5 1983")</f>
        <v>0</v>
      </c>
      <c r="D615" s="1">
        <f>hyperlink("http://dspace.library.uu.nl/handle/1874/211405","Dorpstypes Hans Kraal 1983")</f>
        <v>0</v>
      </c>
    </row>
    <row r="616" spans="2:4">
      <c r="B616">
        <v>62</v>
      </c>
      <c r="C616" s="1">
        <f>hyperlink("https://hetutrechtsarchief.nl/collectie/BD9B361A8BA7515E87373A1E5A149545","Historische kartografie 53-102 ill 1985")</f>
        <v>0</v>
      </c>
      <c r="D616" s="1">
        <f>hyperlink("http://dspace.library.uu.nl/handle/1874/211406","Historische rekreatie Hans Kraal 1982-1983")</f>
        <v>0</v>
      </c>
    </row>
    <row r="617" spans="2:4">
      <c r="B617">
        <v>55</v>
      </c>
      <c r="C617" s="1">
        <f>hyperlink("https://hetutrechtsarchief.nl/collectie/78DE88E512E15E24B2CA0F7EAA7BEBDC","Uit het verleden van Soest J van Galen 90-92 1958")</f>
        <v>0</v>
      </c>
      <c r="D617" s="1">
        <f>hyperlink("http://dspace.library.uu.nl/handle/1874/211407","De kastelen te Soest G Staalenhoef 1983")</f>
        <v>0</v>
      </c>
    </row>
    <row r="618" spans="2:4">
      <c r="B618">
        <v>55</v>
      </c>
      <c r="C618" s="1">
        <f>hyperlink("https://hetutrechtsarchief.nl/collectie/960B59558545F20AE0534701000A672A","Sporen van een gedeeld verleden Frank van der Velden 12-13 2019")</f>
        <v>0</v>
      </c>
      <c r="D618" s="1">
        <f>hyperlink("http://dspace.library.uu.nl/handle/1874/211408","De Korssesteeg een korte weg met een lang verleden Wim Brink Louis van den Hoebink 3-20 1996")</f>
        <v>0</v>
      </c>
    </row>
    <row r="619" spans="2:4">
      <c r="B619">
        <v>64</v>
      </c>
      <c r="C619" s="1">
        <f>hyperlink("https://hetutrechtsarchief.nl/collectie/9682D3C626EB05F7E0534701000AA00A","Bevrijding Maartensdijk Koos Kolenbrander 11-12 2010")</f>
        <v>0</v>
      </c>
      <c r="D619" s="1">
        <f>hyperlink("http://dspace.library.uu.nl/handle/1874/211409","De uitbreiding van 1953 Koos Kolenbrander 7-10 1997")</f>
        <v>0</v>
      </c>
    </row>
    <row r="620" spans="2:4">
      <c r="B620">
        <v>60</v>
      </c>
      <c r="C620" s="1">
        <f>hyperlink("https://hetutrechtsarchief.nl/collectie/5F9FC8E3190B516A86387201933E50B1","De oude gemeentewapens van De Bilt Maartensdijk Achttienhoven en Westbroek Jan van der Heijden 64-73 2003")</f>
        <v>0</v>
      </c>
      <c r="D620" s="1">
        <f>hyperlink("http://dspace.library.uu.nl/handle/1874/211410","De wapens van Maartensdijk Westbroek en Achttienhoven Fenna Brouwer 3-6 1997")</f>
        <v>0</v>
      </c>
    </row>
    <row r="621" spans="2:4">
      <c r="B621">
        <v>53</v>
      </c>
      <c r="C621" s="1">
        <f>hyperlink("https://hetutrechtsarchief.nl/collectie/636E994537DA5927B75EFFD10387287A","Utrecht door de eeuwen heen biografie van een stad Thera Coppens 14-17 1999")</f>
        <v>0</v>
      </c>
      <c r="D621" s="1">
        <f>hyperlink("http://dspace.library.uu.nl/handle/1874/211411","Achter de schermen over de bronnen voor en beschrijvers van De Slag bij Westbroek 1481 A Doedens 13-14 1997")</f>
        <v>0</v>
      </c>
    </row>
    <row r="622" spans="2:4">
      <c r="B622">
        <v>55</v>
      </c>
      <c r="C622" s="1">
        <f>hyperlink("https://hetutrechtsarchief.nl/collectie/983DFEBBDF6A0AF0E0534701000AACBC","Ooievaars en Westbroek Karien Scholten 18-24 2019")</f>
        <v>0</v>
      </c>
      <c r="D622" s="1">
        <f>hyperlink("http://dspace.library.uu.nl/handle/1874/211412","Unieke vondst in Westbroek M L de Raadt-Nolst Trenit 11-12 1997")</f>
        <v>0</v>
      </c>
    </row>
    <row r="623" spans="2:4">
      <c r="B623">
        <v>51</v>
      </c>
      <c r="C623" s="1">
        <f>hyperlink("https://hetutrechtsarchief.nl/collectie/FE2E216233D75310808042B534BA8718","Erflaters 22 Frederik Jacobus Johannes Buytendijk 1887-1974 A H 6 1999")</f>
        <v>0</v>
      </c>
      <c r="D623" s="1">
        <f>hyperlink("http://dspace.library.uu.nl/handle/1874/211413","Vijf Loenense jaren Jacobus Jan Cremer 1827-1880 B W Jagt 23-37 1996")</f>
        <v>0</v>
      </c>
    </row>
    <row r="624" spans="2:4">
      <c r="B624">
        <v>56</v>
      </c>
      <c r="C624" s="1">
        <f>hyperlink("https://hetutrechtsarchief.nl/collectie/D0BBDC4867FD5EB1B4142A38FA1C0062","Het stuijversgeld van de Nederlandse Hervormde Kerk te Soest E Heupers 105-111 1958")</f>
        <v>0</v>
      </c>
      <c r="D624" s="1">
        <f>hyperlink("http://dspace.library.uu.nl/handle/1874/211414","De beeldenstorm voorbij beeldhouwwerkjes hervormde kerk Loenen A Schras 15-16 1996")</f>
        <v>0</v>
      </c>
    </row>
    <row r="625" spans="2:4">
      <c r="B625">
        <v>55</v>
      </c>
      <c r="C625" s="1">
        <f>hyperlink("https://hetutrechtsarchief.nl/collectie/565C8FB0393A5102A0A98349FAF27721","Pieter van Gelder kunstenaar te Vreeland Juliette Jonker-Duynstee 2009")</f>
        <v>0</v>
      </c>
      <c r="D625" s="1">
        <f>hyperlink("http://dspace.library.uu.nl/handle/1874/211415","Een sierkunstenaar te Vreeland C A Lion Cachet 1864-1945 B J Aalbers 17-22 1996")</f>
        <v>0</v>
      </c>
    </row>
    <row r="626" spans="2:4">
      <c r="B626">
        <v>63</v>
      </c>
      <c r="C626" s="1">
        <f>hyperlink("https://hetutrechtsarchief.nl/collectie/2DB9E3A02D3E5CF0910E9D2994694E2B","Van Weede W A Beelaerts van Blokland")</f>
        <v>0</v>
      </c>
      <c r="D626" s="1">
        <f>hyperlink("http://dspace.library.uu.nl/handle/1874/211416","Vakantie op Vredenhorst Kees Beelaerts van Blokland 28-31 1996")</f>
        <v>0</v>
      </c>
    </row>
    <row r="627" spans="2:4">
      <c r="B627">
        <v>77</v>
      </c>
      <c r="C627" s="1">
        <f>hyperlink("https://hetutrechtsarchief.nl/collectie/4D3D6760E52D59729562A1082BDED6FA","Fort Spion schakel in de Waterlinie Dolf i e Douwe Koen 92-98 2004")</f>
        <v>0</v>
      </c>
      <c r="D627" s="1">
        <f>hyperlink("http://dspace.library.uu.nl/handle/1874/211417","Fort Spion schakel in de Waterlinie D T Koen 3-10 1996")</f>
        <v>0</v>
      </c>
    </row>
    <row r="628" spans="2:4">
      <c r="B628">
        <v>59</v>
      </c>
      <c r="C628" s="1">
        <f>hyperlink("https://hetutrechtsarchief.nl/collectie/8CAEF00FBDCD94BEE0534701000ACBB9","Herinneringen aan landgoed Den Engh Anneke Hofstede 11-16 2019")</f>
        <v>0</v>
      </c>
      <c r="D628" s="1">
        <f>hyperlink("http://dspace.library.uu.nl/handle/1874/211418","Herinneringen aan een voorbije tijd de familie Valkenhoff op Bijdorp Stanny Verster 11-15 1996")</f>
        <v>0</v>
      </c>
    </row>
    <row r="629" spans="2:4">
      <c r="B629">
        <v>54</v>
      </c>
      <c r="C629" s="1">
        <f>hyperlink("https://hetutrechtsarchief.nl/collectie/365E36DE163251879FFAA5B0FBCD04B6","Een hoofdstuk uit de Utrechtse journalistiek J van Staveren 13-19 1984")</f>
        <v>0</v>
      </c>
      <c r="D629" s="1">
        <f>hyperlink("http://dspace.library.uu.nl/handle/1874/211419","Een Hollandse graaf in de Vechtstreek Floris V aanleidingen tot zijn dood J Lahnstein 16-19 1996")</f>
        <v>0</v>
      </c>
    </row>
    <row r="630" spans="2:4">
      <c r="B630">
        <v>89</v>
      </c>
      <c r="C630" s="1">
        <f>hyperlink("https://hetutrechtsarchief.nl/collectie/0D1B66E1453558BC99CA02918AC78ECC","De heren van Kronenburg en hun invloed op de geschiedenis van Loenen Noor Erkelens-Buttinger 26-34 2004")</f>
        <v>0</v>
      </c>
      <c r="D630" s="1">
        <f>hyperlink("http://dspace.library.uu.nl/handle/1874/211420","De heren van Kronenburg en hun invloed op de geschiedenis van Loenen E S C Erkelens-Buttinger 20-27 1996")</f>
        <v>0</v>
      </c>
    </row>
    <row r="631" spans="2:4">
      <c r="B631">
        <v>60</v>
      </c>
      <c r="C631" s="1">
        <f>hyperlink("https://hetutrechtsarchief.nl/collectie/F2CBAC6E0408524489E7024AE7CB2C30","De rijke historie van Loenersloot Stanny Verster 172-182 2014")</f>
        <v>0</v>
      </c>
      <c r="D631" s="1">
        <f>hyperlink("http://dspace.library.uu.nl/handle/1874/211421","De waterpomp van Nigtevegt Stanny Verster 28 1996")</f>
        <v>0</v>
      </c>
    </row>
    <row r="632" spans="2:4">
      <c r="B632">
        <v>66</v>
      </c>
      <c r="C632" s="1">
        <f>hyperlink("https://hetutrechtsarchief.nl/collectie/F94563CFA19A57F19960BD7887166E37","De Koepel van Stoop Cor van Kooten 22-24 2006")</f>
        <v>0</v>
      </c>
      <c r="D632" s="1">
        <f>hyperlink("http://dspace.library.uu.nl/handle/1874/211422","De Koepel van Stoop C W Zimberlin 102-105 1986")</f>
        <v>0</v>
      </c>
    </row>
    <row r="633" spans="2:4">
      <c r="B633">
        <v>54</v>
      </c>
      <c r="C633" s="1">
        <f>hyperlink("https://hetutrechtsarchief.nl/collectie/4747AD65100E589EBF23A536784A9788","Het Huis Oudaen J van Galen 65-67 1956")</f>
        <v>0</v>
      </c>
      <c r="D633" s="1">
        <f>hyperlink("http://dspace.library.uu.nl/handle/1874/211532","De Schouw Gijs van Brummelen 1996")</f>
        <v>0</v>
      </c>
    </row>
    <row r="634" spans="2:4">
      <c r="B634">
        <v>56</v>
      </c>
      <c r="C634" s="1">
        <f>hyperlink("https://hetutrechtsarchief.nl/collectie/4DE131B0D5555E21A758AB5CA1BD2CFF","De Stichting op de Lazarusberg s n 38-43 2016")</f>
        <v>0</v>
      </c>
      <c r="D634" s="1">
        <f>hyperlink("http://dspace.library.uu.nl/handle/1874/211533","De Lazarusberg J J Bos 1996")</f>
        <v>0</v>
      </c>
    </row>
    <row r="635" spans="2:4">
      <c r="B635">
        <v>51</v>
      </c>
      <c r="C635" s="1">
        <f>hyperlink("https://hetutrechtsarchief.nl/collectie/0C0AC2CC8F8A54D5966B543E45F7CF73","Mr Carel Joseph van der Muelen 9 ill 1885")</f>
        <v>0</v>
      </c>
      <c r="D635" s="1">
        <f>hyperlink("http://dspace.library.uu.nl/handle/1874/211534","Caf Geurtje Sukel Gijs van Brummelen 1996")</f>
        <v>0</v>
      </c>
    </row>
    <row r="636" spans="2:4">
      <c r="B636">
        <v>59</v>
      </c>
      <c r="C636" s="1">
        <f>hyperlink("https://hetutrechtsarchief.nl/collectie/DCEBD45341945987B3EAE7A60FE249EE","De legerplaats van Zeist 46-47 1949")</f>
        <v>0</v>
      </c>
      <c r="D636" s="1">
        <f>hyperlink("http://dspace.library.uu.nl/handle/1874/211535","Legerplaats te Soesterberg J J Bos 1996")</f>
        <v>0</v>
      </c>
    </row>
    <row r="637" spans="2:4">
      <c r="B637">
        <v>53</v>
      </c>
      <c r="C637" s="1">
        <f>hyperlink("https://hetutrechtsarchief.nl/collectie/8CD897DB67D54D5AE0534701000AD6A9","De bevolking van Houten 1818-1857 Rinus van den Heijkant 16-21 2019")</f>
        <v>0</v>
      </c>
      <c r="D637" s="1">
        <f>hyperlink("http://dspace.library.uu.nl/handle/1874/211536","Bevolkingsgegevens 1813 Dick van Fulpen 1996-1997")</f>
        <v>0</v>
      </c>
    </row>
    <row r="638" spans="2:4">
      <c r="B638">
        <v>52</v>
      </c>
      <c r="C638" s="1">
        <f>hyperlink("https://hetutrechtsarchief.nl/collectie/C4AE90EB01A65280AFA7144C4C6FBC4B","Schippers in Utrecht vanaf 1529 tot 1811 A J van den Elst 1996")</f>
        <v>0</v>
      </c>
      <c r="D638" s="1">
        <f>hyperlink("http://dspace.library.uu.nl/handle/1874/211537","Het openluchttheater in Soest van 1938 tot aan Cabrio 1994 Th M Peet 1996")</f>
        <v>0</v>
      </c>
    </row>
    <row r="639" spans="2:4">
      <c r="B639">
        <v>51</v>
      </c>
      <c r="C639" s="1">
        <f>hyperlink("https://hetutrechtsarchief.nl/collectie/92CEEA937BB95A03A6A9A61DF90E6B19","Bruinenburg waar beek liniedijk en kanaal elkaar kruisen Jeroen Bootsma 153-156 2005")</f>
        <v>0</v>
      </c>
      <c r="D639" s="1">
        <f>hyperlink("http://dspace.library.uu.nl/handle/1874/211538","Tuinenburg Becks Baeck Enghendaal J J Bos 1996")</f>
        <v>0</v>
      </c>
    </row>
    <row r="640" spans="2:4">
      <c r="B640">
        <v>59</v>
      </c>
      <c r="C640" s="1">
        <f>hyperlink("https://hetutrechtsarchief.nl/collectie/0BB056AACBAA53479E090345BEA085F2","Amersfoorters voor het gerecht van Soest Jos G M Hilhorst 16-20 2007")</f>
        <v>0</v>
      </c>
      <c r="D640" s="1">
        <f>hyperlink("http://dspace.library.uu.nl/handle/1874/211539","De drie gebroeders Van Beest J H M Hilhorst 1996")</f>
        <v>0</v>
      </c>
    </row>
    <row r="641" spans="2:4">
      <c r="B641">
        <v>51</v>
      </c>
      <c r="C641" s="1">
        <f>hyperlink("https://hetutrechtsarchief.nl/collectie/9A35831F5E975CCE9864457E66A9A300","Opgravingen te Wijk bij Duurstede 59-60 1968")</f>
        <v>0</v>
      </c>
      <c r="D641" s="1">
        <f>hyperlink("http://dspace.library.uu.nl/handle/1874/211540","Huize Staalwijck bij Soest W Otten 1996")</f>
        <v>0</v>
      </c>
    </row>
    <row r="642" spans="2:4">
      <c r="B642">
        <v>56</v>
      </c>
      <c r="C642" s="1">
        <f>hyperlink("https://hetutrechtsarchief.nl/collectie/B6FF7FF60E1E58CC9F0FB2F45CB598ED","Gedrang op de bisschopstrap - v C 4-6 1953")</f>
        <v>0</v>
      </c>
      <c r="D642" s="1">
        <f>hyperlink("http://dspace.library.uu.nl/handle/1874/211541","De veldslag op de Soester Eng F G W de Wit 1996")</f>
        <v>0</v>
      </c>
    </row>
    <row r="643" spans="2:4">
      <c r="B643">
        <v>58</v>
      </c>
      <c r="C643" s="1">
        <f>hyperlink("https://hetutrechtsarchief.nl/collectie/CB6AD084AD6956BAA80DD005C69DC750","Wonen ontmoeten spelen F de Nooij 1959")</f>
        <v>0</v>
      </c>
      <c r="D643" s="1">
        <f>hyperlink("http://dspace.library.uu.nl/handle/1874/211542","Het Soester veen F G W de Wit 1996")</f>
        <v>0</v>
      </c>
    </row>
    <row r="644" spans="2:4">
      <c r="B644">
        <v>51</v>
      </c>
      <c r="C644" s="1">
        <f>hyperlink("https://hetutrechtsarchief.nl/collectie/11DE4D035F165E5284B88897E0C0CEFC","Het adresboek Riemstraat 20 David Hofdichter 2 1987")</f>
        <v>0</v>
      </c>
      <c r="D644" s="1">
        <f>hyperlink("http://dspace.library.uu.nl/handle/1874/211543","Soesterbergsestraat 50 Hugo Schaaf 1996")</f>
        <v>0</v>
      </c>
    </row>
    <row r="645" spans="2:4">
      <c r="B645">
        <v>61</v>
      </c>
      <c r="C645" s="1">
        <f>hyperlink("https://hetutrechtsarchief.nl/collectie/B1599CA5FEA05E62B358D84156C9226F","De R K Armenhuisjes aan de Eemstraat G J M Derks 1-8 ill 1998")</f>
        <v>0</v>
      </c>
      <c r="D645" s="1">
        <f>hyperlink("http://dspace.library.uu.nl/handle/1874/211544","De begrafenis van Jonker Willem G J M Derks 1996")</f>
        <v>0</v>
      </c>
    </row>
    <row r="646" spans="2:4">
      <c r="B646">
        <v>58</v>
      </c>
      <c r="C646" s="1">
        <f>hyperlink("https://hetutrechtsarchief.nl/collectie/86CF25209B0551B58CEC3EEAB4680B63","Aan de werkgroep neogotiek 57 1972")</f>
        <v>0</v>
      </c>
      <c r="D646" s="1">
        <f>hyperlink("http://dspace.library.uu.nl/handle/1874/211545","De familie Wantenaar Derksm G J M Werkgroep Genealogie 1997")</f>
        <v>0</v>
      </c>
    </row>
    <row r="647" spans="2:4">
      <c r="B647">
        <v>54</v>
      </c>
      <c r="C647" s="1">
        <f>hyperlink("https://hetutrechtsarchief.nl/collectie/19C9FA3560765719AC2BAAA07702FDD8","Vogels in Utrecht 17-19 ill tek 1995")</f>
        <v>0</v>
      </c>
      <c r="D647" s="1">
        <f>hyperlink("http://dspace.library.uu.nl/handle/1874/211546","Sportkoepels in Soest 1932-1962 Th M Peet 1997")</f>
        <v>0</v>
      </c>
    </row>
    <row r="648" spans="2:4">
      <c r="B648">
        <v>55</v>
      </c>
      <c r="C648" s="1">
        <f>hyperlink("https://hetutrechtsarchief.nl/collectie/081F19092DFE538FB283BA2582B25A1B","Soest 975 jaar J E J Hilhorst 3-7 2004")</f>
        <v>0</v>
      </c>
      <c r="D648" s="1">
        <f>hyperlink("http://dspace.library.uu.nl/handle/1874/211547","Familieparochie J E J Hilhorst 1997")</f>
        <v>0</v>
      </c>
    </row>
    <row r="649" spans="2:4">
      <c r="B649">
        <v>55</v>
      </c>
      <c r="C649" s="1">
        <f>hyperlink("https://hetutrechtsarchief.nl/collectie/DF6583A7A94359EEAA65CD5E9B0B1548","Een kans voor de kerken Project Duurzaam Utrecht van start gegaan Klaus van der Grijp 9 portr 1997")</f>
        <v>0</v>
      </c>
      <c r="D649" s="1">
        <f>hyperlink("http://dspace.library.uu.nl/handle/1874/211548","Een opknapbeurt voor de R K Kerk Petrus en Paulus anno 1900 G J M Derks 1997")</f>
        <v>0</v>
      </c>
    </row>
    <row r="650" spans="2:4">
      <c r="B650">
        <v>57</v>
      </c>
      <c r="C650" s="1">
        <f>hyperlink("https://hetutrechtsarchief.nl/collectie/910B8DD571345F9B87185B4A06020FFC","Kunsthal KAdE Amersfoort Ingelies Vermeulen 28-29 2009")</f>
        <v>0</v>
      </c>
      <c r="D650" s="1">
        <f>hyperlink("http://dspace.library.uu.nl/handle/1874/211549","Uit wandelgids Amersfoort en omstreken 1899 1997")</f>
        <v>0</v>
      </c>
    </row>
    <row r="651" spans="2:4">
      <c r="B651">
        <v>56</v>
      </c>
      <c r="C651" s="1">
        <f>hyperlink("https://hetutrechtsarchief.nl/collectie/57931E4A69A858EEBC24C577B349C1E3","Voorstel tot het oprichten van een gemeenteslachtplaats in 1827 - A J v d W 36-37 1930")</f>
        <v>0</v>
      </c>
      <c r="D651" s="1">
        <f>hyperlink("http://dspace.library.uu.nl/handle/1874/211550","Kosten voor het opmaken van een memorie van successie in 1826 W C J M Peters 1997")</f>
        <v>0</v>
      </c>
    </row>
    <row r="652" spans="2:4">
      <c r="B652">
        <v>57</v>
      </c>
      <c r="C652" s="1">
        <f>hyperlink("https://hetutrechtsarchief.nl/collectie/982D5AAC16CB7747E0534701000A24BB","Dagboek van een opgraving Sanne Beumer 11-13 2019")</f>
        <v>0</v>
      </c>
      <c r="D652" s="1">
        <f>hyperlink("http://dspace.library.uu.nl/handle/1874/211551","Dagboeken padvindersbeweging 1945-1948 1997")</f>
        <v>0</v>
      </c>
    </row>
    <row r="653" spans="2:4">
      <c r="B653">
        <v>61</v>
      </c>
      <c r="C653" s="1">
        <f>hyperlink("https://hetutrechtsarchief.nl/collectie/3B81F89A9C0E5ED7AE5BB7438F55AC1F","Mr Dr J A A H de Beaufort burgemeester van Soest van 1914-1923 W P de Kam 27-31 ill portr 1999")</f>
        <v>0</v>
      </c>
      <c r="D653" s="1">
        <f>hyperlink("http://dspace.library.uu.nl/handle/1874/211553","Gerrit van Steijn van Hensbroek de eerste burgemeester van Soest W P de Kam 1997")</f>
        <v>0</v>
      </c>
    </row>
    <row r="654" spans="2:4">
      <c r="B654">
        <v>50</v>
      </c>
      <c r="C654" s="1">
        <f>hyperlink("https://hetutrechtsarchief.nl/collectie/8789FC3D22EE58518194D2E0D4D57C2C","Herinneringen van een verkeersagent Het waren er zes 2 1984")</f>
        <v>0</v>
      </c>
      <c r="D654" s="1">
        <f>hyperlink("http://dspace.library.uu.nl/handle/1874/211554","Uijt Eijgene vrije geneegentheijdt Redactie 1997")</f>
        <v>0</v>
      </c>
    </row>
    <row r="655" spans="2:4">
      <c r="B655">
        <v>64</v>
      </c>
      <c r="C655" s="1">
        <f>hyperlink("https://hetutrechtsarchief.nl/collectie/B1599CA5FEA05E62B358D84156C9226F","De R K Armenhuisjes aan de Eemstraat G J M Derks 1-8 ill 1998")</f>
        <v>0</v>
      </c>
      <c r="D655" s="1">
        <f>hyperlink("http://dspace.library.uu.nl/handle/1874/211556","De familie van Roomen te Soest G J M Derks 1997-1998")</f>
        <v>0</v>
      </c>
    </row>
    <row r="656" spans="2:4">
      <c r="B656">
        <v>61</v>
      </c>
      <c r="C656" s="1">
        <f>hyperlink("https://hetutrechtsarchief.nl/collectie/B4BFF34774915535B9F08F8B45CC2D9E","Mr W A J Visser burgemeester 1937-1939 Wim de Kam 5-7 1999")</f>
        <v>0</v>
      </c>
      <c r="D656" s="1">
        <f>hyperlink("http://dspace.library.uu.nl/handle/1874/211557","Pieter Gallenkamp Pels burgemeester 1850-1869 W P de Kam 1998")</f>
        <v>0</v>
      </c>
    </row>
    <row r="657" spans="2:4">
      <c r="B657">
        <v>90</v>
      </c>
      <c r="C657" s="1">
        <f>hyperlink("https://hetutrechtsarchief.nl/collectie/D6B50B0D9DAD50F392849C85F71CCE13","De schatten van het gemeentehuis slot Joop Piekema 6-10 1999")</f>
        <v>0</v>
      </c>
      <c r="D657" s="1">
        <f>hyperlink("http://dspace.library.uu.nl/handle/1874/211558","De schatten van het gemeentehuis Joop Piekema 1998-1999")</f>
        <v>0</v>
      </c>
    </row>
    <row r="658" spans="2:4">
      <c r="B658">
        <v>56</v>
      </c>
      <c r="C658" s="1">
        <f>hyperlink("https://hetutrechtsarchief.nl/collectie/C7C5D071AB6B5CBA9B7FB5D457DE04F0","Oude fabrieksgebouwen in Nederland P Nijhof 138-145 ill 1987")</f>
        <v>0</v>
      </c>
      <c r="D658" s="1">
        <f>hyperlink("http://dspace.library.uu.nl/handle/1874/211559","Uit Aardrijkskundig Woordenboek van Nederland P H Witkamp 1998")</f>
        <v>0</v>
      </c>
    </row>
    <row r="659" spans="2:4">
      <c r="B659">
        <v>96</v>
      </c>
      <c r="C659" s="1">
        <f>hyperlink("https://hetutrechtsarchief.nl/collectie/0AF5AD6CAAAD5DB98116B1349E738143","Stations op Soest 100 jaar verbinding per spoor met de rest van de wereld Henk Gerth 5-7 ill 1998")</f>
        <v>0</v>
      </c>
      <c r="D659" s="1">
        <f>hyperlink("http://dspace.library.uu.nl/handle/1874/211589","Stations op Soest 100 jaar verbinding per spoor met de rest van de wereld Henk Gerth 1998")</f>
        <v>0</v>
      </c>
    </row>
    <row r="660" spans="2:4">
      <c r="B660">
        <v>96</v>
      </c>
      <c r="C660" s="1">
        <f>hyperlink("https://hetutrechtsarchief.nl/collectie/81FA568E59EF53D8AC2474E661AED155","J G A Batenburg een herinneringsteken dat duurzamer is dan metaal Wim de Kam 16-22 2000")</f>
        <v>0</v>
      </c>
      <c r="D660" s="1">
        <f>hyperlink("http://dspace.library.uu.nl/handle/1874/211590","J G A Batenburg een herinneringsteken dat duurzamer is dan metaal Wim de Kam 2000")</f>
        <v>0</v>
      </c>
    </row>
    <row r="661" spans="2:4">
      <c r="B661">
        <v>93</v>
      </c>
      <c r="C661" s="1">
        <f>hyperlink("https://hetutrechtsarchief.nl/collectie/0A1D1E2862E85085885BF78D53048676","Een pijnlijk incident op het station Soestduinen A F M Reichgelt 12-17 ill 1998")</f>
        <v>0</v>
      </c>
      <c r="D661" s="1">
        <f>hyperlink("http://dspace.library.uu.nl/handle/1874/211591","Een pijnlijk incident op het station Soestduinen A F M Reichgelt 1998")</f>
        <v>0</v>
      </c>
    </row>
    <row r="662" spans="2:4">
      <c r="B662">
        <v>97</v>
      </c>
      <c r="C662" s="1">
        <f>hyperlink("https://hetutrechtsarchief.nl/collectie/2D81DACB3708511C833C74868DA18144","P M de la Court burgemeester 1869-1872 Jhr F W H P J Martini van Geffen burgemeester 1872-1881 Wim de Kam 22-27 1998")</f>
        <v>0</v>
      </c>
      <c r="D662" s="1">
        <f>hyperlink("http://dspace.library.uu.nl/handle/1874/211592","P M de la Court burgemeester 1869-1872 Jhr F W H P J Martini van Geffen burgemeester 1872-1881 Wim de Kam 1998")</f>
        <v>0</v>
      </c>
    </row>
    <row r="663" spans="2:4">
      <c r="B663">
        <v>90</v>
      </c>
      <c r="C663" s="1">
        <f>hyperlink("https://hetutrechtsarchief.nl/collectie/D17A353EE0545415ABF02DA7247CACFF","Mr C J W Loten van Doelen Grothe burgemeester 1881-1914 dl 1 W P de Kam 17-19 ill 1998")</f>
        <v>0</v>
      </c>
      <c r="D663" s="1">
        <f>hyperlink("http://dspace.library.uu.nl/handle/1874/211593","Mr C J W Loten van Doelen Grothe burgemeester 1881-1914 W P de Kam 1998")</f>
        <v>0</v>
      </c>
    </row>
    <row r="664" spans="2:4">
      <c r="B664">
        <v>91</v>
      </c>
      <c r="C664" s="1">
        <f>hyperlink("https://hetutrechtsarchief.nl/collectie/06932050DE9B527094A856272E2E07DC","Ondergronds cabaret De Molshoop in 1946 voorgoed zand erover Jan van Steendelaar 18-26 ill portr 1998")</f>
        <v>0</v>
      </c>
      <c r="D664" s="1">
        <f>hyperlink("http://dspace.library.uu.nl/handle/1874/211594","Ondergronds cabaret De Molshoop in 1946 voorgoed zand erover Jan van Steendelaar 1998-1999")</f>
        <v>0</v>
      </c>
    </row>
    <row r="665" spans="2:4">
      <c r="B665">
        <v>84</v>
      </c>
      <c r="C665" s="1">
        <f>hyperlink("https://hetutrechtsarchief.nl/collectie/D6CB93FC1F825570BF94F600DED99EAF","Eickenhorst Henk Gerth 10-12 ill 1999")</f>
        <v>0</v>
      </c>
      <c r="D665" s="1">
        <f>hyperlink("http://dspace.library.uu.nl/handle/1874/211595","Eickenhorst Henk Gerth 1999")</f>
        <v>0</v>
      </c>
    </row>
    <row r="666" spans="2:4">
      <c r="B666">
        <v>91</v>
      </c>
      <c r="C666" s="1">
        <f>hyperlink("https://hetutrechtsarchief.nl/collectie/3B81F89A9C0E5ED7AE5BB7438F55AC1F","Mr Dr J A A H de Beaufort burgemeester van Soest van 1914-1923 W P de Kam 27-31 ill portr 1999")</f>
        <v>0</v>
      </c>
      <c r="D666" s="1">
        <f>hyperlink("http://dspace.library.uu.nl/handle/1874/211596","Mr Dr J A A H de Beaufort burgemeester van Soest van 1914-1923 W P de Kam 1999")</f>
        <v>0</v>
      </c>
    </row>
    <row r="667" spans="2:4">
      <c r="B667">
        <v>80</v>
      </c>
      <c r="C667" s="1">
        <f>hyperlink("https://hetutrechtsarchief.nl/collectie/3A26C7EA452451CCAA1950D7CBDCAC0D","De familie Van den Deijssel-Van den Dijssel in Soest 1 J van Kleinwee-v d Dijssel met medew van G J M Derks 12-26 ill portr tab 1999")</f>
        <v>0</v>
      </c>
      <c r="D667" s="1">
        <f>hyperlink("http://dspace.library.uu.nl/handle/1874/211597","De familie Van den Deijssel-Van den Dijssel in Soest G J M Kleinwee-van den Dijssel J van Derks 1999")</f>
        <v>0</v>
      </c>
    </row>
    <row r="668" spans="2:4">
      <c r="B668">
        <v>98</v>
      </c>
      <c r="C668" s="1">
        <f>hyperlink("https://hetutrechtsarchief.nl/collectie/059A989A757359BDA68E8D03E99D013A","Een verdwenen behuizing in het buitengebied van Soest teruggevonden J J Meerts 2-4 1999")</f>
        <v>0</v>
      </c>
      <c r="D668" s="1">
        <f>hyperlink("http://dspace.library.uu.nl/handle/1874/211598","Een verdwenen behuizing in het buitengebied van Soest teruggevonden J J Meerts 1999")</f>
        <v>0</v>
      </c>
    </row>
    <row r="669" spans="2:4">
      <c r="B669">
        <v>91</v>
      </c>
      <c r="C669" s="1">
        <f>hyperlink("https://hetutrechtsarchief.nl/collectie/CF107EDE9AA4517BADEDD8E011A08085","Monumenten het Cenakel H Gerth 4-6 1999")</f>
        <v>0</v>
      </c>
      <c r="D669" s="1">
        <f>hyperlink("http://dspace.library.uu.nl/handle/1874/211599","Monumenten het Cenakel Henk Gerth 1999")</f>
        <v>0</v>
      </c>
    </row>
    <row r="670" spans="2:4">
      <c r="B670">
        <v>95</v>
      </c>
      <c r="C670" s="1">
        <f>hyperlink("https://hetutrechtsarchief.nl/collectie/3A322D9877EB5636AEF1F75ABAA9E088","Mr G Deketh burgemeester van Soest 1926-1937 Wim de Kam 10-14 1999")</f>
        <v>0</v>
      </c>
      <c r="D670" s="1">
        <f>hyperlink("http://dspace.library.uu.nl/handle/1874/211600","Mr G Deketh burgemeester van Soest 1926-1937 Wim de Kam 1999")</f>
        <v>0</v>
      </c>
    </row>
    <row r="671" spans="2:4">
      <c r="B671">
        <v>93</v>
      </c>
      <c r="C671" s="1">
        <f>hyperlink("https://hetutrechtsarchief.nl/collectie/B1599CA5FEA05E62B358D84156C9226F","De R K Armenhuisjes aan de Eemstraat G J M Derks 1-8 ill 1998")</f>
        <v>0</v>
      </c>
      <c r="D671" s="1">
        <f>hyperlink("http://dspace.library.uu.nl/handle/1874/211601","De R K Armenhuisjes aan de Eemstraat G J M Derks 1998")</f>
        <v>0</v>
      </c>
    </row>
    <row r="672" spans="2:4">
      <c r="B672">
        <v>91</v>
      </c>
      <c r="C672" s="1">
        <f>hyperlink("https://hetutrechtsarchief.nl/collectie/EE82D39F6E5B51B9BA30BF4D2EF17C5B","Jhr P P de Beaufort Burgemeester van Soest van 1923-1925 Wim de Kam 6-8 ill portr 1999")</f>
        <v>0</v>
      </c>
      <c r="D672" s="1">
        <f>hyperlink("http://dspace.library.uu.nl/handle/1874/211603","Jhr P P de Beaufort burgemeester van Soest van 1923-1925 Wim de Kam 1999")</f>
        <v>0</v>
      </c>
    </row>
    <row r="673" spans="2:4">
      <c r="B673">
        <v>97</v>
      </c>
      <c r="C673" s="1">
        <f>hyperlink("https://hetutrechtsarchief.nl/collectie/57A49880C52559F9B71916ED56FCCF3E","Aankoop huizinge zijnde een boerenwoning gelegen aan de Melm in 1836 Wim Peters 15-23 1999")</f>
        <v>0</v>
      </c>
      <c r="D673" s="1">
        <f>hyperlink("http://dspace.library.uu.nl/handle/1874/211604","Aankoop huizinge zijnde een boerenwoning gelegen aan de Melm in 1836 Wim Peters 1999")</f>
        <v>0</v>
      </c>
    </row>
    <row r="674" spans="2:4">
      <c r="B674">
        <v>93</v>
      </c>
      <c r="C674" s="1">
        <f>hyperlink("https://hetutrechtsarchief.nl/collectie/CEDD555CBA0259EFB67D5B85AE8E0EAA","Zonnegloren Henk Gerth 3-4 1999")</f>
        <v>0</v>
      </c>
      <c r="D674" s="1">
        <f>hyperlink("http://dspace.library.uu.nl/handle/1874/211605","Zonnegloren Henk Gerth 1999")</f>
        <v>0</v>
      </c>
    </row>
    <row r="675" spans="2:4">
      <c r="B675">
        <v>96</v>
      </c>
      <c r="C675" s="1">
        <f>hyperlink("https://hetutrechtsarchief.nl/collectie/B4BFF34774915535B9F08F8B45CC2D9E","Mr W A J Visser burgemeester 1937-1939 Wim de Kam 5-7 1999")</f>
        <v>0</v>
      </c>
      <c r="D675" s="1">
        <f>hyperlink("http://dspace.library.uu.nl/handle/1874/211606","Mr W A J Visser burgemeester 1937-1939 Wim de Kam 1999")</f>
        <v>0</v>
      </c>
    </row>
    <row r="676" spans="2:4">
      <c r="B676">
        <v>97</v>
      </c>
      <c r="C676" s="1">
        <f>hyperlink("https://hetutrechtsarchief.nl/collectie/FDC73B38228257038344256E9F3D8A26","Burgemeester Deketh het Soester natuurbad en het nieuwe werkwoord funken Jan van Steendelaar 8-13 1999")</f>
        <v>0</v>
      </c>
      <c r="D676" s="1">
        <f>hyperlink("http://dspace.library.uu.nl/handle/1874/211607","Burgemeester Deketh het Soester natuurbad en het nieuwe werkwoord funken Jan van Steendelaar 1999")</f>
        <v>0</v>
      </c>
    </row>
    <row r="677" spans="2:4">
      <c r="B677">
        <v>79</v>
      </c>
      <c r="C677" s="1">
        <f>hyperlink("https://hetutrechtsarchief.nl/collectie/79963542B0C552EC84E3107E4816799F","Oorlogsjournaal van Aaltje Butzelaar-Stalenhoef deel 1 van een inl voorzien en bew door G J M Derks 14-18 1999")</f>
        <v>0</v>
      </c>
      <c r="D677" s="1">
        <f>hyperlink("http://dspace.library.uu.nl/handle/1874/211608","Oorlogsjournaal van Aaltje Butzelaar-Stalenhoef van een inleiding voorzien en bewerkt door G J M Derks G J M Butzekaar Aaltje Derks 1999-2000")</f>
        <v>0</v>
      </c>
    </row>
    <row r="678" spans="2:4">
      <c r="B678">
        <v>87</v>
      </c>
      <c r="C678" s="1">
        <f>hyperlink("https://hetutrechtsarchief.nl/collectie/7BF909D7D3DF5842A28E675A2D6EFEE7","Opening Vliegkamp Soesterberg in 1910 19-20 1999")</f>
        <v>0</v>
      </c>
      <c r="D678" s="1">
        <f>hyperlink("http://dspace.library.uu.nl/handle/1874/211609","Opening Vliegkamp Soesterberg in 1910 Wim Peters 1999")</f>
        <v>0</v>
      </c>
    </row>
    <row r="679" spans="2:4">
      <c r="B679">
        <v>70</v>
      </c>
      <c r="C679" s="1">
        <f>hyperlink("https://hetutrechtsarchief.nl/collectie/F9D1BF405CFD5F738CFE8790ACB211BA","Soester monumenten een boerderij als monument Henk Gerth 1-2 2000")</f>
        <v>0</v>
      </c>
      <c r="D679" s="1">
        <f>hyperlink("http://dspace.library.uu.nl/handle/1874/211610","Soester monumenten de villa aan de Kolonieweg nr 6 Henk Gerth 2000")</f>
        <v>0</v>
      </c>
    </row>
    <row r="680" spans="2:4">
      <c r="B680">
        <v>97</v>
      </c>
      <c r="C680" s="1">
        <f>hyperlink("https://hetutrechtsarchief.nl/collectie/D5564D818BD555AF970F7A5C5E47F2BC","Mr W J des Tombes burgemeester 1939-1946 Wim de Kam 5-7 2000")</f>
        <v>0</v>
      </c>
      <c r="D680" s="1">
        <f>hyperlink("http://dspace.library.uu.nl/handle/1874/211611","Mr W J des Tombes burgemeester 1939-1946 Wim de Kam 2000")</f>
        <v>0</v>
      </c>
    </row>
    <row r="681" spans="2:4">
      <c r="B681">
        <v>96</v>
      </c>
      <c r="C681" s="1">
        <f>hyperlink("https://hetutrechtsarchief.nl/collectie/1E7D7277F4425823ADFD8073E256D976","Soester monumenten Egghermonde Henk Gerth 1-2 2000")</f>
        <v>0</v>
      </c>
      <c r="D681" s="1">
        <f>hyperlink("http://dspace.library.uu.nl/handle/1874/211612","Soester monumenten Egghermonde Henk Gerth 2000")</f>
        <v>0</v>
      </c>
    </row>
    <row r="682" spans="2:4">
      <c r="B682">
        <v>94</v>
      </c>
      <c r="C682" s="1">
        <f>hyperlink("https://hetutrechtsarchief.nl/collectie/D61BD0BDAF9557038F5F40A5CC36DA03","In memoriam Wim Ibo Jan van Steendelaar 14-15 2000")</f>
        <v>0</v>
      </c>
      <c r="D682" s="1">
        <f>hyperlink("http://dspace.library.uu.nl/handle/1874/211613","In memoriam Wim Ibo Jan van Steendelaar 2000")</f>
        <v>0</v>
      </c>
    </row>
    <row r="683" spans="2:4">
      <c r="B683">
        <v>94</v>
      </c>
      <c r="C683" s="1">
        <f>hyperlink("https://hetutrechtsarchief.nl/collectie/D1A8A3D8AA175DC28FFAB5A70DD3E01D","De oude gildeboeken Rainoud van Dorresteijn 16-19 2000")</f>
        <v>0</v>
      </c>
      <c r="D683" s="1">
        <f>hyperlink("http://dspace.library.uu.nl/handle/1874/211614","De oude gildeboeken Rainoud van Dorresteijn 2000")</f>
        <v>0</v>
      </c>
    </row>
    <row r="684" spans="2:4">
      <c r="B684">
        <v>89</v>
      </c>
      <c r="C684" s="1">
        <f>hyperlink("https://hetutrechtsarchief.nl/collectie/1D1F301C47D357F9886B7FCB69125AEB","Het Soester volkslied tekst H Horvers 24 1999")</f>
        <v>0</v>
      </c>
      <c r="D684" s="1">
        <f>hyperlink("http://dspace.library.uu.nl/handle/1874/211615","Het Soester volkslied H Horvers 1999")</f>
        <v>0</v>
      </c>
    </row>
    <row r="685" spans="2:4">
      <c r="B685">
        <v>96</v>
      </c>
      <c r="C685" s="1">
        <f>hyperlink("https://hetutrechtsarchief.nl/collectie/B7F5223550E15FAB9A75332EFC94D7B3","De kwartierstaat van Grietje van Fulpen Dick van Fulpen 8-16 2000")</f>
        <v>0</v>
      </c>
      <c r="D685" s="1">
        <f>hyperlink("http://dspace.library.uu.nl/handle/1874/211616","De kwartierstaat van Grietje van Fulpen Dick van Fulpen 2000")</f>
        <v>0</v>
      </c>
    </row>
    <row r="686" spans="2:4">
      <c r="B686">
        <v>97</v>
      </c>
      <c r="C686" s="1">
        <f>hyperlink("https://hetutrechtsarchief.nl/collectie/F9D1BF405CFD5F738CFE8790ACB211BA","Soester monumenten een boerderij als monument Henk Gerth 1-2 2000")</f>
        <v>0</v>
      </c>
      <c r="D686" s="1">
        <f>hyperlink("http://dspace.library.uu.nl/handle/1874/211617","Soester monumenten een boerderij als monument Henk Gerth 2000")</f>
        <v>0</v>
      </c>
    </row>
    <row r="687" spans="2:4">
      <c r="B687">
        <v>96</v>
      </c>
      <c r="C687" s="1">
        <f>hyperlink("https://hetutrechtsarchief.nl/collectie/39A6D10767425E8CA36709B6F7D12751","Biografie van A C Bleijs architect Frans A G Bleijs 8-11 2000")</f>
        <v>0</v>
      </c>
      <c r="D687" s="1">
        <f>hyperlink("http://dspace.library.uu.nl/handle/1874/211618","Biografie van A C Bleijs architect Frans A G Bleijs 2000")</f>
        <v>0</v>
      </c>
    </row>
    <row r="688" spans="2:4">
      <c r="B688">
        <v>82</v>
      </c>
      <c r="C688" s="1">
        <f>hyperlink("https://hetutrechtsarchief.nl/collectie/3B1375D28EA557F2A5BE1C9B0D733378","Soester Landbouwvereniging 23-28 2000")</f>
        <v>0</v>
      </c>
      <c r="D688" s="1">
        <f>hyperlink("http://dspace.library.uu.nl/handle/1874/211619","Soester Landbouwvereeniging Redactie 2000")</f>
        <v>0</v>
      </c>
    </row>
    <row r="689" spans="2:4">
      <c r="B689">
        <v>91</v>
      </c>
      <c r="C689" s="1">
        <f>hyperlink("https://hetutrechtsarchief.nl/collectie/37AD429F8D2153E5A218597FF8C0763A","De annalen van het St Josefs-gesticht 4 een selectie uit de jaren 1939-1945 Joop Piekema 11-20 2001")</f>
        <v>0</v>
      </c>
      <c r="D689" s="1">
        <f>hyperlink("http://dspace.library.uu.nl/handle/1874/211620","De annalen van het St Josefs-gesticht een selectie uit de jaren Joop Piekema 2000-2001")</f>
        <v>0</v>
      </c>
    </row>
    <row r="690" spans="2:4">
      <c r="B690">
        <v>97</v>
      </c>
      <c r="C690" s="1">
        <f>hyperlink("https://hetutrechtsarchief.nl/collectie/BE0289CE2FBA5FABBD00DBFA0E1B9CBF","Huizen in het buitengebied Laag Hees Pijnenburg in 1832 J J Meerts 9-14 2000")</f>
        <v>0</v>
      </c>
      <c r="D690" s="1">
        <f>hyperlink("http://dspace.library.uu.nl/handle/1874/211621","Huizen in het buitengebied Laag Hees Pijnenburg in 1832 J J Meerts 2000")</f>
        <v>0</v>
      </c>
    </row>
    <row r="691" spans="2:4">
      <c r="B691">
        <v>86</v>
      </c>
      <c r="C691" s="1">
        <f>hyperlink("https://hetutrechtsarchief.nl/collectie/0F0151A64BAE5074954521D63C625BDC","Van oorsprong deel 8 Marcel Vossestein 7-9 2001")</f>
        <v>0</v>
      </c>
      <c r="D691" s="1">
        <f>hyperlink("http://dspace.library.uu.nl/handle/1874/211622","Van oorsprong Marcel Vossestein 1999-2001")</f>
        <v>0</v>
      </c>
    </row>
    <row r="692" spans="2:4">
      <c r="B692">
        <v>91</v>
      </c>
      <c r="C692" s="1">
        <f>hyperlink("https://hetutrechtsarchief.nl/collectie/A22086775D1254C69ADFF4B0C5D058B8","Aanschaf klewangs in de crisisjaren voor de Soester politie 22-23 2000")</f>
        <v>0</v>
      </c>
      <c r="D692" s="1">
        <f>hyperlink("http://dspace.library.uu.nl/handle/1874/211623","Aanschaf klewangs in de crisisjaren voor de Soester politie Redactie 2000")</f>
        <v>0</v>
      </c>
    </row>
    <row r="693" spans="2:4">
      <c r="B693">
        <v>90</v>
      </c>
      <c r="C693" s="1">
        <f>hyperlink("https://hetutrechtsarchief.nl/collectie/3490FE5480CB5C57A651AF6B09C4B86C","G H Veenstra Wim de Kam 15-19 2000")</f>
        <v>0</v>
      </c>
      <c r="D693" s="1">
        <f>hyperlink("http://dspace.library.uu.nl/handle/1874/211624","G H Veenstra Wim de Kam 2000")</f>
        <v>0</v>
      </c>
    </row>
    <row r="694" spans="2:4">
      <c r="B694">
        <v>62</v>
      </c>
      <c r="C694" s="1">
        <f>hyperlink("https://hetutrechtsarchief.nl/collectie/E90B6DA5F4F55F08A02EEE3D8653BDEA","Het nieuwe voetveer Vianen-Nieuwegein J A M Koenhein A C N Koenhein en A J M Koenhein 80-84 2002")</f>
        <v>0</v>
      </c>
      <c r="D694" s="1">
        <f>hyperlink("http://dspace.library.uu.nl/handle/1874/211625","Het ontstaan van de gilden in Vianen A C N Koenhein J A M Koenhein 1-13 1991")</f>
        <v>0</v>
      </c>
    </row>
    <row r="695" spans="2:4">
      <c r="B695">
        <v>61</v>
      </c>
      <c r="C695" s="1">
        <f>hyperlink("https://hetutrechtsarchief.nl/collectie/BBDAE9EE5AF95248ABFC67C508289902","De Hernhutters in Nederland en hun archieven H L Ph Leeuwenberg 127-136 1992")</f>
        <v>0</v>
      </c>
      <c r="D695" s="1">
        <f>hyperlink("http://dspace.library.uu.nl/handle/1874/211626","Van bleekveld tot wasmachine blekerijen in Vianen H L Ph Leeuwenberg 13-16 1991")</f>
        <v>0</v>
      </c>
    </row>
    <row r="696" spans="2:4">
      <c r="B696">
        <v>59</v>
      </c>
      <c r="C696" s="1">
        <f>hyperlink("https://hetutrechtsarchief.nl/collectie/7FBD24CD8ACE5FE48C620E916DE9FACF","Het ruisen van de Libanon P van der Kraan 26-35 1999")</f>
        <v>0</v>
      </c>
      <c r="D696" s="1">
        <f>hyperlink("http://dspace.library.uu.nl/handle/1874/211629","De notaris als noot daer is E M van der Marck 24-30 1991")</f>
        <v>0</v>
      </c>
    </row>
    <row r="697" spans="2:4">
      <c r="B697">
        <v>58</v>
      </c>
      <c r="C697" s="1">
        <f>hyperlink("https://hetutrechtsarchief.nl/collectie/D855B7994D9350EFAC9A6FB6BA8AB8B2","Uit de rechterlijke archieven R Loenen 111-116 ill 1998")</f>
        <v>0</v>
      </c>
      <c r="D697" s="1">
        <f>hyperlink("http://dspace.library.uu.nl/handle/1874/211630","Gemeentelijke archieven toegankelijk Redactie 1997-1998")</f>
        <v>0</v>
      </c>
    </row>
    <row r="698" spans="2:4">
      <c r="B698">
        <v>52</v>
      </c>
      <c r="C698" s="1">
        <f>hyperlink("https://hetutrechtsarchief.nl/collectie/9E1320DF790E5F6689D45F8E453FD8D4","Kunstwerken steenhouwer 3 ill 1978")</f>
        <v>0</v>
      </c>
      <c r="D698" s="1">
        <f>hyperlink("http://dspace.library.uu.nl/handle/1874/211631","Pastoor Steenhoff Redactie 1998")</f>
        <v>0</v>
      </c>
    </row>
    <row r="699" spans="2:4">
      <c r="B699">
        <v>51</v>
      </c>
      <c r="C699" s="1">
        <f>hyperlink("https://hetutrechtsarchief.nl/collectie/8C7A75707F915EA98D265FDEE896D6C5","Veertig jaar archiefdienst 73-74 1948")</f>
        <v>0</v>
      </c>
      <c r="D699" s="1">
        <f>hyperlink("http://dspace.library.uu.nl/handle/1874/211632","Mieke Lansink archiefbeheerder Soest 1998")</f>
        <v>0</v>
      </c>
    </row>
    <row r="700" spans="2:4">
      <c r="B700">
        <v>52</v>
      </c>
      <c r="C700" s="1">
        <f>hyperlink("https://hetutrechtsarchief.nl/collectie/01E99ECE05E15990A24A6C6D47136917","Tien jaar na de restauratie van de Utrechtse binnenstadskerken monumenten van ons samen Daan van der Waals 1 5 1998")</f>
        <v>0</v>
      </c>
      <c r="D700" s="1">
        <f>hyperlink("http://dspace.library.uu.nl/handle/1874/211633","Actie van erfpacht van een stukje bosch ten behoeve van Theunis Smorenburg landman te Soest gep 8 April 1842 1998")</f>
        <v>0</v>
      </c>
    </row>
    <row r="701" spans="2:4">
      <c r="B701">
        <v>60</v>
      </c>
      <c r="C701" s="1">
        <f>hyperlink("https://hetutrechtsarchief.nl/collectie/CF107EDE9AA4517BADEDD8E011A08085","Monumenten het Cenakel H Gerth 4-6 1999")</f>
        <v>0</v>
      </c>
      <c r="D701" s="1">
        <f>hyperlink("http://dspace.library.uu.nl/handle/1874/211634","Monumenten - de watertoren Johan Gerth Henk Hilhorst 1998")</f>
        <v>0</v>
      </c>
    </row>
    <row r="702" spans="2:4">
      <c r="B702">
        <v>60</v>
      </c>
      <c r="C702" s="1">
        <f>hyperlink("https://hetutrechtsarchief.nl/collectie/F9D1BF405CFD5F738CFE8790ACB211BA","Soester monumenten een boerderij als monument Henk Gerth 1-2 2000")</f>
        <v>0</v>
      </c>
      <c r="D702" s="1">
        <f>hyperlink("http://dspace.library.uu.nl/handle/1874/211635","Een onbekend Soester monument naar gegevens uit het groene monumentenboek H Gerth 1999")</f>
        <v>0</v>
      </c>
    </row>
    <row r="703" spans="2:4">
      <c r="B703">
        <v>53</v>
      </c>
      <c r="C703" s="1">
        <f>hyperlink("https://hetutrechtsarchief.nl/collectie/F76F123214BA5550B612FEA844F4464D","De ordening van het archief Ritter Jan van Herpen 45-46 portr 1990")</f>
        <v>0</v>
      </c>
      <c r="D703" s="1">
        <f>hyperlink("http://dspace.library.uu.nl/handle/1874/211636","Corrie van Beek archiefbeheerder Soest 1999")</f>
        <v>0</v>
      </c>
    </row>
    <row r="704" spans="2:4">
      <c r="B704">
        <v>59</v>
      </c>
      <c r="C704" s="1">
        <f>hyperlink("https://hetutrechtsarchief.nl/collectie/8276B1CFFCA850FBA43B2A1D8881F4F3","De Utrechtsche tafelkoek van Deventer afkomst - K 6-9 1931")</f>
        <v>0</v>
      </c>
      <c r="D704" s="1">
        <f>hyperlink("http://dspace.library.uu.nl/handle/1874/211709","Een Utrechtenaar in Vianen kroniek van een sodomieproces M H Quak 3-9 1987")</f>
        <v>0</v>
      </c>
    </row>
    <row r="705" spans="2:4">
      <c r="B705">
        <v>56</v>
      </c>
      <c r="C705" s="1">
        <f>hyperlink("https://hetutrechtsarchief.nl/collectie/698C6E4B8074542E88937B1420B1931C","Restauratie Oude Sluis Vreeswijk Nienke de Boer 3-5 ill tek 1998")</f>
        <v>0</v>
      </c>
      <c r="D705" s="1">
        <f>hyperlink("http://dspace.library.uu.nl/handle/1874/211710","Jan Blanken en de oude sluis te Vreeswijk H Dam 38-48 1988")</f>
        <v>0</v>
      </c>
    </row>
    <row r="706" spans="2:4">
      <c r="B706">
        <v>60</v>
      </c>
      <c r="C706" s="1">
        <f>hyperlink("https://hetutrechtsarchief.nl/collectie/9A97EA392E9351D1A43C3335E10404EE","De kapel van Koelhorst op het Hoogland ca 1350-1843 H L Ph Leeuwenberg 141-164 ill 1981")</f>
        <v>0</v>
      </c>
      <c r="D706" s="1">
        <f>hyperlink("http://dspace.library.uu.nl/handle/1874/211711","Een katholieke schuilkerk in Vianen ca 1650-1808 H L Ph Leeuwenberg 3-10 1986")</f>
        <v>0</v>
      </c>
    </row>
    <row r="707" spans="2:4">
      <c r="B707">
        <v>59</v>
      </c>
      <c r="C707" s="1">
        <f>hyperlink("https://hetutrechtsarchief.nl/collectie/79F81947F2E754758A632E787591B242","Vondsten van een verzamelaar 115 ill 1994")</f>
        <v>0</v>
      </c>
      <c r="D707" s="1">
        <f>hyperlink("http://dspace.library.uu.nl/handle/1874/211712","Molens te Vianen A C Enkelaar 61-68 1987")</f>
        <v>0</v>
      </c>
    </row>
    <row r="708" spans="2:4">
      <c r="B708">
        <v>56</v>
      </c>
      <c r="C708" s="1">
        <f>hyperlink("https://hetutrechtsarchief.nl/collectie/9DB1B12EFB1F50AF938E4DC68886143C","Interview met R van Bruggen directeur van de Dienst Algemene Begraafplaatsen Cees van Dijk en J N van der Meulen 1-4 1983")</f>
        <v>0</v>
      </c>
      <c r="D708" s="1">
        <f>hyperlink("http://dspace.library.uu.nl/handle/1874/211713","Een gedenkteken in gegoten ijzer het grafmonument van Jan Blanken op de algemene begraafplaats te Vianen W H P Scholte 48-53 1988")</f>
        <v>0</v>
      </c>
    </row>
    <row r="709" spans="2:4">
      <c r="B709">
        <v>59</v>
      </c>
      <c r="C709" s="1">
        <f>hyperlink("https://hetutrechtsarchief.nl/collectie/C914B42E2156537CA344653AE68CC89E","De geschiedenis van handel en nijverheid S Muller Fz 1-13 3 1887")</f>
        <v>0</v>
      </c>
      <c r="D709" s="1">
        <f>hyperlink("http://dspace.library.uu.nl/handle/1874/211714","De edelsmeden Van Vianen uit Vianen J Heniger 6-13 1988")</f>
        <v>0</v>
      </c>
    </row>
    <row r="710" spans="2:4">
      <c r="B710">
        <v>59</v>
      </c>
      <c r="C710" s="1">
        <f>hyperlink("https://hetutrechtsarchief.nl/collectie/D973E9D23928512C8CFCEADEF334D487","De Neogotische Kerk van architect Nicolaas J Kamperdijk Peter de Wit 43-51 2016")</f>
        <v>0</v>
      </c>
      <c r="D710" s="1">
        <f>hyperlink("http://dspace.library.uu.nl/handle/1874/211716","De neogotische kerk van Maria ten Hemelopneming te Vianen A J Looyenga 10-17 1986")</f>
        <v>0</v>
      </c>
    </row>
    <row r="711" spans="2:4">
      <c r="B711">
        <v>61</v>
      </c>
      <c r="C711" s="1">
        <f>hyperlink("https://hetutrechtsarchief.nl/collectie/0D0E2070A6F55FD4B4FF10D2FF71BCA9","Veranderingen in de binnenstad van Vianen sinds 1970 A J M Koenhein 69-79 2003")</f>
        <v>0</v>
      </c>
      <c r="D711" s="1">
        <f>hyperlink("http://dspace.library.uu.nl/handle/1874/211717","De industrialisatie van Vianen vanaf 1850 A J M Koenhein 2-19 1997")</f>
        <v>0</v>
      </c>
    </row>
    <row r="712" spans="2:4">
      <c r="B712">
        <v>65</v>
      </c>
      <c r="C712" s="1">
        <f>hyperlink("https://hetutrechtsarchief.nl/collectie/75A15E4B5F6C51F7B6B1D28C4575CD2D","Vianen in de patriottentijd H J Smit 189-221 ill 1987")</f>
        <v>0</v>
      </c>
      <c r="D712" s="1">
        <f>hyperlink("http://dspace.library.uu.nl/handle/1874/211718","Vianen in de Napoleontische tijd M J Ververs 17-26 1987")</f>
        <v>0</v>
      </c>
    </row>
    <row r="713" spans="2:4">
      <c r="B713">
        <v>60</v>
      </c>
      <c r="C713" s="1">
        <f>hyperlink("https://hetutrechtsarchief.nl/collectie/D08E8A92B5205E0ABE8B99CC1E4A7912","Heer Jan van Houten J H Hofman 174-179 1878")</f>
        <v>0</v>
      </c>
      <c r="D713" s="1">
        <f>hyperlink("http://dspace.library.uu.nl/handle/1874/211719","Kerkzilver te Vianen M H Quak 14-17 1988")</f>
        <v>0</v>
      </c>
    </row>
    <row r="714" spans="2:4">
      <c r="B714">
        <v>52</v>
      </c>
      <c r="C714" s="1">
        <f>hyperlink("https://hetutrechtsarchief.nl/collectie/E90B6DA5F4F55F08A02EEE3D8653BDEA","Het nieuwe voetveer Vianen-Nieuwegein J A M Koenhein A C N Koenhein en A J M Koenhein 80-84 2002")</f>
        <v>0</v>
      </c>
      <c r="D714" s="1">
        <f>hyperlink("http://dspace.library.uu.nl/handle/1874/211720","Vianen in 1840 een rivierstadje in de marge van het gewest H L Ph Hertog P T den Koenhein A J M Koenhein J A M Leeuwenberg 1 -55 1992")</f>
        <v>0</v>
      </c>
    </row>
    <row r="715" spans="2:4">
      <c r="B715">
        <v>55</v>
      </c>
      <c r="C715" s="1">
        <f>hyperlink("https://hetutrechtsarchief.nl/collectie/362FEB4EE6255FA893845CE0149DA9B6","Jan van Renesse de derde van dien naam de vijfde heer van Renesse - V P 15-31 1845")</f>
        <v>0</v>
      </c>
      <c r="D715" s="1">
        <f>hyperlink("http://dspace.library.uu.nl/handle/1874/211721","Eeuwenoude kaarten en plattegronden van Vianen en de Vijfheerenlanden J M M Meyere J A L de Ruijter 1-36 1984")</f>
        <v>0</v>
      </c>
    </row>
    <row r="716" spans="2:4">
      <c r="B716">
        <v>58</v>
      </c>
      <c r="C716" s="1">
        <f>hyperlink("https://hetutrechtsarchief.nl/collectie/A8744222F92851D6A7AC62E0974C8435","Kunst in de kerk vroeger en nu 16-17 2010")</f>
        <v>0</v>
      </c>
      <c r="D716" s="1">
        <f>hyperlink("http://dspace.library.uu.nl/handle/1874/211722","Vianers in den vreemde 1-31 1990")</f>
        <v>0</v>
      </c>
    </row>
    <row r="717" spans="2:4">
      <c r="B717">
        <v>59</v>
      </c>
      <c r="C717" s="1">
        <f>hyperlink("https://hetutrechtsarchief.nl/collectie/BDCBFB33D1BD528AAA8CB72011FD236F","De restauratie van het interieur van de Domkerk T van Hoogevest 1-22 foto s 1986")</f>
        <v>0</v>
      </c>
      <c r="D717" s="1">
        <f>hyperlink("http://dspace.library.uu.nl/handle/1874/211723","De restauratie van het huis Ne rlands Welvaren aan de Langendijk 14 16 te Vianen A Verlaan 3-5 1988")</f>
        <v>0</v>
      </c>
    </row>
    <row r="718" spans="2:4">
      <c r="B718">
        <v>53</v>
      </c>
      <c r="C718" s="1">
        <f>hyperlink("https://hetutrechtsarchief.nl/collectie/BAA412C4BB89554C9B81E0DFB0DBBD55","Bonifatius Velsen en Breukelen Arie A Manten 147-149 1999")</f>
        <v>0</v>
      </c>
      <c r="D718" s="1">
        <f>hyperlink("http://dspace.library.uu.nl/handle/1874/211724","Bonifacius Mijnlieff steenbakker te Vianen en zijn familie G M Mijnlieff 4-10 1985")</f>
        <v>0</v>
      </c>
    </row>
    <row r="719" spans="2:4">
      <c r="B719">
        <v>60</v>
      </c>
      <c r="C719" s="1">
        <f>hyperlink("https://hetutrechtsarchief.nl/collectie/174D34B93417543AB44F5082E81BCD52","De geschiedenis van deken Roes 10 - 11 1982")</f>
        <v>0</v>
      </c>
      <c r="D719" s="1">
        <f>hyperlink("http://dspace.library.uu.nl/handle/1874/211725","Middeleeuwse ontginningsgeschiedenis van Hagestein R van Acquoy 3-10 1982")</f>
        <v>0</v>
      </c>
    </row>
    <row r="720" spans="2:4">
      <c r="B720">
        <v>63</v>
      </c>
      <c r="C720" s="1">
        <f>hyperlink("https://hetutrechtsarchief.nl/collectie/75EA2858FF265635AAAD50188634CE0B","Vredenburg T J Hoekstra 12-15 ill 1978")</f>
        <v>0</v>
      </c>
      <c r="D720" s="1">
        <f>hyperlink("http://dspace.library.uu.nl/handle/1874/211726","Een nieuw Kasteel T J Hoekstra 29-31 1982")</f>
        <v>0</v>
      </c>
    </row>
    <row r="721" spans="2:4">
      <c r="B721">
        <v>56</v>
      </c>
      <c r="C721" s="1">
        <f>hyperlink("https://hetutrechtsarchief.nl/collectie/E1B5EFEDA3EC574485C9DAA4EADA5A81","Over de geschiedenis en verrichtingen van de Archeologische Werkgroep Leen de Keijzer Anton van Schip 58-62 2005")</f>
        <v>0</v>
      </c>
      <c r="D721" s="1">
        <f>hyperlink("http://dspace.library.uu.nl/handle/1874/211727","Nieuwe vondsten in Vianen door archeologische werkgroep R W Honk W Mastwijk 24-25 1983")</f>
        <v>0</v>
      </c>
    </row>
    <row r="722" spans="2:4">
      <c r="B722">
        <v>57</v>
      </c>
      <c r="C722" s="1">
        <f>hyperlink("https://hetutrechtsarchief.nl/collectie/94F05477A2491657E0534701000A51DB","Ruzie om uiterwaarden en hoofden deel II Walter van Zijderveld 14-32 2019")</f>
        <v>0</v>
      </c>
      <c r="D722" s="1">
        <f>hyperlink("http://dspace.library.uu.nl/handle/1874/211728","Vianen Lexmond en de paardenposterij W van Zijderveld 5-14 1993")</f>
        <v>0</v>
      </c>
    </row>
    <row r="723" spans="2:4">
      <c r="B723">
        <v>59</v>
      </c>
      <c r="C723" s="1">
        <f>hyperlink("https://hetutrechtsarchief.nl/collectie/94F05477A2491657E0534701000A51DB","Ruzie om uiterwaarden en hoofden deel II Walter van Zijderveld 14-32 2019")</f>
        <v>0</v>
      </c>
      <c r="D723" s="1">
        <f>hyperlink("http://dspace.library.uu.nl/handle/1874/211729","Het Viaanse voermansgilde W van Zijderveld 16-28 1994")</f>
        <v>0</v>
      </c>
    </row>
    <row r="724" spans="2:4">
      <c r="B724">
        <v>59</v>
      </c>
      <c r="C724" s="1">
        <f>hyperlink("https://hetutrechtsarchief.nl/collectie/69F786002D8A59DEB8C7DD8B9FB33586","Het tegeltableau van de boerderij t Misverstand R van der Mark 38-40 1998")</f>
        <v>0</v>
      </c>
      <c r="D724" s="1">
        <f>hyperlink("http://dspace.library.uu.nl/handle/1874/211730","Het stoomgemaal van de polder De Eendracht W van Zijderveld 20-36 1997")</f>
        <v>0</v>
      </c>
    </row>
    <row r="725" spans="2:4">
      <c r="B725">
        <v>57</v>
      </c>
      <c r="C725" s="1">
        <f>hyperlink("https://hetutrechtsarchief.nl/collectie/83456562A3EF5DCF9D7F196900D2E977","De overrompeling van Rhenen in 1527 kastelentocht D Philips 16-21 1958")</f>
        <v>0</v>
      </c>
      <c r="D725" s="1">
        <f>hyperlink("http://dspace.library.uu.nl/handle/1874/211731","Stadsrechtverlening van Hagestein in 1382 A C N Koenhein 10-28 1982")</f>
        <v>0</v>
      </c>
    </row>
    <row r="726" spans="2:4">
      <c r="B726">
        <v>56</v>
      </c>
      <c r="C726" s="1">
        <f>hyperlink("https://hetutrechtsarchief.nl/collectie/4926F549D92E572CBC5621269346AC23","Het atelier der Utrechtsche miniaturen en een kapittel uit de geschiedenis van het Karthuizerklooster Nieuw-licht C de Wit 264-271 1928")</f>
        <v>0</v>
      </c>
      <c r="D726" s="1">
        <f>hyperlink("http://dspace.library.uu.nl/handle/1874/211732","Hagestein en het water enkele aantekeningen omtrent de geschiedenis van Hagestein J M M Ruijter 63-71 1982")</f>
        <v>0</v>
      </c>
    </row>
    <row r="727" spans="2:4">
      <c r="B727">
        <v>57</v>
      </c>
      <c r="C727" s="1">
        <f>hyperlink("https://hetutrechtsarchief.nl/collectie/3DDDBB0E01715526A1C59B7B2598402A","Beelden van en opgraving T J Hoekstra 133 ill 1980")</f>
        <v>0</v>
      </c>
      <c r="D727" s="1">
        <f>hyperlink("http://dspace.library.uu.nl/handle/1874/211733","Beleg van Hagestein in 1405 J Heniger 32-44 1982")</f>
        <v>0</v>
      </c>
    </row>
    <row r="728" spans="2:4">
      <c r="B728">
        <v>55</v>
      </c>
      <c r="C728" s="1">
        <f>hyperlink("https://hetutrechtsarchief.nl/collectie/E9F960CC842B52269B4C7BFCC07BBBD0","Th Haakma en de Utrechtse kerken T van Hoogevest 58-59 1978")</f>
        <v>0</v>
      </c>
      <c r="D728" s="1">
        <f>hyperlink("http://dspace.library.uu.nl/handle/1874/211734","Lijst van regerende heren en vrouwen van Hagestein J Heniger 58-59 1982")</f>
        <v>0</v>
      </c>
    </row>
    <row r="729" spans="2:4">
      <c r="B729">
        <v>60</v>
      </c>
      <c r="C729" s="1">
        <f>hyperlink("https://hetutrechtsarchief.nl/collectie/BBDAE9EE5AF95248ABFC67C508289902","De Hernhutters in Nederland en hun archieven H L Ph Leeuwenberg 127-136 1992")</f>
        <v>0</v>
      </c>
      <c r="D729" s="1">
        <f>hyperlink("http://dspace.library.uu.nl/handle/1874/211736","Lijst van pastoors en bedienaars van de parochiekerk van Hagestein H L Ph Leeuwenberg 60-61 1982")</f>
        <v>0</v>
      </c>
    </row>
    <row r="730" spans="2:4">
      <c r="B730">
        <v>65</v>
      </c>
      <c r="C730" s="1">
        <f>hyperlink("https://hetutrechtsarchief.nl/collectie/BD5F034278115319A58127CF9025338C","Hernhutters in vijf continenten H L Ph Leeuwenberg 80-82 ill 1974")</f>
        <v>0</v>
      </c>
      <c r="D730" s="1">
        <f>hyperlink("http://dspace.library.uu.nl/handle/1874/211737","Scheepvaart tussen Vianen en Hagestein H L Ph Leeuwenberg 50-56 1987")</f>
        <v>0</v>
      </c>
    </row>
    <row r="731" spans="2:4">
      <c r="B731">
        <v>59</v>
      </c>
      <c r="C731" s="1">
        <f>hyperlink("https://hetutrechtsarchief.nl/collectie/BBDAE9EE5AF95248ABFC67C508289902","De Hernhutters in Nederland en hun archieven H L Ph Leeuwenberg 127-136 1992")</f>
        <v>0</v>
      </c>
      <c r="D731" s="1">
        <f>hyperlink("http://dspace.library.uu.nl/handle/1874/211738","Een 16e eeuwse kroegruzie te Hagestein H L Ph Leeuwenberg 1-3 1987")</f>
        <v>0</v>
      </c>
    </row>
    <row r="732" spans="2:4">
      <c r="B732">
        <v>56</v>
      </c>
      <c r="C732" s="1">
        <f>hyperlink("https://hetutrechtsarchief.nl/collectie/94F05477A2461657E0534701000A51DB","Drie eeuwen tellingen in Hagestein De omvang van de bevolking van 1548-1849 Freek W van Toor 4-14 2019")</f>
        <v>0</v>
      </c>
      <c r="D732" s="1">
        <f>hyperlink("http://dspace.library.uu.nl/handle/1874/211739","Vianen Everdingen en Hagestein en de bestuurlijke indelingen in de periode 1795-1840 S E M van Doornmalen 1-5 1993")</f>
        <v>0</v>
      </c>
    </row>
    <row r="733" spans="2:4">
      <c r="B733">
        <v>65</v>
      </c>
      <c r="C733" s="1">
        <f>hyperlink("https://hetutrechtsarchief.nl/collectie/569F983F81875161A429ABF5A4714AF0","Post Telegraaf en Telefoon PTT in Vianen J A M Koenhein 35-43 2008")</f>
        <v>0</v>
      </c>
      <c r="D733" s="1">
        <f>hyperlink("http://dspace.library.uu.nl/handle/1874/211740","Joden in Vianen J A M Koenhein 35-44 1986")</f>
        <v>0</v>
      </c>
    </row>
    <row r="734" spans="2:4">
      <c r="B734">
        <v>58</v>
      </c>
      <c r="C734" s="1">
        <f>hyperlink("https://hetutrechtsarchief.nl/collectie/43D75728F40B5C298A119D6E00174CEE","Vianen een generatie terug V F C Leeuwenberg-Steegh 67-68 2001")</f>
        <v>0</v>
      </c>
      <c r="D734" s="1">
        <f>hyperlink("http://dspace.library.uu.nl/handle/1874/211742","Egbertus Geerdink bouwpastoor 1835-1916 V F C Leeuwenberg-Steegh 18-19 1986")</f>
        <v>0</v>
      </c>
    </row>
    <row r="735" spans="2:4">
      <c r="B735">
        <v>56</v>
      </c>
      <c r="C735" s="1">
        <f>hyperlink("https://hetutrechtsarchief.nl/collectie/CAD2BF1C38CA5875BE4C93BEB9F94D5D","De opschriften van den Domtoren J W C van Campen 45-62 ill 1951")</f>
        <v>0</v>
      </c>
      <c r="D735" s="1">
        <f>hyperlink("http://dspace.library.uu.nl/handle/1874/211743","De kostschool van de Franse oratorianen te Vianen 1753-1762 F Smit 20-29 1986")</f>
        <v>0</v>
      </c>
    </row>
    <row r="736" spans="2:4">
      <c r="B736">
        <v>61</v>
      </c>
      <c r="C736" s="1">
        <f>hyperlink("https://hetutrechtsarchief.nl/collectie/FE5D3C5CBC075701B7426E410521D4F7","De Doleantie in Utrecht H Kaajan 5 -14 1936")</f>
        <v>0</v>
      </c>
      <c r="D736" s="1">
        <f>hyperlink("http://dspace.library.uu.nl/handle/1874/211745","De Doleantie te Vianen M H Quak 29-35 1986")</f>
        <v>0</v>
      </c>
    </row>
    <row r="737" spans="2:4">
      <c r="B737">
        <v>64</v>
      </c>
      <c r="C737" s="1">
        <f>hyperlink("https://hetutrechtsarchief.nl/collectie/43D75728F40B5C298A119D6E00174CEE","Vianen een generatie terug V F C Leeuwenberg-Steegh 67-68 2001")</f>
        <v>0</v>
      </c>
      <c r="D737" s="1">
        <f>hyperlink("http://dspace.library.uu.nl/handle/1874/211747","Op bezoek bij een honderdjarige V F C Leeuwenberg-Steegh 49-53 1986")</f>
        <v>0</v>
      </c>
    </row>
    <row r="738" spans="2:4">
      <c r="B738">
        <v>62</v>
      </c>
      <c r="C738" s="1">
        <f>hyperlink("https://hetutrechtsarchief.nl/collectie/52287C3CBA5A5938AEA254A3DFB880AC","De magistraat van Vianen in de 16e eeuw J Heniger 29-79 2002")</f>
        <v>0</v>
      </c>
      <c r="D738" s="1">
        <f>hyperlink("http://dspace.library.uu.nl/handle/1874/211749","De magistraat van Vianen L G Krijnen 53-56 1986")</f>
        <v>0</v>
      </c>
    </row>
    <row r="739" spans="2:4">
      <c r="B739">
        <v>62</v>
      </c>
      <c r="C739" s="1">
        <f>hyperlink("https://hetutrechtsarchief.nl/collectie/52287C3CBA5A5938AEA254A3DFB880AC","De magistraat van Vianen in de 16e eeuw J Heniger 29-79 2002")</f>
        <v>0</v>
      </c>
      <c r="D739" s="1">
        <f>hyperlink("http://dspace.library.uu.nl/handle/1874/211750","De bestuurders van Vianen in de 18e eeuw L G Krijnen 56-64 1986")</f>
        <v>0</v>
      </c>
    </row>
    <row r="740" spans="2:4">
      <c r="B740">
        <v>54</v>
      </c>
      <c r="C740" s="1">
        <f>hyperlink("https://hetutrechtsarchief.nl/collectie/6354C2D8303E54F594DB017333C46D5B","Utrecht - J S 359 tek 1948")</f>
        <v>0</v>
      </c>
      <c r="D740" s="1">
        <f>hyperlink("http://dspace.library.uu.nl/handle/1874/211752","Strijd G J N de Korte 1986")</f>
        <v>0</v>
      </c>
    </row>
    <row r="741" spans="2:4">
      <c r="B741">
        <v>63</v>
      </c>
      <c r="C741" s="1">
        <f>hyperlink("https://hetutrechtsarchief.nl/collectie/9807BD50B3A6537EA0662D0D397437CF","Tentoonstelling Liefdewerk 13 ill 1998")</f>
        <v>0</v>
      </c>
      <c r="D741" s="1">
        <f>hyperlink("http://dspace.library.uu.nl/handle/1874/211753","Tentoonstelling Jan Blanken 79-80 1986")</f>
        <v>0</v>
      </c>
    </row>
    <row r="742" spans="2:4">
      <c r="B742">
        <v>59</v>
      </c>
      <c r="C742" s="1">
        <f>hyperlink("https://hetutrechtsarchief.nl/collectie/A3E02E1660775D4C94BFDCFE2F6C5F3E","Een dag Korte Jan 7-8 1985")</f>
        <v>0</v>
      </c>
      <c r="D742" s="1">
        <f>hyperlink("http://dspace.library.uu.nl/handle/1874/211754","Een poort te veel 80-81 1986")</f>
        <v>0</v>
      </c>
    </row>
    <row r="743" spans="2:4">
      <c r="B743">
        <v>61</v>
      </c>
      <c r="C743" s="1">
        <f>hyperlink("https://hetutrechtsarchief.nl/collectie/43D75728F40B5C298A119D6E00174CEE","Vianen een generatie terug V F C Leeuwenberg-Steegh 67-68 2001")</f>
        <v>0</v>
      </c>
      <c r="D743" s="1">
        <f>hyperlink("http://dspace.library.uu.nl/handle/1874/211755","Huwelijksperikelen V F C Leeuwenberg-Steegh 9-11 1987")</f>
        <v>0</v>
      </c>
    </row>
    <row r="744" spans="2:4">
      <c r="B744">
        <v>57</v>
      </c>
      <c r="C744" s="1">
        <f>hyperlink("https://hetutrechtsarchief.nl/collectie/4FE70B9E82ED5FFAA81B6FBB4DC296C7","De tympaanversiering van het stadhuis J C Janssen 14-15 ill 1957")</f>
        <v>0</v>
      </c>
      <c r="D744" s="1">
        <f>hyperlink("http://dspace.library.uu.nl/handle/1874/211756","Kazernering in het weeshuis J M M Ruijter 39-41 1987")</f>
        <v>0</v>
      </c>
    </row>
    <row r="745" spans="2:4">
      <c r="B745">
        <v>61</v>
      </c>
      <c r="C745" s="1">
        <f>hyperlink("https://hetutrechtsarchief.nl/collectie/652ED5DA02FB52D493847C843EA5E7E3","Oude kaarten van de provincie Utrecht C Koeman 68-69 1974")</f>
        <v>0</v>
      </c>
      <c r="D745" s="1">
        <f>hyperlink("http://dspace.library.uu.nl/handle/1874/211757","De trekvaart tussen Vianen en Gorinchem J A M Koenhein 56-60 1987")</f>
        <v>0</v>
      </c>
    </row>
    <row r="746" spans="2:4">
      <c r="B746">
        <v>67</v>
      </c>
      <c r="C746" s="1">
        <f>hyperlink("https://hetutrechtsarchief.nl/collectie/3D41D01213035A03B48DCD3AE7EC01CA","De bouwgeschiedenis van het huis Drakenburg te Utrecht H van der Wal 71-79 ill 1975")</f>
        <v>0</v>
      </c>
      <c r="D746" s="1">
        <f>hyperlink("http://dspace.library.uu.nl/handle/1874/211758","De bouwgeschiedenis van het huis Langendijk 14-16 te Vianen Bart Kl ck 1-3 1988")</f>
        <v>0</v>
      </c>
    </row>
    <row r="747" spans="2:4">
      <c r="B747">
        <v>53</v>
      </c>
      <c r="C747" s="1">
        <f>hyperlink("https://hetutrechtsarchief.nl/collectie/51038AB3036C5862A0008E8896BA0F23","Het gieten van een klok tot Zoest in den jaere 1696 E Heupers 89-93 1959")</f>
        <v>0</v>
      </c>
      <c r="D747" s="1">
        <f>hyperlink("http://dspace.library.uu.nl/handle/1874/211760","De veenmol van Vianen blijkt een bronzen langoest L B Muller H E Holthuis 6-9 1989")</f>
        <v>0</v>
      </c>
    </row>
    <row r="748" spans="2:4">
      <c r="B748">
        <v>59</v>
      </c>
      <c r="C748" s="1">
        <f>hyperlink("https://hetutrechtsarchief.nl/collectie/0A7BBBEF97AA571AA3E7AF2177028300","De Kaatsbaan te Maarssen A E Rientjes 17-21 1948")</f>
        <v>0</v>
      </c>
      <c r="D748" s="1">
        <f>hyperlink("http://dspace.library.uu.nl/handle/1874/211761","De kranten van Vianen Hans Smalhausen Oda Koenhein 17-26 1989")</f>
        <v>0</v>
      </c>
    </row>
    <row r="749" spans="2:4">
      <c r="B749">
        <v>59</v>
      </c>
      <c r="C749" s="1">
        <f>hyperlink("https://hetutrechtsarchief.nl/collectie/7EEC3CB9785058E78ECB489E7BAEFDC5","Grafmonument Jan van der Heijden 128-129 ill portr 1994")</f>
        <v>0</v>
      </c>
      <c r="D749" s="1">
        <f>hyperlink("http://dspace.library.uu.nl/handle/1874/211762","Grafmonument Jan Blanken onthuld W van t Veld 29-30 1989")</f>
        <v>0</v>
      </c>
    </row>
    <row r="750" spans="2:4">
      <c r="B750">
        <v>57</v>
      </c>
      <c r="C750" s="1">
        <f>hyperlink("https://hetutrechtsarchief.nl/collectie/1EA88D535185561CBD75FB730074C5E0","Joden in IJsselstein T A van Dijk 23-30 2016")</f>
        <v>0</v>
      </c>
      <c r="D750" s="1">
        <f>hyperlink("http://dspace.library.uu.nl/handle/1874/211763","Een tonelist uit Vianen Otto Dijk 33-38 1990")</f>
        <v>0</v>
      </c>
    </row>
    <row r="751" spans="2:4">
      <c r="B751">
        <v>55</v>
      </c>
      <c r="C751" s="1">
        <f>hyperlink("https://hetutrechtsarchief.nl/collectie/0FB7170862D25D35B0576924BA331A51","Natuur cultuur Wendy van der Torre 26-29 2007")</f>
        <v>0</v>
      </c>
      <c r="D751" s="1">
        <f>hyperlink("http://dspace.library.uu.nl/handle/1874/211764","Cultuur in Vianen 33-63 1990")</f>
        <v>0</v>
      </c>
    </row>
    <row r="752" spans="2:4">
      <c r="B752">
        <v>64</v>
      </c>
      <c r="C752" s="1">
        <f>hyperlink("https://hetutrechtsarchief.nl/collectie/84E07FF737AC5DAB9F927127B2958379","Salomon van Ruysdael en Vianen A J M Koenhein 57-62 2001")</f>
        <v>0</v>
      </c>
      <c r="D752" s="1">
        <f>hyperlink("http://dspace.library.uu.nl/handle/1874/211766","Mannenzangkoren in Vianen A J M Koenhein 44-53 1990")</f>
        <v>0</v>
      </c>
    </row>
    <row r="753" spans="2:4">
      <c r="B753">
        <v>58</v>
      </c>
      <c r="C753" s="1">
        <f>hyperlink("https://hetutrechtsarchief.nl/collectie/FD9CB81E63685A8E8C9663519FE6EA46","Geest van Utrecht gedicht Jan Engelman 60 1980")</f>
        <v>0</v>
      </c>
      <c r="D753" s="1">
        <f>hyperlink("http://dspace.library.uu.nl/handle/1874/211767","Lijst van predikanten S J Seinen 62 1982")</f>
        <v>0</v>
      </c>
    </row>
    <row r="754" spans="2:4">
      <c r="B754">
        <v>59</v>
      </c>
      <c r="C754" s="1">
        <f>hyperlink("https://hetutrechtsarchief.nl/collectie/6F73323C9F1CD017E0534701000A633A","Spoorwegkranen Geert de Weger 34-40 2018")</f>
        <v>0</v>
      </c>
      <c r="D754" s="1">
        <f>hyperlink("http://dspace.library.uu.nl/handle/1874/211768","Coornhert en Brederode H Bonger 4-14 1982")</f>
        <v>0</v>
      </c>
    </row>
    <row r="755" spans="2:4">
      <c r="B755">
        <v>55</v>
      </c>
      <c r="C755" s="1">
        <f>hyperlink("https://hetutrechtsarchief.nl/collectie/0381D7EEF32D57E6A1774022EF4E6EB9","St Olaf en zijn attributen A E Rientjes 123-125 ill 1932")</f>
        <v>0</v>
      </c>
      <c r="D755" s="1">
        <f>hyperlink("http://dspace.library.uu.nl/handle/1874/211769","Jacob van Hervelt zijn aktiviteiten te Vianen J H van Eis 14-24 1982")</f>
        <v>0</v>
      </c>
    </row>
    <row r="756" spans="2:4">
      <c r="B756">
        <v>51</v>
      </c>
      <c r="C756" s="1">
        <f>hyperlink("https://hetutrechtsarchief.nl/collectie/85977514CF4D500589B067A182FD2B82","Van Riddermatige Rijschool tot Utrechtse Manege 1641-1971 A J A M Lisman 93-102 ill 1970")</f>
        <v>0</v>
      </c>
      <c r="D756" s="1">
        <f>hyperlink("http://dspace.library.uu.nl/handle/1874/211771","Vyanens alverdriet Jacob Campo Weyerman 1677-1747 A J Hanou 1-15 1983")</f>
        <v>0</v>
      </c>
    </row>
    <row r="757" spans="2:4">
      <c r="B757">
        <v>61</v>
      </c>
      <c r="C757" s="1">
        <f>hyperlink("https://hetutrechtsarchief.nl/collectie/D963FAF63E08583FB0697DE0778B3520","De Tuinstraat gered Chris van Deventer 18-19 1987")</f>
        <v>0</v>
      </c>
      <c r="D757" s="1">
        <f>hyperlink("http://dspace.library.uu.nl/handle/1874/211772","De reigers van Vianen J M M Ruijter 18-19 1983")</f>
        <v>0</v>
      </c>
    </row>
    <row r="758" spans="2:4">
      <c r="B758">
        <v>58</v>
      </c>
      <c r="C758" s="1">
        <f>hyperlink("https://hetutrechtsarchief.nl/collectie/4291565EA53E5202AAB81CCC0DA68A48","Een groet aan Cor van den Braber J Ayolt Brongers 1-4 2002")</f>
        <v>0</v>
      </c>
      <c r="D758" s="1">
        <f>hyperlink("http://dspace.library.uu.nl/handle/1874/211773","Hendrik Brongers apotheker te Vianen R A Brongers 1-22 1984")</f>
        <v>0</v>
      </c>
    </row>
    <row r="759" spans="2:4">
      <c r="B759">
        <v>57</v>
      </c>
      <c r="C759" s="1">
        <f>hyperlink("https://hetutrechtsarchief.nl/collectie/13F7580B7B5C5A489AB175E9EB38F257","De Maricken Fred de Wit 152-155 2015")</f>
        <v>0</v>
      </c>
      <c r="D759" s="1">
        <f>hyperlink("http://dspace.library.uu.nl/handle/1874/211774","De Biezenpoldermolen Joh de With 1-5 1985")</f>
        <v>0</v>
      </c>
    </row>
    <row r="760" spans="2:4">
      <c r="B760">
        <v>60</v>
      </c>
      <c r="C760" s="1">
        <f>hyperlink("https://hetutrechtsarchief.nl/collectie/9E53E8FD927653CEB279A0617A7005D1","Verkeer en verkeersproblemen P van Dijke 5-9 ill tek 1958")</f>
        <v>0</v>
      </c>
      <c r="D760" s="1">
        <f>hyperlink("http://dspace.library.uu.nl/handle/1874/211775","Verkeersproblemen P Horden 31-32 1985")</f>
        <v>0</v>
      </c>
    </row>
    <row r="761" spans="2:4">
      <c r="B761">
        <v>58</v>
      </c>
      <c r="C761" s="1">
        <f>hyperlink("https://hetutrechtsarchief.nl/collectie/84E07FF737AC5DAB9F927127B2958379","Salomon van Ruysdael en Vianen A J M Koenhein 57-62 2001")</f>
        <v>0</v>
      </c>
      <c r="D761" s="1">
        <f>hyperlink("http://dspace.library.uu.nl/handle/1874/211776","De verkoop van Vianen en Ameide in 1725 J A M Koenhein 37-43 1991")</f>
        <v>0</v>
      </c>
    </row>
    <row r="762" spans="2:4">
      <c r="B762">
        <v>59</v>
      </c>
      <c r="C762" s="1">
        <f>hyperlink("https://hetutrechtsarchief.nl/collectie/4D3E5C5EF2755B779A8505E58803C0B4","Een boek van belang Daan H Werner 15-19 1999")</f>
        <v>0</v>
      </c>
      <c r="D762" s="1">
        <f>hyperlink("http://dspace.library.uu.nl/handle/1874/211777","Een Hottentot te Vianen J Heniger 43-49 1991")</f>
        <v>0</v>
      </c>
    </row>
    <row r="763" spans="2:4">
      <c r="B763">
        <v>57</v>
      </c>
      <c r="C763" s="1">
        <f>hyperlink("https://hetutrechtsarchief.nl/collectie/A48AB6FEBCA65D8DBD2670E869F7562D","Verbetering van de Domkerk 163-166 1856")</f>
        <v>0</v>
      </c>
      <c r="D763" s="1">
        <f>hyperlink("http://dspace.library.uu.nl/handle/1874/211778","Dijkversterking Vianen Centrum M J M Kerkhof 61-64 1991")</f>
        <v>0</v>
      </c>
    </row>
    <row r="764" spans="2:4">
      <c r="B764">
        <v>58</v>
      </c>
      <c r="C764" s="1">
        <f>hyperlink("https://hetutrechtsarchief.nl/collectie/D52B86F9EC245ACF99DA9A0D571D7D3C","De Rhenense ondergrondse Ton van Drunen 26-36 ill 1999")</f>
        <v>0</v>
      </c>
      <c r="D764" s="1">
        <f>hyperlink("http://dspace.library.uu.nl/handle/1874/211779","De Vianensche Courant S E M van Doornmalen 15-20 1993")</f>
        <v>0</v>
      </c>
    </row>
    <row r="765" spans="2:4">
      <c r="B765">
        <v>59</v>
      </c>
      <c r="C765" s="1">
        <f>hyperlink("https://hetutrechtsarchief.nl/collectie/98EF41D2B9D6599B8324531AAE5B4F73","Dr A J van de Weijde 33-34 1932")</f>
        <v>0</v>
      </c>
      <c r="D765" s="1">
        <f>hyperlink("http://dspace.library.uu.nl/handle/1874/211780","Land en water J Jong Ruud de Heniger 33-64 1993")</f>
        <v>0</v>
      </c>
    </row>
    <row r="766" spans="2:4">
      <c r="B766">
        <v>69</v>
      </c>
      <c r="C766" s="1">
        <f>hyperlink("https://hetutrechtsarchief.nl/collectie/665AFB4643BF50CA814A8E9B4EC52F21","Perkament in de middeleeuwen J P Gumbert 13-16 1987")</f>
        <v>0</v>
      </c>
      <c r="D766" s="1">
        <f>hyperlink("http://dspace.library.uu.nl/handle/1874/211781","Bolgerijen in de Middeleeuwen J Heniger 45-56 1993")</f>
        <v>0</v>
      </c>
    </row>
    <row r="767" spans="2:4">
      <c r="B767">
        <v>60</v>
      </c>
      <c r="C767" s="1">
        <f>hyperlink("https://hetutrechtsarchief.nl/collectie/F155A5058CE5536595E37A6C2D4B776E","De stad Utrecht en de franciscanen en dominicanen in de vijftiende eeuw A H Evertse 9-32 ill 1986")</f>
        <v>0</v>
      </c>
      <c r="D767" s="1">
        <f>hyperlink("http://dspace.library.uu.nl/handle/1874/211782","De gilden en de economische ontwikkelingen in Vianen in de achttiende eeuw J A M Koenhein 33-62 1994")</f>
        <v>0</v>
      </c>
    </row>
    <row r="768" spans="2:4">
      <c r="B768">
        <v>53</v>
      </c>
      <c r="C768" s="1">
        <f>hyperlink("https://hetutrechtsarchief.nl/collectie/B5D067402F6B573BBE41D077F5A9E5F0","Schandaal verscheidene wrede excessen Walraven van Brederode mishandelt zijn vrouw B van den Hoven van Genderen 134-135 1995")</f>
        <v>0</v>
      </c>
      <c r="D768" s="1">
        <f>hyperlink("http://dspace.library.uu.nl/handle/1874/211783","Een Hollandse luis in de Bourgondische pels het politieke optreden van Reinoud II van Brederode M J van Gent met medew van J Heniger J Gent M J van Heniger 2-52 1995")</f>
        <v>0</v>
      </c>
    </row>
    <row r="769" spans="2:4">
      <c r="B769">
        <v>52</v>
      </c>
      <c r="C769" s="1">
        <f>hyperlink("https://hetutrechtsarchief.nl/collectie/E90B6DA5F4F55F08A02EEE3D8653BDEA","Het nieuwe voetveer Vianen-Nieuwegein J A M Koenhein A C N Koenhein en A J M Koenhein 80-84 2002")</f>
        <v>0</v>
      </c>
      <c r="D769" s="1">
        <f>hyperlink("http://dspace.library.uu.nl/handle/1874/211784","Gezond-bron B W Zuurdeeg en J Heniger m m v A J M Koenhein et al A J M Zuurdeeg B W Heniger J Koenhein 1-82 1996")</f>
        <v>0</v>
      </c>
    </row>
    <row r="770" spans="2:4">
      <c r="B770">
        <v>60</v>
      </c>
      <c r="C770" s="1">
        <f>hyperlink("https://hetutrechtsarchief.nl/collectie/9FDFEA4F67BC568D800294DE43C6D1C2","De parochie van Hei- en Boeicop in de Middeleeuwen Huib Leeuwenberg 16-23 2006")</f>
        <v>0</v>
      </c>
      <c r="D770" s="1">
        <f>hyperlink("http://dspace.library.uu.nl/handle/1874/211785","Enkele grepen uit de geschiedenis van de Hagesteinse parochie in de middeleeuwen H L Ph Leeuwenberg 45-57 1982")</f>
        <v>0</v>
      </c>
    </row>
    <row r="771" spans="2:4">
      <c r="B771">
        <v>62</v>
      </c>
      <c r="C771" s="1">
        <f>hyperlink("https://hetutrechtsarchief.nl/collectie/185F38CDF2755FC69429F9D628BB7FF9","Het Biltsche Badhuis Truus Bruijn voorbew door Sjoukje Straub 78-80 2000")</f>
        <v>0</v>
      </c>
      <c r="D771" s="1">
        <f>hyperlink("http://dspace.library.uu.nl/handle/1874/211833","Het Biltsche Badhuis Sjoukje Bruijn Truus Straub 78-80 jg 10 2001 nr 2 p 38-40 2000-2001")</f>
        <v>0</v>
      </c>
    </row>
    <row r="772" spans="2:4">
      <c r="B772">
        <v>100</v>
      </c>
      <c r="C772" s="1">
        <f>hyperlink("https://hetutrechtsarchief.nl/collectie/57318A30C63A557B9C7578AFE9A264DE","Een gemeentelijke herindeling die niet doorging Lies Haan-Beerends 2-9 2001")</f>
        <v>0</v>
      </c>
      <c r="D772" s="1">
        <f>hyperlink("http://dspace.library.uu.nl/handle/1874/211834","Een gemeentelijke herindeling die niet doorging Lies Haan-Beerends 2-9 2001")</f>
        <v>0</v>
      </c>
    </row>
    <row r="773" spans="2:4">
      <c r="B773">
        <v>86</v>
      </c>
      <c r="C773" s="1">
        <f>hyperlink("https://hetutrechtsarchief.nl/collectie/D6EDB25B6FA05D6091C9B9586C77A082","Kleine kroniek van De Bilt in tanka-vorm Wanda Reumer 10-12 2001")</f>
        <v>0</v>
      </c>
      <c r="D773" s="1">
        <f>hyperlink("http://dspace.library.uu.nl/handle/1874/211835","Kleine kroniek van De Bilt in tanka-vorm Jos Reumer Wanda Cladder 10-12 2001")</f>
        <v>0</v>
      </c>
    </row>
    <row r="774" spans="2:4">
      <c r="B774">
        <v>86</v>
      </c>
      <c r="C774" s="1">
        <f>hyperlink("https://hetutrechtsarchief.nl/collectie/CBC91DA8F9D256F38D494748E8C438CC","Het Zeister spoor I Jan van den Heuvel 22-32 2001")</f>
        <v>0</v>
      </c>
      <c r="D774" s="1">
        <f>hyperlink("http://dspace.library.uu.nl/handle/1874/211836","Het Zeister spoor Jan van den Heuvel 22-32 nr 3 p 48-56 2001")</f>
        <v>0</v>
      </c>
    </row>
    <row r="775" spans="2:4">
      <c r="B775">
        <v>86</v>
      </c>
      <c r="C775" s="1">
        <f>hyperlink("https://hetutrechtsarchief.nl/collectie/3DC6D2267B02568DA0177FB9E4E969EE","De toekomst van een kloostergebouw Ellen Drees en Jan van Doorn 57-60 2001")</f>
        <v>0</v>
      </c>
      <c r="D775" s="1">
        <f>hyperlink("http://dspace.library.uu.nl/handle/1874/211837","De toekomst van een kloostergebouw Jan van Drees Ellen Doorn 57-60 2001")</f>
        <v>0</v>
      </c>
    </row>
    <row r="776" spans="2:4">
      <c r="B776">
        <v>100</v>
      </c>
      <c r="C776" s="1">
        <f>hyperlink("https://hetutrechtsarchief.nl/collectie/93DEC9C15699570FB5E2EB1860C639B3","Heimwee naar een vertrouwd hoekje Hans de Groot 12-17 2001")</f>
        <v>0</v>
      </c>
      <c r="D776" s="1">
        <f>hyperlink("http://dspace.library.uu.nl/handle/1874/211838","Heimwee naar een vertrouwd hoekje Hans de Groot 12-17 2001")</f>
        <v>0</v>
      </c>
    </row>
    <row r="777" spans="2:4">
      <c r="B777">
        <v>100</v>
      </c>
      <c r="C777" s="1">
        <f>hyperlink("https://hetutrechtsarchief.nl/collectie/2DC70D0B3BD856A4A023E38120C400C6","Hoe kerkklokken toen luidden en nu luiden in de Bilt en Bilthoven Lies Haan-Beerends 62-76 2001")</f>
        <v>0</v>
      </c>
      <c r="D777" s="1">
        <f>hyperlink("http://dspace.library.uu.nl/handle/1874/211839","Hoe kerkklokken toen luidden en nu luiden in de Bilt en Bilthoven Lies Haan-Beerends 62-76 2001")</f>
        <v>0</v>
      </c>
    </row>
    <row r="778" spans="2:4">
      <c r="B778">
        <v>100</v>
      </c>
      <c r="C778" s="1">
        <f>hyperlink("https://hetutrechtsarchief.nl/collectie/03590E4F5BE754AD98797F82933F6390","Dorpen met geschiedenis in gemeente zonder verleden A Doedens 77-80 2001")</f>
        <v>0</v>
      </c>
      <c r="D778" s="1">
        <f>hyperlink("http://dspace.library.uu.nl/handle/1874/211840","Dorpen met geschiedenis in gemeente zonder verleden A Doedens 77-80 2001")</f>
        <v>0</v>
      </c>
    </row>
    <row r="779" spans="2:4">
      <c r="B779">
        <v>100</v>
      </c>
      <c r="C779" s="1">
        <f>hyperlink("https://hetutrechtsarchief.nl/collectie/58BD5C1EB1E959E4A7C75BC753C6EEC5","Feestelijkheden rondom verloving en huwelijk van Prinses Juliana en Prins Bernhard Lies Haan-Beerends 2-10 2002")</f>
        <v>0</v>
      </c>
      <c r="D779" s="1">
        <f>hyperlink("http://dspace.library.uu.nl/handle/1874/211841","Feestelijkheden rondom verloving en huwelijk van Prinses Juliana en Prins Bernhard Lies Haan-Beerends 2-10 2002")</f>
        <v>0</v>
      </c>
    </row>
    <row r="780" spans="2:4">
      <c r="B780">
        <v>100</v>
      </c>
      <c r="C780" s="1">
        <f>hyperlink("https://hetutrechtsarchief.nl/collectie/7F299DDEF2EE52CCA0FE73531314F4A2","Een inventarisatie van het verenigingsleven in de Bilt en Hilthoven 1884-1940 Jan van der Heijden 22-60 2002")</f>
        <v>0</v>
      </c>
      <c r="D780" s="1">
        <f>hyperlink("http://dspace.library.uu.nl/handle/1874/211842","Een inventarisatie van het verenigingsleven in de Bilt en Hilthoven 1884-1940 Jan van der Heijden 22-60 2002")</f>
        <v>0</v>
      </c>
    </row>
    <row r="781" spans="2:4">
      <c r="B781">
        <v>71</v>
      </c>
      <c r="C781" s="1">
        <f>hyperlink("https://hetutrechtsarchief.nl/collectie/262D2A106F4553178DF290641986D1EE","De kunst van het overleven 3 Ellen Drees 29-35 2003")</f>
        <v>0</v>
      </c>
      <c r="D781" s="1">
        <f>hyperlink("http://dspace.library.uu.nl/handle/1874/211843","De kunst van het overleven Ellen Drees 15-19 nr 4 p 82-89 12 2003 nr 2 p 29-35 2002-2003")</f>
        <v>0</v>
      </c>
    </row>
    <row r="782" spans="2:4">
      <c r="B782">
        <v>100</v>
      </c>
      <c r="C782" s="1">
        <f>hyperlink("https://hetutrechtsarchief.nl/collectie/5418F9ACB8B85C41848EAC2453F1A1A0","Waakt en bidt de eerste vijftig jaren van de Ben Labre-Groep Hans de Groot 62-70 2002")</f>
        <v>0</v>
      </c>
      <c r="D782" s="1">
        <f>hyperlink("http://dspace.library.uu.nl/handle/1874/211844","Waakt en bidt de eerste vijftig jaren van de Ben Labre-Groep Hans de Groot 62-70 2002")</f>
        <v>0</v>
      </c>
    </row>
    <row r="783" spans="2:4">
      <c r="B783">
        <v>100</v>
      </c>
      <c r="C783" s="1">
        <f>hyperlink("https://hetutrechtsarchief.nl/collectie/D4C9DCB164D85C5694F985225043B429","Van Biltsch Fanfarecorps tot Koninklijke Biltse Harmonie ofwel het verhaal van een eerbiedwaardige 102-jarige Truus de Bruijn 71-80 2002")</f>
        <v>0</v>
      </c>
      <c r="D783" s="1">
        <f>hyperlink("http://dspace.library.uu.nl/handle/1874/211845","Van Biltsch Fanfarecorps tot Koninklijke Biltse Harmonie ofwel het verhaal van een eerbiedwaardige 102-jarige Truus de Bruijn 71-80 2002")</f>
        <v>0</v>
      </c>
    </row>
    <row r="784" spans="2:4">
      <c r="B784">
        <v>100</v>
      </c>
      <c r="C784" s="1">
        <f>hyperlink("https://hetutrechtsarchief.nl/collectie/176E05307EBC54229A693449F58CBCA9","SCHC een Bilthovense vereniging Frans Nas 89-98 2002")</f>
        <v>0</v>
      </c>
      <c r="D784" s="1">
        <f>hyperlink("http://dspace.library.uu.nl/handle/1874/211846","SCHC een Bilthovense vereniging Frans Nas 89-98 2002")</f>
        <v>0</v>
      </c>
    </row>
    <row r="785" spans="2:4">
      <c r="B785">
        <v>100</v>
      </c>
      <c r="C785" s="1">
        <f>hyperlink("https://hetutrechtsarchief.nl/collectie/02D734FFDCCE565CB1E540DF0B1E549A","Onrust in de Leyen Truus de Bruijn 98-100 2002")</f>
        <v>0</v>
      </c>
      <c r="D785" s="1">
        <f>hyperlink("http://dspace.library.uu.nl/handle/1874/211847","Onrust in de Leyen Truus de Bruijn 98-100 2002")</f>
        <v>0</v>
      </c>
    </row>
    <row r="786" spans="2:4">
      <c r="B786">
        <v>63</v>
      </c>
      <c r="C786" s="1">
        <f>hyperlink("https://hetutrechtsarchief.nl/collectie/3AB109B9AB28593587D235E2AB15D11B","Onze straatnamen oorsprong en betekenis 3 J H P Heesters 92-95 1998")</f>
        <v>0</v>
      </c>
      <c r="D786" s="1">
        <f>hyperlink("http://dspace.library.uu.nl/handle/1874/211848","Oostbroek en De Bilt oorsprong en betekenis van de namen J W H Meijer 2-5 1992")</f>
        <v>0</v>
      </c>
    </row>
    <row r="787" spans="2:4">
      <c r="B787">
        <v>64</v>
      </c>
      <c r="C787" s="1">
        <f>hyperlink("https://hetutrechtsarchief.nl/collectie/BCE441B640FA5ED48CB2080C9273E113","Interview met de heer J E van den Hoven Marga van Kleinwee 210-228 ill portr 1998")</f>
        <v>0</v>
      </c>
      <c r="D787" s="1">
        <f>hyperlink("http://dspace.library.uu.nl/handle/1874/211849","Interview met de Heer Olland Bert van Kooten 5-8 1992")</f>
        <v>0</v>
      </c>
    </row>
    <row r="788" spans="2:4">
      <c r="B788">
        <v>91</v>
      </c>
      <c r="C788" s="1">
        <f>hyperlink("https://hetutrechtsarchief.nl/collectie/5BF9C364CD7B5244BA502D53A09B5E2E","De Dorpsstraat en het verkeer in de vorige eeuw Tjitse Langerveld 34-40 2017")</f>
        <v>0</v>
      </c>
      <c r="D788" s="1">
        <f>hyperlink("http://dspace.library.uu.nl/handle/1874/211850","De Dorpsstraat en het verkeer in de vorige eeuw Tjitse Langerveld 8-12 1992")</f>
        <v>0</v>
      </c>
    </row>
    <row r="789" spans="2:4">
      <c r="B789">
        <v>59</v>
      </c>
      <c r="C789" s="1">
        <f>hyperlink("https://hetutrechtsarchief.nl/collectie/7CA88529B2B527F3E0534701000A9B73","De eerste mensen op Oostbroek Abe Postema 120-123 2018")</f>
        <v>0</v>
      </c>
      <c r="D789" s="1">
        <f>hyperlink("http://dspace.library.uu.nl/handle/1874/211851","Drie kroonluchters uit Beerschoten opgespoord Abe Postema 13-14 1992")</f>
        <v>0</v>
      </c>
    </row>
    <row r="790" spans="2:4">
      <c r="B790">
        <v>65</v>
      </c>
      <c r="C790" s="1">
        <f>hyperlink("https://hetutrechtsarchief.nl/collectie/EFE13AF6BB215BDB8C7F79420ACB70C0","Oude ansichten II De Biltse Fanfare Jan van der Heijden 60 1999")</f>
        <v>0</v>
      </c>
      <c r="D790" s="1">
        <f>hyperlink("http://dspace.library.uu.nl/handle/1874/211852","De kroniek van Henrica van Erp Jan van der Heijden 14-19 1992")</f>
        <v>0</v>
      </c>
    </row>
    <row r="791" spans="2:4">
      <c r="B791">
        <v>62</v>
      </c>
      <c r="C791" s="1">
        <f>hyperlink("https://hetutrechtsarchief.nl/collectie/C210B0E0BABC5889BB1516A5F468B593","De Bilt toen en nu Fred Meijer 20-21 2017")</f>
        <v>0</v>
      </c>
      <c r="D791" s="1">
        <f>hyperlink("http://dspace.library.uu.nl/handle/1874/211853","Biltse molens J W H Meijer 2-11 1993")</f>
        <v>0</v>
      </c>
    </row>
    <row r="792" spans="2:4">
      <c r="B792">
        <v>61</v>
      </c>
      <c r="C792" s="1">
        <f>hyperlink("https://hetutrechtsarchief.nl/collectie/997F9D94E05237E5E0534701000A214A","De Bilt toen en nu Abe Postema 114-115 2019")</f>
        <v>0</v>
      </c>
      <c r="D792" s="1">
        <f>hyperlink("http://dspace.library.uu.nl/handle/1874/211854","Tuingebouwen bij Sandwijck Abe Postema 13-15 1993")</f>
        <v>0</v>
      </c>
    </row>
    <row r="793" spans="2:4">
      <c r="B793">
        <v>65</v>
      </c>
      <c r="C793" s="1">
        <f>hyperlink("https://hetutrechtsarchief.nl/collectie/41AB654DEFA05F9E9FB956601C8AAC66","Herinneringen uit de oorlogstijd Gerrit Esser 14-19 2005")</f>
        <v>0</v>
      </c>
      <c r="D793" s="1">
        <f>hyperlink("http://dspace.library.uu.nl/handle/1874/211855","Herinneringen aan Tuindorp Gerrit Bos 16-19 1993")</f>
        <v>0</v>
      </c>
    </row>
    <row r="794" spans="2:4">
      <c r="B794">
        <v>62</v>
      </c>
      <c r="C794" s="1">
        <f>hyperlink("https://hetutrechtsarchief.nl/collectie/CD33E9F336C6557D9EFAC17510F4ABE0","Een Utrechtsch ijslandvaarder in de 11de eeuw - G t D 1-2 1935")</f>
        <v>0</v>
      </c>
      <c r="D794" s="1">
        <f>hyperlink("http://dspace.library.uu.nl/handle/1874/211856","Een Utrechts dorp in vroeger eeuw Errata J W H Meijer 19-20 1993")</f>
        <v>0</v>
      </c>
    </row>
    <row r="795" spans="2:4">
      <c r="B795">
        <v>57</v>
      </c>
      <c r="C795" s="1">
        <f>hyperlink("https://hetutrechtsarchief.nl/collectie/A23B7DF79AC45430B3B9485D61B3A96B","De bevolkingsregisters van De Bilt Ellen Drees 66-69 2014")</f>
        <v>0</v>
      </c>
      <c r="D795" s="1">
        <f>hyperlink("http://dspace.library.uu.nl/handle/1874/211857","Armenzorg in De Bilt 1845-1912 Ellen Drees 2-9 1993")</f>
        <v>0</v>
      </c>
    </row>
    <row r="796" spans="2:4">
      <c r="B796">
        <v>60</v>
      </c>
      <c r="C796" s="1">
        <f>hyperlink("https://hetutrechtsarchief.nl/collectie/689635E1852A51E9A619AEB9FB233E9D","Oude huizennamen in ere hersteld - E 70 1929")</f>
        <v>0</v>
      </c>
      <c r="D796" s="1">
        <f>hyperlink("http://dspace.library.uu.nl/handle/1874/211858","De Hessenweg in beeld Henk Rietveld 12-15 1993")</f>
        <v>0</v>
      </c>
    </row>
    <row r="797" spans="2:4">
      <c r="B797">
        <v>56</v>
      </c>
      <c r="C797" s="1">
        <f>hyperlink("https://hetutrechtsarchief.nl/collectie/44E70DCE73275761BE7D22611FB0E13E","De oude band van kasteel De Haar met Kockengen en Spengen Arie A Manten 60-65 1998")</f>
        <v>0</v>
      </c>
      <c r="D797" s="1">
        <f>hyperlink("http://dspace.library.uu.nl/handle/1874/211859","De ouderdom van De Bilt vastgesteld aan de hand van scherven aardewerk Hans Fokkens 2-4 1993")</f>
        <v>0</v>
      </c>
    </row>
    <row r="798" spans="2:4">
      <c r="B798">
        <v>59</v>
      </c>
      <c r="C798" s="1">
        <f>hyperlink("https://hetutrechtsarchief.nl/collectie/C7BE4F836E595CC993531B90832D6F17","Bestrating in vroeger tijden S n 2-5 1948")</f>
        <v>0</v>
      </c>
      <c r="D798" s="1">
        <f>hyperlink("http://dspace.library.uu.nl/handle/1874/211860","Verhalen uit vervlogen tijden Geeske Menalda 9-14 1993")</f>
        <v>0</v>
      </c>
    </row>
    <row r="799" spans="2:4">
      <c r="B799">
        <v>54</v>
      </c>
      <c r="C799" s="1">
        <f>hyperlink("https://hetutrechtsarchief.nl/collectie/16F5D6CFD4305BD3ACE3A69C16FE981A","Pothuizen in Utrecht - v C 15-16 1969")</f>
        <v>0</v>
      </c>
      <c r="D799" s="1">
        <f>hyperlink("http://dspace.library.uu.nl/handle/1874/211861","Huize Zonneheuvel Richard Landman 15-16 1993")</f>
        <v>0</v>
      </c>
    </row>
    <row r="800" spans="2:4">
      <c r="B800">
        <v>54</v>
      </c>
      <c r="C800" s="1">
        <f>hyperlink("https://hetutrechtsarchief.nl/collectie/FCF7BCBCE25B5DE2B3959CAEB31D66B3","Het monument het station van Bilthoven Soestdijkseweg Noord 301 2010")</f>
        <v>0</v>
      </c>
      <c r="D800" s="1">
        <f>hyperlink("http://dspace.library.uu.nl/handle/1874/211862","130 jaar station De Bilt De Bilt-station station Bilthoven Peter Molog 17-19 1993")</f>
        <v>0</v>
      </c>
    </row>
    <row r="801" spans="2:4">
      <c r="B801">
        <v>63</v>
      </c>
      <c r="C801" s="1">
        <f>hyperlink("https://hetutrechtsarchief.nl/collectie/BE9674168FE1589487BE687760E733FA","De Leyen deel 5 Lies Haan-Beerends 25-34 2007")</f>
        <v>0</v>
      </c>
      <c r="D801" s="1">
        <f>hyperlink("http://dspace.library.uu.nl/handle/1874/211863","De strijd tegen volksziekte no 1 Lies Haan-Beerends 2-6 1993")</f>
        <v>0</v>
      </c>
    </row>
    <row r="802" spans="2:4">
      <c r="B802">
        <v>53</v>
      </c>
      <c r="C802" s="1">
        <f>hyperlink("https://hetutrechtsarchief.nl/collectie/26E45E42103D59AF987DF59E540039B4","Kees Crone over zijn vader C C S Crone een interview Marijke van Dorst 1-4 2011")</f>
        <v>0</v>
      </c>
      <c r="D802" s="1">
        <f>hyperlink("http://dspace.library.uu.nl/handle/1874/211864","365 dagen in het jaar in dienst con amore een interview met Hans Bronkhorst Shirley Overdulve 7-10 1993")</f>
        <v>0</v>
      </c>
    </row>
    <row r="803" spans="2:4">
      <c r="B803">
        <v>61</v>
      </c>
      <c r="C803" s="1">
        <f>hyperlink("https://hetutrechtsarchief.nl/collectie/2B82D4D771D55EB3AF462A5E199D644A","Oude ansichten III de school op Berg en Bosch te De Bilt Jan van der Heijden 80 1999")</f>
        <v>0</v>
      </c>
      <c r="D803" s="1">
        <f>hyperlink("http://dspace.library.uu.nl/handle/1874/211865","Beeldende kunst in Bergh en Bosch verslag van een speurtocht Jan van der Heijden 11-16 1993")</f>
        <v>0</v>
      </c>
    </row>
    <row r="804" spans="2:4">
      <c r="B804">
        <v>65</v>
      </c>
      <c r="C804" s="1">
        <f>hyperlink("https://hetutrechtsarchief.nl/collectie/2B82D4D771D55EB3AF462A5E199D644A","Oude ansichten III de school op Berg en Bosch te De Bilt Jan van der Heijden 80 1999")</f>
        <v>0</v>
      </c>
      <c r="D804" s="1">
        <f>hyperlink("http://dspace.library.uu.nl/handle/1874/211866","De belangrijkste kunstenaars van Berg en Bosch Jan van der Heijden 17-18 1993")</f>
        <v>0</v>
      </c>
    </row>
    <row r="805" spans="2:4">
      <c r="B805">
        <v>60</v>
      </c>
      <c r="C805" s="1">
        <f>hyperlink("https://hetutrechtsarchief.nl/collectie/D7E6F74DA218557EB267076016594884","Een aanbesteding in vroeger jaren 19-20 1998")</f>
        <v>0</v>
      </c>
      <c r="D805" s="1">
        <f>hyperlink("http://dspace.library.uu.nl/handle/1874/211867","Bezoek aan de zusters dominicanessen Pieter J Bangma 19-23 1993")</f>
        <v>0</v>
      </c>
    </row>
    <row r="806" spans="2:4">
      <c r="B806">
        <v>100</v>
      </c>
      <c r="C806" s="1">
        <f>hyperlink("https://hetutrechtsarchief.nl/collectie/066CF03DC29B5DEBBB544E2C213F4175","De kerk die nooit gebouwd werd Hans de Groot 8-10 2003")</f>
        <v>0</v>
      </c>
      <c r="D806" s="1">
        <f>hyperlink("http://dspace.library.uu.nl/handle/1874/211868","De kerk die nooit gebouwd werd Hans de Groot 8-10 2003")</f>
        <v>0</v>
      </c>
    </row>
    <row r="807" spans="2:4">
      <c r="B807">
        <v>100</v>
      </c>
      <c r="C807" s="1">
        <f>hyperlink("https://hetutrechtsarchief.nl/collectie/2837EAE5571A5906A3F732EAE07716E9","De Blaauwe Schorteldoek van boerderij tot villa Co Winnips 2-8 2003")</f>
        <v>0</v>
      </c>
      <c r="D807" s="1">
        <f>hyperlink("http://dspace.library.uu.nl/handle/1874/211869","De Blaauwe Schorteldoek van boerderij tot villa Co Winnips 2-8 2003")</f>
        <v>0</v>
      </c>
    </row>
    <row r="808" spans="2:4">
      <c r="B808">
        <v>100</v>
      </c>
      <c r="C808" s="1">
        <f>hyperlink("https://hetutrechtsarchief.nl/collectie/31DD746A98465E4997F3E3165B5CC428","Grensoverschrijdend verkeer een gemeente twee gemeenschappen Anne Doedens 11-14 2003")</f>
        <v>0</v>
      </c>
      <c r="D808" s="1">
        <f>hyperlink("http://dspace.library.uu.nl/handle/1874/211870","Grensoverschrijdend verkeer een gemeente twee gemeenschappen Anne Doedens 11-14 2003")</f>
        <v>0</v>
      </c>
    </row>
    <row r="809" spans="2:4">
      <c r="B809">
        <v>83</v>
      </c>
      <c r="C809" s="1">
        <f>hyperlink("https://hetutrechtsarchief.nl/collectie/676232BC47525A1BB1B640641A448A19","Testament van Peter van Wyck de laatste abt van Oostbroek overleden 18 november 1588 getranscribeerd door Truus de Bruijn met medew van Sjoukje Straub 19-20 2003")</f>
        <v>0</v>
      </c>
      <c r="D809" s="1">
        <f>hyperlink("http://dspace.library.uu.nl/handle/1874/211871","Testament van Peter van Wyck de laatste abt van Oostbroek overleden 18 november 1588 Sjoukje Bruijn Truus de Straub 19-20 2003")</f>
        <v>0</v>
      </c>
    </row>
    <row r="810" spans="2:4">
      <c r="B810">
        <v>55</v>
      </c>
      <c r="C810" s="1">
        <f>hyperlink("https://hetutrechtsarchief.nl/collectie/4320CEBA5C205E979CCAE57AB6277CC7","35 jaar VVD in Utrecht 1948 - 1983 1-28 1983")</f>
        <v>0</v>
      </c>
      <c r="D810" s="1">
        <f>hyperlink("http://dspace.library.uu.nl/handle/1874/211872","65 jaar Dr Van Everdingenschool 1928-1993 P J Bangma 2-11 1994")</f>
        <v>0</v>
      </c>
    </row>
    <row r="811" spans="2:4">
      <c r="B811">
        <v>63</v>
      </c>
      <c r="C811" s="1">
        <f>hyperlink("https://hetutrechtsarchief.nl/collectie/6D402123845E53409BDE212DDD57D91B","Het levensverhaal van de Vaart in Eemnes Henk van Hees 17-18 1999")</f>
        <v>0</v>
      </c>
      <c r="D811" s="1">
        <f>hyperlink("http://dspace.library.uu.nl/handle/1874/211873","Berg en Bosch het verhaal van een pati nt Anneke van Heertum 12-16 1994")</f>
        <v>0</v>
      </c>
    </row>
    <row r="812" spans="2:4">
      <c r="B812">
        <v>68</v>
      </c>
      <c r="C812" s="1">
        <f>hyperlink("https://hetutrechtsarchief.nl/collectie/8789FC3D22EE58518194D2E0D4D57C2C","Herinneringen van een verkeersagent Het waren er zes 2 1984")</f>
        <v>0</v>
      </c>
      <c r="D812" s="1">
        <f>hyperlink("http://dspace.library.uu.nl/handle/1874/211874","Herinneringen aan een postkantoor Ellen Drees 18-20 1994")</f>
        <v>0</v>
      </c>
    </row>
    <row r="813" spans="2:4">
      <c r="B813">
        <v>62</v>
      </c>
      <c r="C813" s="1">
        <f>hyperlink("https://hetutrechtsarchief.nl/collectie/08392215670C5120BD51DE67CFDC8F94","Een ernstige overtreding Jan van der Heijden 28-31 2011")</f>
        <v>0</v>
      </c>
      <c r="D813" s="1">
        <f>hyperlink("http://dspace.library.uu.nl/handle/1874/211875","Een brief aan de koning 5 juni 1829 Jan van der Heijden 2-8 1994")</f>
        <v>0</v>
      </c>
    </row>
    <row r="814" spans="2:4">
      <c r="B814">
        <v>56</v>
      </c>
      <c r="C814" s="1">
        <f>hyperlink("https://hetutrechtsarchief.nl/collectie/DDA80B577DF2517AB3769C465796A561","Een toevallige ontdekking Tjitse Langerveld 69-72 2000")</f>
        <v>0</v>
      </c>
      <c r="D814" s="1">
        <f>hyperlink("http://dspace.library.uu.nl/handle/1874/211876","Het klooster Oostbroek bakermat van De Bilt Tjitse Langerveld 9-18 1994")</f>
        <v>0</v>
      </c>
    </row>
    <row r="815" spans="2:4">
      <c r="B815">
        <v>69</v>
      </c>
      <c r="C815" s="1">
        <f>hyperlink("https://hetutrechtsarchief.nl/collectie/08392215670C5120BD51DE67CFDC8F94","Een ernstige overtreding Jan van der Heijden 28-31 2011")</f>
        <v>0</v>
      </c>
      <c r="D815" s="1">
        <f>hyperlink("http://dspace.library.uu.nl/handle/1874/211877","De Soestdijkseweg Jan van der Heijden 2-3 1994")</f>
        <v>0</v>
      </c>
    </row>
    <row r="816" spans="2:4">
      <c r="B816">
        <v>57</v>
      </c>
      <c r="C816" s="1">
        <f>hyperlink("https://hetutrechtsarchief.nl/collectie/84DA0DDB2FD759199ABFE1EF53822047","Cherry en Simon Dick Franssen 18-21 1984")</f>
        <v>0</v>
      </c>
      <c r="D816" s="1">
        <f>hyperlink("http://dspace.library.uu.nl/handle/1874/211878","De tolweg naar Soestdijk Frans Nas 3-11 1994")</f>
        <v>0</v>
      </c>
    </row>
    <row r="817" spans="2:4">
      <c r="B817">
        <v>60</v>
      </c>
      <c r="C817" s="1">
        <f>hyperlink("https://hetutrechtsarchief.nl/collectie/9946F46E575253988AD12D28D4527099","De Leyen deel 7 Lies Haan-Beerends 120-128 2007")</f>
        <v>0</v>
      </c>
      <c r="D817" s="1">
        <f>hyperlink("http://dspace.library.uu.nl/handle/1874/211879","Villapark Vogelzang Lies Haan-Beerends 12-19 1994")</f>
        <v>0</v>
      </c>
    </row>
    <row r="818" spans="2:4">
      <c r="B818">
        <v>57</v>
      </c>
      <c r="C818" s="1">
        <f>hyperlink("https://hetutrechtsarchief.nl/collectie/3E937F77F5445906948E269B6CDF6A64","Boerderij- en veldnamen te Soest omstreeks 1757 E Heupers 67-88 ill 1971")</f>
        <v>0</v>
      </c>
      <c r="D818" s="1">
        <f>hyperlink("http://dspace.library.uu.nl/handle/1874/211880","Boerderijen langs de Soestdijkseweg Ellen Drees 20-27 1994")</f>
        <v>0</v>
      </c>
    </row>
    <row r="819" spans="2:4">
      <c r="B819">
        <v>53</v>
      </c>
      <c r="C819" s="1">
        <f>hyperlink("https://hetutrechtsarchief.nl/collectie/9754B5BDF2CA552E9800271D23CD6C92","Een interessante ijdeltuit de autobiografie van Pieter Geyl Leen Dorsman 18-20 2010")</f>
        <v>0</v>
      </c>
      <c r="D819" s="1">
        <f>hyperlink("http://dspace.library.uu.nl/handle/1874/211881","Twee interessante prospectussen over Bilthoven-Noord J Postema A Menalda G Volders 2-20 1994")</f>
        <v>0</v>
      </c>
    </row>
    <row r="820" spans="2:4">
      <c r="B820">
        <v>55</v>
      </c>
      <c r="C820" s="1">
        <f>hyperlink("https://hetutrechtsarchief.nl/collectie/DC9E0C8AAED759489FBD7A5A14C36B8B","Een blik terug in de tijd 1937-1940 Lies Haan-Berends 82-90 2015")</f>
        <v>0</v>
      </c>
      <c r="D820" s="1">
        <f>hyperlink("http://dspace.library.uu.nl/handle/1874/211882","Een boerderij-inventaris in De Bilt in 1724 Gerrit Lankwarden 2-9 1995")</f>
        <v>0</v>
      </c>
    </row>
    <row r="821" spans="2:4">
      <c r="B821">
        <v>55</v>
      </c>
      <c r="C821" s="1">
        <f>hyperlink("https://hetutrechtsarchief.nl/collectie/C878536AEA6E55BFA9141BE2B49177C1","Roobolkapel vijftig jaar evangelie en gezelligheid gaan hand in hand Majne van de Merwe 3 ill 1994")</f>
        <v>0</v>
      </c>
      <c r="D821" s="1">
        <f>hyperlink("http://dspace.library.uu.nl/handle/1874/211883","Honderdvijftig jaar geleden een brief van De Bilt naar Bathmen in 1844 A P de Goede 10-15 1995")</f>
        <v>0</v>
      </c>
    </row>
    <row r="822" spans="2:4">
      <c r="B822">
        <v>56</v>
      </c>
      <c r="C822" s="1">
        <f>hyperlink("https://hetutrechtsarchief.nl/collectie/973FE8F9959859EB949DF2E6B9709B32","De schouwburg te Utrecht L E Bosch 161-169 1850")</f>
        <v>0</v>
      </c>
      <c r="D822" s="1">
        <f>hyperlink("http://dspace.library.uu.nl/handle/1874/211884","De vrouw achter Rietveld W Lokhorst 16-18 1995")</f>
        <v>0</v>
      </c>
    </row>
    <row r="823" spans="2:4">
      <c r="B823">
        <v>64</v>
      </c>
      <c r="C823" s="1">
        <f>hyperlink("https://hetutrechtsarchief.nl/collectie/7E9F2A0EB99A5C7A8207C934B441B4C9","De weg naar de hemel 3-17 2000")</f>
        <v>0</v>
      </c>
      <c r="D823" s="1">
        <f>hyperlink("http://dspace.library.uu.nl/handle/1874/211885","De weg naar Hees Hans L gers 19-20 1995")</f>
        <v>0</v>
      </c>
    </row>
    <row r="824" spans="2:4">
      <c r="B824">
        <v>59</v>
      </c>
      <c r="C824" s="1">
        <f>hyperlink("https://hetutrechtsarchief.nl/collectie/910F2A1116515B2890FD3DD240E82116","De oude archieven van de gemeente Harmelen K Heeringa 299-325 1922")</f>
        <v>0</v>
      </c>
      <c r="D824" s="1">
        <f>hyperlink("http://dspace.library.uu.nl/handle/1874/211886","De bevrijding in de gemeente De Bilt J C Brugman 2-5 1995")</f>
        <v>0</v>
      </c>
    </row>
    <row r="825" spans="2:4">
      <c r="B825">
        <v>64</v>
      </c>
      <c r="C825" s="1">
        <f>hyperlink("https://hetutrechtsarchief.nl/collectie/759D747951855F96B0BD4B43A2A19693","Herdenkingsmonument Rhijnauwen Arie van der Gaag 10-14 ill 1995")</f>
        <v>0</v>
      </c>
      <c r="D825" s="1">
        <f>hyperlink("http://dspace.library.uu.nl/handle/1874/211887","Het herdenkingsmonument bij Jagtlust E Schuler 5-14 1995")</f>
        <v>0</v>
      </c>
    </row>
    <row r="826" spans="2:4">
      <c r="B826">
        <v>55</v>
      </c>
      <c r="C826" s="1">
        <f>hyperlink("https://hetutrechtsarchief.nl/collectie/6F7A78F2749450838A160D7DB44C0234","De geschiedenis van de glasbak of waarin een kleine stad groot kan zijn Milena Veenis 36-40 2001")</f>
        <v>0</v>
      </c>
      <c r="D826" s="1">
        <f>hyperlink("http://dspace.library.uu.nl/handle/1874/211888","Het bevrijdingsfeest van 1913 in De Bilt hoe een klein dorp groot kan zijn Jos I M Cladder-Stinkens 15-19 1995")</f>
        <v>0</v>
      </c>
    </row>
    <row r="827" spans="2:4">
      <c r="B827">
        <v>61</v>
      </c>
      <c r="C827" s="1">
        <f>hyperlink("https://hetutrechtsarchief.nl/collectie/377D44E0BB465D388DC6450EAA100F2B","Bedrijvigheid in de Bilt rond 1800 Frans Nas 48-51 2000")</f>
        <v>0</v>
      </c>
      <c r="D827" s="1">
        <f>hyperlink("http://dspace.library.uu.nl/handle/1874/211889","Het bedrijvig verleden van De Bilt en Bilthoven Frans Nas 2-6 1995")</f>
        <v>0</v>
      </c>
    </row>
    <row r="828" spans="2:4">
      <c r="B828">
        <v>52</v>
      </c>
      <c r="C828" s="1">
        <f>hyperlink("https://hetutrechtsarchief.nl/collectie/D42A4A5492EB5AC98098171934B6062C","Beeld van den heiligen Johannes den Dooper - W 3 -19 1 pl 1839")</f>
        <v>0</v>
      </c>
      <c r="D828" s="1">
        <f>hyperlink("http://dspace.library.uu.nl/handle/1874/211890","Boomkweker en handelsman Johannes Barend Groenewegen Frans Nas 6-17 1995")</f>
        <v>0</v>
      </c>
    </row>
    <row r="829" spans="2:4">
      <c r="B829">
        <v>52</v>
      </c>
      <c r="C829" s="1">
        <f>hyperlink("https://hetutrechtsarchief.nl/collectie/2B82D4D771D55EB3AF462A5E199D644A","Oude ansichten III de school op Berg en Bosch te De Bilt Jan van der Heijden 80 1999")</f>
        <v>0</v>
      </c>
      <c r="D829" s="1">
        <f>hyperlink("http://dspace.library.uu.nl/handle/1874/211891","De tabaks- sigaretten- maar vooral de sigarenindustrie in De Bilt J I M Cladder-Stinkens 18-21 1995")</f>
        <v>0</v>
      </c>
    </row>
    <row r="830" spans="2:4">
      <c r="B830">
        <v>54</v>
      </c>
      <c r="C830" s="1">
        <f>hyperlink("https://hetutrechtsarchief.nl/collectie/BB5136F764ED5ABE8667C006C0C3DDED","Toren uit de 14e eeuw T J Hoekstra 22 ill 1974")</f>
        <v>0</v>
      </c>
      <c r="D830" s="1">
        <f>hyperlink("http://dspace.library.uu.nl/handle/1874/211892","Stoomwasserij De Sneeuwbal E J Drees 22-28 1995")</f>
        <v>0</v>
      </c>
    </row>
    <row r="831" spans="2:4">
      <c r="B831">
        <v>59</v>
      </c>
      <c r="C831" s="1">
        <f>hyperlink("https://hetutrechtsarchief.nl/collectie/3F81ABFE7DC05E37975398D95CFA72CB","Schatten van het gemeentehuis 2 Joop Piekema 8-12 ill 1998")</f>
        <v>0</v>
      </c>
      <c r="D831" s="1">
        <f>hyperlink("http://dspace.library.uu.nl/handle/1874/211893","Jagtlust - van Uithof tot gemeentehuis J W H Meijer 2-16 1995")</f>
        <v>0</v>
      </c>
    </row>
    <row r="832" spans="2:4">
      <c r="B832">
        <v>60</v>
      </c>
      <c r="C832" s="1">
        <f>hyperlink("https://hetutrechtsarchief.nl/collectie/09B84C109B1757498315F7FE65D34529","De abdij van Oostbroek en het vrouwenklooster G Brom 331-372 1907")</f>
        <v>0</v>
      </c>
      <c r="D832" s="1">
        <f>hyperlink("http://dspace.library.uu.nl/handle/1874/211894","Middeleeuws aardewerk uit het vrouwenklooster Abe Postema 4-7 1993")</f>
        <v>0</v>
      </c>
    </row>
    <row r="833" spans="2:4">
      <c r="B833">
        <v>60</v>
      </c>
      <c r="C833" s="1">
        <f>hyperlink("https://hetutrechtsarchief.nl/collectie/8B81C08B09012FACE0534701000AC0AA","Minder last van de webshop Anna Sterk 5 2019")</f>
        <v>0</v>
      </c>
      <c r="D833" s="1">
        <f>hyperlink("http://dspace.library.uu.nl/handle/1874/211895","De vlag van De Bilt Rens Kersten 20 1995")</f>
        <v>0</v>
      </c>
    </row>
    <row r="834" spans="2:4">
      <c r="B834">
        <v>56</v>
      </c>
      <c r="C834" s="1">
        <f>hyperlink("https://hetutrechtsarchief.nl/collectie/D11108286DA60DCCE0538F04000A234D","Zondagmorgen in Amerongen Leo van Putten 8-12 2021")</f>
        <v>0</v>
      </c>
      <c r="D834" s="1">
        <f>hyperlink("http://dspace.library.uu.nl/handle/1874/211896","Maandagmorgenstemming M H Catoen 12 1993")</f>
        <v>0</v>
      </c>
    </row>
    <row r="835" spans="2:4">
      <c r="B835">
        <v>55</v>
      </c>
      <c r="C835" s="1">
        <f>hyperlink("https://hetutrechtsarchief.nl/collectie/2E42D48EABBA5A00A657747ACDD0EA12","Het Biltsche Meertje een levensgeschiedenis Hans de Groot 2-7 ill portr 1999")</f>
        <v>0</v>
      </c>
      <c r="D835" s="1">
        <f>hyperlink("http://dspace.library.uu.nl/handle/1874/211897","Kunstgroep Bilthoven een stukje Biltse kunstgeschiedenis in de jaren twintig Ruby Hartgring 8 1993")</f>
        <v>0</v>
      </c>
    </row>
    <row r="836" spans="2:4">
      <c r="B836">
        <v>59</v>
      </c>
      <c r="C836" s="1">
        <f>hyperlink("https://hetutrechtsarchief.nl/collectie/8B8F5B83AE1B57588316CB9BDF2EC5EB","Licht in de duisternis in De Bilt J W H Meijer 1-3 ill 1992")</f>
        <v>0</v>
      </c>
      <c r="D836" s="1">
        <f>hyperlink("http://dspace.library.uu.nl/handle/1874/211898","In 1528 stond de tijd stil in het Vrouwenklooster J W H Meijer 11 1993")</f>
        <v>0</v>
      </c>
    </row>
    <row r="837" spans="2:4">
      <c r="B837">
        <v>52</v>
      </c>
      <c r="C837" s="1">
        <f>hyperlink("https://hetutrechtsarchief.nl/collectie/39DAE6C40553548EAB2B0998D5E08803","Mr A C G ridder van Rappard 190-192 1861")</f>
        <v>0</v>
      </c>
      <c r="D837" s="1">
        <f>hyperlink("http://dspace.library.uu.nl/handle/1874/211899","9 maart 1566 Margaretha van Parma 19 1994")</f>
        <v>0</v>
      </c>
    </row>
    <row r="838" spans="2:4">
      <c r="B838">
        <v>58</v>
      </c>
      <c r="C838" s="1">
        <f>hyperlink("https://hetutrechtsarchief.nl/collectie/EE2B0C092BA95BF2A8C417CDE94E5096","Cabinet van ongewoone saecken J W H Meijer 77-79 1999")</f>
        <v>0</v>
      </c>
      <c r="D838" s="1">
        <f>hyperlink("http://dspace.library.uu.nl/handle/1874/211900","Bouwvakkers op Beerschoten J W H Meijer 20 1994")</f>
        <v>0</v>
      </c>
    </row>
    <row r="839" spans="2:4">
      <c r="B839">
        <v>55</v>
      </c>
      <c r="C839" s="1">
        <f>hyperlink("https://hetutrechtsarchief.nl/collectie/48207CDA8E4159E5B81AF672C4DF91C2","In memoriam Prof Dr F E Daubanton Dr J R Slotemaker de Bru ne 200-202 1921")</f>
        <v>0</v>
      </c>
      <c r="D839" s="1">
        <f>hyperlink("http://dspace.library.uu.nl/handle/1874/211901","Huize Poll - na felle brand een zwartgeblakerde ru ne 20 1993")</f>
        <v>0</v>
      </c>
    </row>
    <row r="840" spans="2:4">
      <c r="B840">
        <v>53</v>
      </c>
      <c r="C840" s="1">
        <f>hyperlink("https://hetutrechtsarchief.nl/collectie/9A6EAD91117155D6A28CA6D08E0A4A60","De lamme koning G T Haneveld 14-16 1994")</f>
        <v>0</v>
      </c>
      <c r="D840" s="1">
        <f>hyperlink("http://dspace.library.uu.nl/handle/1874/211902","De museumgroep Berg en Bosch Piet Zonneveld 24 1993")</f>
        <v>0</v>
      </c>
    </row>
    <row r="841" spans="2:4">
      <c r="B841">
        <v>60</v>
      </c>
      <c r="C841" s="1">
        <f>hyperlink("https://hetutrechtsarchief.nl/collectie/5A9EF03C77F85FF48E5DDC1C59E67E88","De Kruiskerk in de Amstelhoek Anton van Hilten 17-20 2008")</f>
        <v>0</v>
      </c>
      <c r="D841" s="1">
        <f>hyperlink("http://dspace.library.uu.nl/handle/1874/211903","Een Amerikaansch wonder te Bilthoven een inwoner van Bilthoven 18-20 2001")</f>
        <v>0</v>
      </c>
    </row>
    <row r="842" spans="2:4">
      <c r="B842">
        <v>90</v>
      </c>
      <c r="C842" s="1">
        <f>hyperlink("https://hetutrechtsarchief.nl/collectie/F0596DD549DA554AA681152EEE5B6DBD","Kiek nou toch s effe an fraai gebeeldhouwde stenen palen markeren provinciegrens Koos Kolenbrander foto s Frans van Reenen 22-24 2003")</f>
        <v>0</v>
      </c>
      <c r="D842" s="1">
        <f>hyperlink("http://dspace.library.uu.nl/handle/1874/212052","Kiek nou toch s effe an fraai gebeeldhouwde stenen palen markeren provinciegrens Koos Kolenbrander 22-24 2003")</f>
        <v>0</v>
      </c>
    </row>
    <row r="843" spans="2:4">
      <c r="B843">
        <v>87</v>
      </c>
      <c r="C843" s="1">
        <f>hyperlink("https://hetutrechtsarchief.nl/collectie/2CEC384008475F6CB7C0D419E8E1D2E3","Ontstaansgeschiedenis en ontwikkeling van De Bilt en Bilthoven Lies Haan-Beerends 36-40 2003")</f>
        <v>0</v>
      </c>
      <c r="D843" s="1">
        <f>hyperlink("http://dspace.library.uu.nl/handle/1874/212053","Ontstaansgeschiedenis en ontwikkeling van De Bilt en Bilthoven Lies Haan-Beerends 36-40 jg 13 2004 nr 1 p 2-10 2003-2004")</f>
        <v>0</v>
      </c>
    </row>
    <row r="844" spans="2:4">
      <c r="B844">
        <v>100</v>
      </c>
      <c r="C844" s="1">
        <f>hyperlink("https://hetutrechtsarchief.nl/collectie/8B31390CB0AF55A3AFA3BACF779FB5CA","Zoek blijf zoeken en gij zult van alles vinden of verslag van een speurtocht Co de Swart 42-46 2003")</f>
        <v>0</v>
      </c>
      <c r="D844" s="1">
        <f>hyperlink("http://dspace.library.uu.nl/handle/1874/212054","Zoek blijf zoeken en gij zult van alles vinden of verslag van een speurtocht Co de Swart 42-46 2003")</f>
        <v>0</v>
      </c>
    </row>
    <row r="845" spans="2:4">
      <c r="B845">
        <v>100</v>
      </c>
      <c r="C845" s="1">
        <f>hyperlink("https://hetutrechtsarchief.nl/collectie/8F132E8C4AF4516F93B7341471784526","De luchtoorlog boven onze gemeente J C Brugman 46-49 2003")</f>
        <v>0</v>
      </c>
      <c r="D845" s="1">
        <f>hyperlink("http://dspace.library.uu.nl/handle/1874/212055","De luchtoorlog boven onze gemeente J C Brugman 46-49 2003")</f>
        <v>0</v>
      </c>
    </row>
    <row r="846" spans="2:4">
      <c r="B846">
        <v>100</v>
      </c>
      <c r="C846" s="1">
        <f>hyperlink("https://hetutrechtsarchief.nl/collectie/C2FC79DE062552A68B5E999804BB8396","Boerderij Larenstein mijn geboorteplek waar ik 27 jaar heb gewoond Fien Hamstra-van der Grift 50-55 2003")</f>
        <v>0</v>
      </c>
      <c r="D846" s="1">
        <f>hyperlink("http://dspace.library.uu.nl/handle/1874/212056","Boerderij Larenstein mijn geboorteplek waar ik 27 jaar heb gewoond Fien Hamstra-van der Grift 50-55 2003")</f>
        <v>0</v>
      </c>
    </row>
    <row r="847" spans="2:4">
      <c r="B847">
        <v>100</v>
      </c>
      <c r="C847" s="1">
        <f>hyperlink("https://hetutrechtsarchief.nl/collectie/C965B0C9EE19560DB2E54FDAF176554C","Verhalen uit het leven van Zuster Mur Lies Haan-Beerends 56-60 2003")</f>
        <v>0</v>
      </c>
      <c r="D847" s="1">
        <f>hyperlink("http://dspace.library.uu.nl/handle/1874/212057","Verhalen uit het leven van Zuster Mur Lies Haan-Beerends 56-60 2003")</f>
        <v>0</v>
      </c>
    </row>
    <row r="848" spans="2:4">
      <c r="B848">
        <v>100</v>
      </c>
      <c r="C848" s="1">
        <f>hyperlink("https://hetutrechtsarchief.nl/collectie/5F9FC8E3190B516A86387201933E50B1","De oude gemeentewapens van De Bilt Maartensdijk Achttienhoven en Westbroek Jan van der Heijden 64-73 2003")</f>
        <v>0</v>
      </c>
      <c r="D848" s="1">
        <f>hyperlink("http://dspace.library.uu.nl/handle/1874/212058","De oude gemeentewapens van De Bilt Maartensdijk Achttienhoven en Westbroek Jan van der Heijden 64-73 2003")</f>
        <v>0</v>
      </c>
    </row>
    <row r="849" spans="2:4">
      <c r="B849">
        <v>60</v>
      </c>
      <c r="C849" s="1">
        <f>hyperlink("https://hetutrechtsarchief.nl/collectie/FBE3E524BAAD543192596795EE3500CD","Tollen in De Bilt L Koops 74 2003")</f>
        <v>0</v>
      </c>
      <c r="D849" s="1">
        <f>hyperlink("http://dspace.library.uu.nl/handle/1874/212059","Tollen in De Bilt Ard Koops L Barendsen 74 jg 13 2004 nr 2 p 58 2003-2004")</f>
        <v>0</v>
      </c>
    </row>
    <row r="850" spans="2:4">
      <c r="B850">
        <v>100</v>
      </c>
      <c r="C850" s="1">
        <f>hyperlink("https://hetutrechtsarchief.nl/collectie/B94FE101F0B957479B1D5CD6B10899E0","Luchtaanvallen J C Brugman 75-80 2003")</f>
        <v>0</v>
      </c>
      <c r="D850" s="1">
        <f>hyperlink("http://dspace.library.uu.nl/handle/1874/212060","Luchtaanvallen J C Brugman 75-80 2003")</f>
        <v>0</v>
      </c>
    </row>
    <row r="851" spans="2:4">
      <c r="B851">
        <v>100</v>
      </c>
      <c r="C851" s="1">
        <f>hyperlink("https://hetutrechtsarchief.nl/collectie/1A43D2DC0411563EB6AE93E6DA172573","Cornelis van Ravenswaay waarnemend burgemeester van De Bilt 1943-1945 Jan van der Heijden 11-25 2004")</f>
        <v>0</v>
      </c>
      <c r="D851" s="1">
        <f>hyperlink("http://dspace.library.uu.nl/handle/1874/212061","Cornelis van Ravenswaay waarnemend burgemeester van De Bilt 1943-1945 Jan van der Heijden 11-25 2004")</f>
        <v>0</v>
      </c>
    </row>
    <row r="852" spans="2:4">
      <c r="B852">
        <v>100</v>
      </c>
      <c r="C852" s="1">
        <f>hyperlink("https://hetutrechtsarchief.nl/collectie/9BC3D204EF0E5671BB8382DD25F7E2B1","Het drama in Westbroek op 5 mei 1945 J C Brugman 25-32 2004")</f>
        <v>0</v>
      </c>
      <c r="D852" s="1">
        <f>hyperlink("http://dspace.library.uu.nl/handle/1874/212062","Het drama in Westbroek op 5 mei 1945 J C Brugman 25-32 2004")</f>
        <v>0</v>
      </c>
    </row>
    <row r="853" spans="2:4">
      <c r="B853">
        <v>100</v>
      </c>
      <c r="C853" s="1">
        <f>hyperlink("https://hetutrechtsarchief.nl/collectie/6E69FC69BDE256BCA7BC0285B340A4DC","Van onbesproken gedrag herders leraren en onderwijzers in De Bilt Maartensdijk en Westbroek in de zeventiende en achttiende eeuw Anne Doedens 34-43 2004")</f>
        <v>0</v>
      </c>
      <c r="D853" s="1">
        <f>hyperlink("http://dspace.library.uu.nl/handle/1874/212063","Van onbesproken gedrag herders leraren en onderwijzers in De Bilt Maartensdijk en Westbroek in de zeventiende en achttiende eeuw Anne Doedens 34-43 2004")</f>
        <v>0</v>
      </c>
    </row>
    <row r="854" spans="2:4">
      <c r="B854">
        <v>100</v>
      </c>
      <c r="C854" s="1">
        <f>hyperlink("https://hetutrechtsarchief.nl/collectie/A4F9571AA7785AA5B54849715B649CAD","Jacobus van Drie woonde in Bilthoven met een geit in huis Koos Kolenbrander 52-56 2004")</f>
        <v>0</v>
      </c>
      <c r="D854" s="1">
        <f>hyperlink("http://dspace.library.uu.nl/handle/1874/212064","Jacobus van Drie woonde in Bilthoven met een geit in huis Koos Kolenbrander 52-56 2004")</f>
        <v>0</v>
      </c>
    </row>
    <row r="855" spans="2:4">
      <c r="B855">
        <v>85</v>
      </c>
      <c r="C855" s="1">
        <f>hyperlink("https://hetutrechtsarchief.nl/collectie/A0174B8768A55C46AA70E12925DDABBE","Een Biltse familie I Ernst H Strubbe en Ellen Drees 57 2004")</f>
        <v>0</v>
      </c>
      <c r="D855" s="1">
        <f>hyperlink("http://dspace.library.uu.nl/handle/1874/212065","Een Biltse familie I Ellen Strubbe Ernst H Drees 57 2004")</f>
        <v>0</v>
      </c>
    </row>
    <row r="856" spans="2:4">
      <c r="B856">
        <v>100</v>
      </c>
      <c r="C856" s="1">
        <f>hyperlink("https://hetutrechtsarchief.nl/collectie/D9675BC7BD84550DB60CE4E2EC408330","Het aandeel van De Bilt in de verdrijving der Engelsen en Russen in het najaar van 1799 P H Damst 59-64 2004")</f>
        <v>0</v>
      </c>
      <c r="D856" s="1">
        <f>hyperlink("http://dspace.library.uu.nl/handle/1874/212066","Het aandeel van De Bilt in de verdrijving der Engelsen en Russen in het najaar van 1799 P H Damst 59-64 2004")</f>
        <v>0</v>
      </c>
    </row>
    <row r="857" spans="2:4">
      <c r="B857">
        <v>82</v>
      </c>
      <c r="C857" s="1">
        <f>hyperlink("https://hetutrechtsarchief.nl/collectie/DC9E8D23530059E1B12CE21F8E4B2ADF","Bilthoven in de hongerwinter grepen uit het dagboek van Luise Kramer-Scheffels vert en bew door J J Vos 66-75 2004")</f>
        <v>0</v>
      </c>
      <c r="D857" s="1">
        <f>hyperlink("http://dspace.library.uu.nl/handle/1874/212067","Bilthoven in de hongerwinter grepen uit het dagboek van Luise Kramer-Scheffels vertaald en bewerkt door J J Vos J Ph Kramer-Scheffels Luise Vos J J Wolff 66-75 2004")</f>
        <v>0</v>
      </c>
    </row>
    <row r="858" spans="2:4">
      <c r="B858">
        <v>100</v>
      </c>
      <c r="C858" s="1">
        <f>hyperlink("https://hetutrechtsarchief.nl/collectie/0E8A6B457AE55E0090526BCC4AD1B31F","9 oktober 1944 een rampdag voor onze gemeente J C Brugman 90-95 2004")</f>
        <v>0</v>
      </c>
      <c r="D858" s="1">
        <f>hyperlink("http://dspace.library.uu.nl/handle/1874/212068","9 oktober 1944 een rampdag voor onze gemeente J C Brugman 90-95 2004")</f>
        <v>0</v>
      </c>
    </row>
    <row r="859" spans="2:4">
      <c r="B859">
        <v>88</v>
      </c>
      <c r="C859" s="1">
        <f>hyperlink("https://hetutrechtsarchief.nl/collectie/2D88171B00B35D4D828719F7940C59C2","KNMI 150 jaar onderzoek naar het weer en meer Rob Herber en Tjitse Langerveld 98-108 2004")</f>
        <v>0</v>
      </c>
      <c r="D859" s="1">
        <f>hyperlink("http://dspace.library.uu.nl/handle/1874/212069","KNMI 150 jaar onderzoek naar het weer en meer Tjitse Herber Rob Langerveld 98-108 2004")</f>
        <v>0</v>
      </c>
    </row>
    <row r="860" spans="2:4">
      <c r="B860">
        <v>100</v>
      </c>
      <c r="C860" s="1">
        <f>hyperlink("https://hetutrechtsarchief.nl/collectie/698286FE2DA7593A9C15AFB346341DF3","Verdediging van de oostelijke toegang tot Utrecht J C Brugman 109-115 2004")</f>
        <v>0</v>
      </c>
      <c r="D860" s="1">
        <f>hyperlink("http://dspace.library.uu.nl/handle/1874/212070","Verdediging van de oostelijke toegang tot Utrecht J C Brugman 109-115 2004")</f>
        <v>0</v>
      </c>
    </row>
    <row r="861" spans="2:4">
      <c r="B861">
        <v>61</v>
      </c>
      <c r="C861" s="1">
        <f>hyperlink("https://hetutrechtsarchief.nl/collectie/4EA7FE0EAB75566297FA0422278FEF75","Het Nieuwe Lyceum 1935-1945 de zorgzame school Wim Krommenhoek 118-128 2004")</f>
        <v>0</v>
      </c>
      <c r="D861" s="1">
        <f>hyperlink("http://dspace.library.uu.nl/handle/1874/212072","Het Nieuwe Lyceum 1935-1945 Wim Krommenhoek 76-89 nr 4 p 118-128 jg 14 2005 nr 1 p 7-14 nr 2 p 42-51 2004-2005")</f>
        <v>0</v>
      </c>
    </row>
    <row r="862" spans="2:4">
      <c r="B862">
        <v>100</v>
      </c>
      <c r="C862" s="1">
        <f>hyperlink("https://hetutrechtsarchief.nl/collectie/5E5DAACEC41B5000973D4D075415FEF4","Bloemisterij Kweeklust aan de Gezichtslaan Koos Kolenbrander 2-7 2005")</f>
        <v>0</v>
      </c>
      <c r="D862" s="1">
        <f>hyperlink("http://dspace.library.uu.nl/handle/1874/212073","Bloemisterij Kweeklust aan de Gezichtslaan Koos Kolenbrander 2-7 2005")</f>
        <v>0</v>
      </c>
    </row>
    <row r="863" spans="2:4">
      <c r="B863">
        <v>100</v>
      </c>
      <c r="C863" s="1">
        <f>hyperlink("https://hetutrechtsarchief.nl/collectie/B1E2790048BF50349119B60B0E9809D4","1787 de burgeroorlog tussen patriotten en prinsgezinden ook in De Bilt Rob Herber 14-25 2005")</f>
        <v>0</v>
      </c>
      <c r="D863" s="1">
        <f>hyperlink("http://dspace.library.uu.nl/handle/1874/212074","1787 de burgeroorlog tussen patriotten en prinsgezinden ook in De Bilt Rob Herber 14-25 2005")</f>
        <v>0</v>
      </c>
    </row>
    <row r="864" spans="2:4">
      <c r="B864">
        <v>100</v>
      </c>
      <c r="C864" s="1">
        <f>hyperlink("https://hetutrechtsarchief.nl/collectie/90AD03E410B051C1B625CE6B83CCDC05","Nationaal feest om de staatsregeling van 1798 P H Damst 26-31 2005")</f>
        <v>0</v>
      </c>
      <c r="D864" s="1">
        <f>hyperlink("http://dspace.library.uu.nl/handle/1874/212076","Nationaal feest om de staatsregeling van 1798 P H Damst 26-31 2005")</f>
        <v>0</v>
      </c>
    </row>
    <row r="865" spans="2:4">
      <c r="B865">
        <v>98</v>
      </c>
      <c r="C865" s="1">
        <f>hyperlink("https://hetutrechtsarchief.nl/collectie/033D771564925B1A9F3BF148CF5766E5","Het verzet in onze gemeente Hans Brugman 34-41 2004")</f>
        <v>0</v>
      </c>
      <c r="D865" s="1">
        <f>hyperlink("http://dspace.library.uu.nl/handle/1874/212077","Het verzet in onze gemeente Hans Brugman 34-41 2005")</f>
        <v>0</v>
      </c>
    </row>
    <row r="866" spans="2:4">
      <c r="B866">
        <v>100</v>
      </c>
      <c r="C866" s="1">
        <f>hyperlink("https://hetutrechtsarchief.nl/collectie/D01AE1DE6154504190CD96A0CF1964D0","Kom of bel Van Huizen heeft het wel Hans de Groot 52-60 2005")</f>
        <v>0</v>
      </c>
      <c r="D866" s="1">
        <f>hyperlink("http://dspace.library.uu.nl/handle/1874/212078","Kom of bel Van Huizen heeft het wel Hans de Groot 52-60 2005")</f>
        <v>0</v>
      </c>
    </row>
    <row r="867" spans="2:4">
      <c r="B867">
        <v>78</v>
      </c>
      <c r="C867" s="1">
        <f>hyperlink("https://hetutrechtsarchief.nl/collectie/1376C05630E85AA78A0E4D73A15A9731","Een dorp betrapt fraude in de Bilt een samenleving weerspiegeld 1875-1895 Anne Doedens en Jos Cladder 60-63 2005")</f>
        <v>0</v>
      </c>
      <c r="D867" s="1">
        <f>hyperlink("http://dspace.library.uu.nl/handle/1874/212080","Een dorp betrapt fraude in de Bilt een samenleving weerspiegeld 1875-1895 Jos Doedens Anne Cladder 60-63 nr 4 p 98-111 jg 15 2006 nr 1 p 2-20 2005-2006")</f>
        <v>0</v>
      </c>
    </row>
    <row r="868" spans="2:4">
      <c r="B868">
        <v>100</v>
      </c>
      <c r="C868" s="1">
        <f>hyperlink("https://hetutrechtsarchief.nl/collectie/DC6580E37E90596CB71A14CB1DC7AD5F","En de boom hij leefde voort Ellen Drees 66-72 2005")</f>
        <v>0</v>
      </c>
      <c r="D868" s="1">
        <f>hyperlink("http://dspace.library.uu.nl/handle/1874/212081","En de boom hij leefde voort Ellen Drees 66-72 2005")</f>
        <v>0</v>
      </c>
    </row>
    <row r="869" spans="2:4">
      <c r="B869">
        <v>100</v>
      </c>
      <c r="C869" s="1">
        <f>hyperlink("https://hetutrechtsarchief.nl/collectie/73E2B675C47B54E9B1B8DD34FF6D5706","Politieke moord in laatmiddeleeuws De Bilt Hoeken en Kabeljauwen in onze gemeente Anne Doedens 72-77 2005")</f>
        <v>0</v>
      </c>
      <c r="D869" s="1">
        <f>hyperlink("http://dspace.library.uu.nl/handle/1874/212082","Politieke moord in laatmiddeleeuws De Bilt Hoeken en Kabeljauwen in onze gemeente Anne Doedens 72-77 2005")</f>
        <v>0</v>
      </c>
    </row>
    <row r="870" spans="2:4">
      <c r="B870">
        <v>73</v>
      </c>
      <c r="C870" s="1">
        <f>hyperlink("https://hetutrechtsarchief.nl/collectie/27124B9FD77A57809E77FDE657631E07","De Hollandsche patent metaalindustrie deel 1 het bedrijf in Utrecht Herbert Kuner 78-86 2005")</f>
        <v>0</v>
      </c>
      <c r="D870" s="1">
        <f>hyperlink("http://dspace.library.uu.nl/handle/1874/212083","De Hollandsche patent metaalindustrie Herbert Kuner 78-86 nr 4 p 125-128 2005")</f>
        <v>0</v>
      </c>
    </row>
    <row r="871" spans="2:4">
      <c r="B871">
        <v>100</v>
      </c>
      <c r="C871" s="1">
        <f>hyperlink("https://hetutrechtsarchief.nl/collectie/B58E0BE5D2175AD2B69F59E706DC51AF","Opgravingen in de Dorpsstraat mei 2005 Ellen Drees 95-96 2005")</f>
        <v>0</v>
      </c>
      <c r="D871" s="1">
        <f>hyperlink("http://dspace.library.uu.nl/handle/1874/212084","Opgravingen in de Dorpsstraat mei 2005 Ellen Drees 95-96 2005")</f>
        <v>0</v>
      </c>
    </row>
    <row r="872" spans="2:4">
      <c r="B872">
        <v>99</v>
      </c>
      <c r="C872" s="1">
        <f>hyperlink("https://hetutrechtsarchief.nl/collectie/B303293C8DD951419B363EAAE36F6CFF","Het Nieuwe Lyceum 1945-1955 de 10-jarige klassieke taalstrijd W Krommenhoek 118-124 2005")</f>
        <v>0</v>
      </c>
      <c r="D872" s="1">
        <f>hyperlink("http://dspace.library.uu.nl/handle/1874/212085","Het Nieuwe Lyceum 1945-1955 de 10-jarige klassieke taalstrijd Wim Krommenhoek 118-124 2005")</f>
        <v>0</v>
      </c>
    </row>
    <row r="873" spans="2:4">
      <c r="B873">
        <v>69</v>
      </c>
      <c r="C873" s="1">
        <f>hyperlink("https://hetutrechtsarchief.nl/collectie/B52FA4F97CB65D738BB5131B9D8DA2B9","Jubileum ansichtkaarten De Bilt Bilthoven 17-24 2007")</f>
        <v>0</v>
      </c>
      <c r="D873" s="1">
        <f>hyperlink("http://dspace.library.uu.nl/handle/1874/212086","Jubileum ansichten 16-24 2007")</f>
        <v>0</v>
      </c>
    </row>
    <row r="874" spans="2:4">
      <c r="B874">
        <v>100</v>
      </c>
      <c r="C874" s="1">
        <f>hyperlink("https://hetutrechtsarchief.nl/collectie/86F4D810C5AC5FC09F89351DBD77B462","Monumenten in De Bilt Burgemeester de Withstraat 31 De Bilt Redactie van de Biltse Grift 30-31 2006")</f>
        <v>0</v>
      </c>
      <c r="D874" s="1">
        <f>hyperlink("http://dspace.library.uu.nl/handle/1874/212087","Monumenten in De Bilt Burgemeester de Withstraat 31 De Bilt Redactie van de Biltse Grift 30-31 2006")</f>
        <v>0</v>
      </c>
    </row>
    <row r="875" spans="2:4">
      <c r="B875">
        <v>100</v>
      </c>
      <c r="C875" s="1">
        <f>hyperlink("https://hetutrechtsarchief.nl/collectie/E33B9D0F9FC255BCAE4FA6ECFFDB61BD","Nico Bloembergen fysicus in licht Rob Herber 34-49 2006")</f>
        <v>0</v>
      </c>
      <c r="D875" s="1">
        <f>hyperlink("http://dspace.library.uu.nl/handle/1874/212088","Nico Bloembergen fysicus in licht Rob Herber 34-49 2006")</f>
        <v>0</v>
      </c>
    </row>
    <row r="876" spans="2:4">
      <c r="B876">
        <v>100</v>
      </c>
      <c r="C876" s="1">
        <f>hyperlink("https://hetutrechtsarchief.nl/collectie/34C5127F9407507E8F19C0CC70AAFC40","Boerderij Weltevreden Wim Krommenhoek 52-53 2006")</f>
        <v>0</v>
      </c>
      <c r="D876" s="1">
        <f>hyperlink("http://dspace.library.uu.nl/handle/1874/212089","Boerderij Weltevreden Wim Krommenhoek 52-53 2006")</f>
        <v>0</v>
      </c>
    </row>
    <row r="877" spans="2:4">
      <c r="B877">
        <v>100</v>
      </c>
      <c r="C877" s="1">
        <f>hyperlink("https://hetutrechtsarchief.nl/collectie/77D431AC2EEE52FAB25F1FEEF20BF4F3","De Bilt op topografische kaarten rond 1905 Kees Floor 66-71 2006")</f>
        <v>0</v>
      </c>
      <c r="D877" s="1">
        <f>hyperlink("http://dspace.library.uu.nl/handle/1874/212090","De Bilt op topografische kaarten rond 1905 Kees Floor 66-71 2006")</f>
        <v>0</v>
      </c>
    </row>
    <row r="878" spans="2:4">
      <c r="B878">
        <v>100</v>
      </c>
      <c r="C878" s="1">
        <f>hyperlink("https://hetutrechtsarchief.nl/collectie/B0ADEB8150B7521C8FEC100649A9AD55","100 jaar Stichtse Cricket en Hockey Club SCHC Jelle van der Zee 73-85 2006")</f>
        <v>0</v>
      </c>
      <c r="D878" s="1">
        <f>hyperlink("http://dspace.library.uu.nl/handle/1874/212091","100 jaar Stichtse Cricket en Hockey Club SCHC Jelle van der Zee 73-85 2006")</f>
        <v>0</v>
      </c>
    </row>
    <row r="879" spans="2:4">
      <c r="B879">
        <v>100</v>
      </c>
      <c r="C879" s="1">
        <f>hyperlink("https://hetutrechtsarchief.nl/collectie/C4DA50590F155015A306CEED55EA73BE","Monumenten in De Bilt Dorpsstraat vanouds Steenstraat 25 te De Bilt Redactie van de Biltse Grift 86-88 2006")</f>
        <v>0</v>
      </c>
      <c r="D879" s="1">
        <f>hyperlink("http://dspace.library.uu.nl/handle/1874/212092","Monumenten in De Bilt Dorpsstraat vanouds Steenstraat 25 te De Bilt Redactie van de Biltse Grift 86-88 2006")</f>
        <v>0</v>
      </c>
    </row>
    <row r="880" spans="2:4">
      <c r="B880">
        <v>100</v>
      </c>
      <c r="C880" s="1">
        <f>hyperlink("https://hetutrechtsarchief.nl/collectie/A1BA1C22FA4A5FE4B540AD3F2DE35903","Willem de Zwijger en De Bilt hoge bemoeienis met Biltse zaken Anne Doedens 98-103 2006")</f>
        <v>0</v>
      </c>
      <c r="D880" s="1">
        <f>hyperlink("http://dspace.library.uu.nl/handle/1874/212094","Willem de Zwijger en De Bilt hoge bemoeienis met Biltse zaken Anne Doedens 98-103 2006")</f>
        <v>0</v>
      </c>
    </row>
    <row r="881" spans="2:4">
      <c r="B881">
        <v>78</v>
      </c>
      <c r="C881" s="1">
        <f>hyperlink("https://hetutrechtsarchief.nl/collectie/86F4D810C5AC5FC09F89351DBD77B462","Monumenten in De Bilt Burgemeester de Withstraat 31 De Bilt Redactie van de Biltse Grift 30-31 2006")</f>
        <v>0</v>
      </c>
      <c r="D881" s="1">
        <f>hyperlink("http://dspace.library.uu.nl/handle/1874/212095","Monumenten in De Bilt Jan Steenlaan 23 Bilthoven Redactie van de Biltse Grift 50-51 2006")</f>
        <v>0</v>
      </c>
    </row>
    <row r="882" spans="2:4">
      <c r="B882">
        <v>100</v>
      </c>
      <c r="C882" s="1">
        <f>hyperlink("https://hetutrechtsarchief.nl/collectie/C8A0762F619C5772B8AEA40BE2F8D994","Overleven in De Bilt Dan E H Kampelmacher 2-6 2007")</f>
        <v>0</v>
      </c>
      <c r="D882" s="1">
        <f>hyperlink("http://dspace.library.uu.nl/handle/1874/212096","Overleven in De Bilt Dan E H Kampelmacher 2-6 2007")</f>
        <v>0</v>
      </c>
    </row>
    <row r="883" spans="2:4">
      <c r="B883">
        <v>100</v>
      </c>
      <c r="C883" s="1">
        <f>hyperlink("https://hetutrechtsarchief.nl/collectie/E3950E0FDDF153E8B478DC68A6FE1308","Biltse militaire monumenten in tekst De Bilt in de kronieken van laat middeleeuwse bewoners van Gelderland en Holland Anne Doedens 7-15 2007")</f>
        <v>0</v>
      </c>
      <c r="D883" s="1">
        <f>hyperlink("http://dspace.library.uu.nl/handle/1874/212097","Biltse militaire monumenten in tekst De Bilt in de kronieken van laat middeleeuwse bewoners van Gelderland en Holland Anne Doedens 7-15 2007")</f>
        <v>0</v>
      </c>
    </row>
    <row r="884" spans="2:4">
      <c r="B884">
        <v>56</v>
      </c>
      <c r="C884" s="1">
        <f>hyperlink("https://hetutrechtsarchief.nl/collectie/EBC0E369433C540BA778BC6ABDC54B0C","In memoriam Cornelis Dekker Peter Henderikx 29-31 2013")</f>
        <v>0</v>
      </c>
      <c r="D884" s="1">
        <f>hyperlink("http://dspace.library.uu.nl/handle/1874/212098","In memoriam Jan Cornelis van der Heijden 1953-2003 Jos Nas Frans Drees Ellen Cladder 62-63 2003")</f>
        <v>0</v>
      </c>
    </row>
    <row r="885" spans="2:4">
      <c r="B885">
        <v>100</v>
      </c>
      <c r="C885" s="1">
        <f>hyperlink("https://hetutrechtsarchief.nl/collectie/B0475E9CA9AA57CA9CF76AFF8DEE368F","Afrikaantjes van de Rubenslaan Koos Kolenbrander 35-38 2007")</f>
        <v>0</v>
      </c>
      <c r="D885" s="1">
        <f>hyperlink("http://dspace.library.uu.nl/handle/1874/212138","Afrikaantjes van de Rubenslaan Koos Kolenbrander 35-38 2007")</f>
        <v>0</v>
      </c>
    </row>
    <row r="886" spans="2:4">
      <c r="B886">
        <v>100</v>
      </c>
      <c r="C886" s="1">
        <f>hyperlink("https://hetutrechtsarchief.nl/collectie/A0EDD37CA9695F83AE20BED7D56B314F","Monument de Holle Bilt 20 te De Bilt De Ketting 39-40 2007")</f>
        <v>0</v>
      </c>
      <c r="D886" s="1">
        <f>hyperlink("http://dspace.library.uu.nl/handle/1874/212139","Monument de Holle Bilt 20 te De Bilt De Ketting 39-40 2007")</f>
        <v>0</v>
      </c>
    </row>
    <row r="887" spans="2:4">
      <c r="B887">
        <v>100</v>
      </c>
      <c r="C887" s="1">
        <f>hyperlink("https://hetutrechtsarchief.nl/collectie/6EB24EE635D35DEEBF2A49300DC32531","Het hoofdkwartier van het 88ste Duitse legerkorps LXXXVIII Armeekorps in Bilthoven 1944 Hans Brugman 42-50 2007")</f>
        <v>0</v>
      </c>
      <c r="D887" s="1">
        <f>hyperlink("http://dspace.library.uu.nl/handle/1874/212140","Het hoofdkwartiervan het 88ste Duitse legerkorps LXXXVIII Armeekorps in Bilthoven 1944 Hans Brugman 42-50 2007")</f>
        <v>0</v>
      </c>
    </row>
    <row r="888" spans="2:4">
      <c r="B888">
        <v>100</v>
      </c>
      <c r="C888" s="1">
        <f>hyperlink("https://hetutrechtsarchief.nl/collectie/EF53F40441E55CA9BD5D744DA628A879","Bankier minister ambassadeur het veelzijdige leven Mr J W Beyen Rob Herber 52-64 2007")</f>
        <v>0</v>
      </c>
      <c r="D888" s="1">
        <f>hyperlink("http://dspace.library.uu.nl/handle/1874/212141","Bankier minister ambassadeur het veelzijdige leven Mr J W Beyen Rob Herber 52-64 2007")</f>
        <v>0</v>
      </c>
    </row>
    <row r="889" spans="2:4">
      <c r="B889">
        <v>100</v>
      </c>
      <c r="C889" s="1">
        <f>hyperlink("https://hetutrechtsarchief.nl/collectie/8D042C32BC395D8CB1B6B7C40E1860EF","De baron en de stroper W van Schaik 74-84 2007")</f>
        <v>0</v>
      </c>
      <c r="D889" s="1">
        <f>hyperlink("http://dspace.library.uu.nl/handle/1874/212142","De baron en de stroper W van Schaik 74-84 2007")</f>
        <v>0</v>
      </c>
    </row>
    <row r="890" spans="2:4">
      <c r="B890">
        <v>100</v>
      </c>
      <c r="C890" s="1">
        <f>hyperlink("https://hetutrechtsarchief.nl/collectie/942A59862D255AFF828CA5BE6384A5C8","De B S -Groep De Bilt 1943-1946 Marcel Hermens 86-92 2007")</f>
        <v>0</v>
      </c>
      <c r="D890" s="1">
        <f>hyperlink("http://dspace.library.uu.nl/handle/1874/212143","De B S -Groep De Bilt 1943-1946 Marcel Hermens 86-92 2007")</f>
        <v>0</v>
      </c>
    </row>
    <row r="891" spans="2:4">
      <c r="B891">
        <v>64</v>
      </c>
      <c r="C891" s="1">
        <f>hyperlink("https://hetutrechtsarchief.nl/collectie/20006C0F40335FE78E55A4C769B88DF1","Monumenten het huis aan de Kleine Melm Henk Gerth 27-28 2001")</f>
        <v>0</v>
      </c>
      <c r="D891" s="1">
        <f>hyperlink("http://dspace.library.uu.nl/handle/1874/212144","Monument het Duifhuis aan de Kerklaan in De Bilt 103-104 2007")</f>
        <v>0</v>
      </c>
    </row>
    <row r="892" spans="2:4">
      <c r="B892">
        <v>80</v>
      </c>
      <c r="C892" s="1">
        <f>hyperlink("https://hetutrechtsarchief.nl/collectie/CA2FEDCE735E5FCF949E398F38242B6A","Drievoudige moord te Bilthoven opgetekend door Sietse Hamstra en Ard Barendsen 118-120 2007")</f>
        <v>0</v>
      </c>
      <c r="D892" s="1">
        <f>hyperlink("http://dspace.library.uu.nl/handle/1874/212145","Drievoudige moord te Bilthoven Ard Hamstra Sietse Barendsen 118-120 2007")</f>
        <v>0</v>
      </c>
    </row>
    <row r="893" spans="2:4">
      <c r="B893">
        <v>100</v>
      </c>
      <c r="C893" s="1">
        <f>hyperlink("https://hetutrechtsarchief.nl/collectie/36D92610D2E356029EF6D0163EF74740","Elckerlyc Renova Koos Kolenbrander 129-134 2007")</f>
        <v>0</v>
      </c>
      <c r="D893" s="1">
        <f>hyperlink("http://dspace.library.uu.nl/handle/1874/212146","Elckerlyc Renova Koos Kolenbrander 129-134 2007")</f>
        <v>0</v>
      </c>
    </row>
    <row r="894" spans="2:4">
      <c r="B894">
        <v>92</v>
      </c>
      <c r="C894" s="1">
        <f>hyperlink("https://hetutrechtsarchief.nl/collectie/7B88315D099C53F88BB4B2C7D1EE2A74","Monument Oost-Indi n Utrechtseweg 301 te De Bilt onder red van Historische Kring d Oude School 134-136 2007")</f>
        <v>0</v>
      </c>
      <c r="D894" s="1">
        <f>hyperlink("http://dspace.library.uu.nl/handle/1874/212147","Monument Oost-Indi n Utrechtsweg 301 te De Bilt Historische Kring d Oude School 134-136 2007")</f>
        <v>0</v>
      </c>
    </row>
    <row r="895" spans="2:4">
      <c r="B895">
        <v>87</v>
      </c>
      <c r="C895" s="1">
        <f>hyperlink("https://hetutrechtsarchief.nl/collectie/94F722CDD39F514DBD37E0E8AB179F03","Het verhaal van de Biltse Duinen of hoe een bosgebied verloren dreigt te gaan door de botsing tussen golfaspiraties en natuurbescherming Deel 1 John Blueming en Peter van Puijenbroek 106-117 2007")</f>
        <v>0</v>
      </c>
      <c r="D895" s="1">
        <f>hyperlink("http://dspace.library.uu.nl/handle/1874/212148","Het verhaal van de Biltse Duinen of Hoe een bosgebied verloren dreigt te gaan door de botsing tussen golfaspiraties en natuurbescherming Peter van Blueming John Puijenbroek 106-117 jg 17 2008 nr 1 p 2-14 2007-2008")</f>
        <v>0</v>
      </c>
    </row>
    <row r="896" spans="2:4">
      <c r="B896">
        <v>100</v>
      </c>
      <c r="C896" s="1">
        <f>hyperlink("https://hetutrechtsarchief.nl/collectie/A4A2A3BA792E598889483CDDDFECE6BF","Werken bij Inventum Fred Meijer 15-22 2008")</f>
        <v>0</v>
      </c>
      <c r="D896" s="1">
        <f>hyperlink("http://dspace.library.uu.nl/handle/1874/212149","Werken bij Inventum Fred Meijer 15-22 2008")</f>
        <v>0</v>
      </c>
    </row>
    <row r="897" spans="2:4">
      <c r="B897">
        <v>100</v>
      </c>
      <c r="C897" s="1">
        <f>hyperlink("https://hetutrechtsarchief.nl/collectie/6B66D38C463454829A2C806EF2977D75","Het monument Utrechtseweg 89 te De Bilt 31-32 2008")</f>
        <v>0</v>
      </c>
      <c r="D897" s="1">
        <f>hyperlink("http://dspace.library.uu.nl/handle/1874/212150","Het monument Utrechtseweg 89 te De Bilt 31-32 2008")</f>
        <v>0</v>
      </c>
    </row>
    <row r="898" spans="2:4">
      <c r="B898">
        <v>100</v>
      </c>
      <c r="C898" s="1">
        <f>hyperlink("https://hetutrechtsarchief.nl/collectie/E00B281615E655CF893AA008553F084F","Over de oudste oorkonde De Bilts begin in 1113 Anne Doedens 34-50 2008")</f>
        <v>0</v>
      </c>
      <c r="D898" s="1">
        <f>hyperlink("http://dspace.library.uu.nl/handle/1874/212151","Over de oudste oorkonde De Bilts begin in 1113 Anne Doedens 34-50 2008")</f>
        <v>0</v>
      </c>
    </row>
    <row r="899" spans="2:4">
      <c r="B899">
        <v>100</v>
      </c>
      <c r="C899" s="1">
        <f>hyperlink("https://hetutrechtsarchief.nl/collectie/E47EE540E8645623BEBAFBE7D7B7CF7D","Villa Parkwijck een bewogen levensgeschiedenis Hans de Groot 51-61 2008")</f>
        <v>0</v>
      </c>
      <c r="D899" s="1">
        <f>hyperlink("http://dspace.library.uu.nl/handle/1874/212152","Villa Parkwijck een bewogen levensgeschiedenis Hans de Groot 51-61 2008")</f>
        <v>0</v>
      </c>
    </row>
    <row r="900" spans="2:4">
      <c r="B900">
        <v>100</v>
      </c>
      <c r="C900" s="1">
        <f>hyperlink("https://hetutrechtsarchief.nl/collectie/79F1BB788ABA5B8CB1C3542963DB9DF2","Monument Utrechtseweg 303 te De Bilt 62-63 2008")</f>
        <v>0</v>
      </c>
      <c r="D900" s="1">
        <f>hyperlink("http://dspace.library.uu.nl/handle/1874/212153","Monument Utrechtseweg 303 te De Bilt 62-63 2008")</f>
        <v>0</v>
      </c>
    </row>
    <row r="901" spans="2:4">
      <c r="B901">
        <v>93</v>
      </c>
      <c r="C901" s="1">
        <f>hyperlink("https://hetutrechtsarchief.nl/collectie/F50FE8F11CBE5A2A8AF90D2A46971E17","Het ontstaan van de Biltse kloosters reactie op het artikel van Anne Doedens Ellen Drees 66-76 2008")</f>
        <v>0</v>
      </c>
      <c r="D901" s="1">
        <f>hyperlink("http://dspace.library.uu.nl/handle/1874/212154","Het ontstaan van de Biltse kloosters reactie op het artikel van Anne Doedens Ellen Drees 66-76 nr 4 p 122-123 2008")</f>
        <v>0</v>
      </c>
    </row>
    <row r="902" spans="2:4">
      <c r="B902">
        <v>100</v>
      </c>
      <c r="C902" s="1">
        <f>hyperlink("https://hetutrechtsarchief.nl/collectie/F323024FC5235DC3B6608AE8C3662F32","Discussie over het beginjaar van de gemeente De Bilt Carel Besemer 77-81 2008")</f>
        <v>0</v>
      </c>
      <c r="D902" s="1">
        <f>hyperlink("http://dspace.library.uu.nl/handle/1874/212155","Discussie over het beginjaar van de gemeente De Bilt Carel Besemer 77-81 2008")</f>
        <v>0</v>
      </c>
    </row>
    <row r="903" spans="2:4">
      <c r="B903">
        <v>100</v>
      </c>
      <c r="C903" s="1">
        <f>hyperlink("https://hetutrechtsarchief.nl/collectie/FAC9F5C13CE75844B6570858E5DFE24C","De oude kern De Bilt waarom dit gebied het meer dan waard is gekoesterd te worden vanuit het verleden in het heden n voor de toekomst Karel Beesemer 98-106 2008")</f>
        <v>0</v>
      </c>
      <c r="D903" s="1">
        <f>hyperlink("http://dspace.library.uu.nl/handle/1874/212156","De oude kern De Bilt waarom dit gebied het meer dan waard is gekoesterd te worden vanuit het verleden in het heden n voor de toekomst Karel Beesemer 98-106 2008")</f>
        <v>0</v>
      </c>
    </row>
    <row r="904" spans="2:4">
      <c r="B904">
        <v>100</v>
      </c>
      <c r="C904" s="1">
        <f>hyperlink("https://hetutrechtsarchief.nl/collectie/D047DD5037EC5FCFA56645B9AEDD821A","Evacu Cornelis Loen 124-127 2008")</f>
        <v>0</v>
      </c>
      <c r="D904" s="1">
        <f>hyperlink("http://dspace.library.uu.nl/handle/1874/212157","Evacu Cornelis Loen 124-127 2008")</f>
        <v>0</v>
      </c>
    </row>
    <row r="905" spans="2:4">
      <c r="B905">
        <v>79</v>
      </c>
      <c r="C905" s="1">
        <f>hyperlink("https://hetutrechtsarchief.nl/collectie/34392767B01653ACA1E86547C030E863","Timmeren aan de weg de timmerman van Vollenhoven in de negentiende eeuw wonen en werken deel 1 Frieda Heijkoop 107-121 2008")</f>
        <v>0</v>
      </c>
      <c r="D905" s="1">
        <f>hyperlink("http://dspace.library.uu.nl/handle/1874/212159","Timmeren aan de weg de timmerman van Vollenhoven in de negentiende eeuw Frieda Heijkoop 107-121 jg 18 2009 nr 1 p 10-24 2008-2009")</f>
        <v>0</v>
      </c>
    </row>
    <row r="906" spans="2:4">
      <c r="B906">
        <v>58</v>
      </c>
      <c r="C906" s="1">
        <f>hyperlink("https://hetutrechtsarchief.nl/collectie/464DC1ED5AB25AC5B5AD006197F143D3","De brand in de Grote kerk van Loenen Sander Griffioen 9-12 2010")</f>
        <v>0</v>
      </c>
      <c r="D906" s="1">
        <f>hyperlink("http://dspace.library.uu.nl/handle/1874/212160","De brand in de Woerdense kazerne in 1798 Olivier Groeneyk 1 -2 1966")</f>
        <v>0</v>
      </c>
    </row>
    <row r="907" spans="2:4">
      <c r="B907">
        <v>56</v>
      </c>
      <c r="C907" s="1">
        <f>hyperlink("https://hetutrechtsarchief.nl/collectie/B61DA0D6F5775F6FA018062968861890","De restauratie van de Dombeiaard Andr Lehr 45-46 1976")</f>
        <v>0</v>
      </c>
      <c r="D907" s="1">
        <f>hyperlink("http://dspace.library.uu.nl/handle/1874/212161","De Westertoren en t Slot van Woerden M A G Hauer-Kleber 3-6 1966")</f>
        <v>0</v>
      </c>
    </row>
    <row r="908" spans="2:4">
      <c r="B908">
        <v>58</v>
      </c>
      <c r="C908" s="1">
        <f>hyperlink("https://hetutrechtsarchief.nl/collectie/4747AD65100E589EBF23A536784A9788","Het Huis Oudaen J van Galen 65-67 1956")</f>
        <v>0</v>
      </c>
      <c r="D908" s="1">
        <f>hyperlink("http://dspace.library.uu.nl/handle/1874/212162","De Hertogh Albrecht C J van Doorn 6-7 1966")</f>
        <v>0</v>
      </c>
    </row>
    <row r="909" spans="2:4">
      <c r="B909">
        <v>54</v>
      </c>
      <c r="C909" s="1">
        <f>hyperlink("https://hetutrechtsarchief.nl/collectie/3CB57116F90C5F29A4D08AB87803AA25","Genealogie van het geslacht de Maleprade - J C v d M 11-12 1885")</f>
        <v>0</v>
      </c>
      <c r="D909" s="1">
        <f>hyperlink("http://dspace.library.uu.nl/handle/1874/212163","Een relatie tussen het geslacht Lippe Detmold en Nederland in vroeger tijd J G M Boon 8 1966")</f>
        <v>0</v>
      </c>
    </row>
    <row r="910" spans="2:4">
      <c r="B910">
        <v>52</v>
      </c>
      <c r="C910" s="1">
        <f>hyperlink("https://hetutrechtsarchief.nl/collectie/AB6A7CEB4249529A9EC308DA318234D9","Henkel driekwart eeuw in Nieuwegein hypermoderne wasmiddelenfabriek van de Nederlandsche Persil Maatschappij Piet Daalhuizen 4-8 13-15 2007")</f>
        <v>0</v>
      </c>
      <c r="D910" s="1">
        <f>hyperlink("http://dspace.library.uu.nl/handle/1874/212164","Enkele aantekeningen bij een artikel in het Tijdschrift der Koninklijke Nederlandse Heidemaatschappij over Tekkop C J van Doorn 6-9 1965")</f>
        <v>0</v>
      </c>
    </row>
    <row r="911" spans="2:4">
      <c r="B911">
        <v>60</v>
      </c>
      <c r="C911" s="1">
        <f>hyperlink("https://hetutrechtsarchief.nl/collectie/EE24F2D8B459525FB2300B3E00514F29","Fiscale bronnen voor historisch onderzoek R C J van Maanen 132-136 ill 1988")</f>
        <v>0</v>
      </c>
      <c r="D911" s="1">
        <f>hyperlink("http://dspace.library.uu.nl/handle/1874/212165","Minder bekend bronnenmateriaal voor historische onderzoekingen J G M Boon 4-9 1966")</f>
        <v>0</v>
      </c>
    </row>
    <row r="912" spans="2:4">
      <c r="B912">
        <v>54</v>
      </c>
      <c r="C912" s="1">
        <f>hyperlink("https://hetutrechtsarchief.nl/collectie/0210EA6682C4501AB6AF62658CEDE44E","Een verdwaalde vondst en een herinnering aan de School met den Bijbel in Vreeswijk Frans Landzaat en Eef Meijer van Putten 41-44 2001")</f>
        <v>0</v>
      </c>
      <c r="D912" s="1">
        <f>hyperlink("http://dspace.library.uu.nl/handle/1874/212166","Een verlaten en vergeten vestiging aan de Greft bij de korenmolen onder Kamerik-Mijzijde Z van Doorn 10-14 1965")</f>
        <v>0</v>
      </c>
    </row>
    <row r="913" spans="2:4">
      <c r="B913">
        <v>56</v>
      </c>
      <c r="C913" s="1">
        <f>hyperlink("https://hetutrechtsarchief.nl/collectie/A48AB6FEBCA65D8DBD2670E869F7562D","Verbetering van de Domkerk 163-166 1856")</f>
        <v>0</v>
      </c>
      <c r="D913" s="1">
        <f>hyperlink("http://dspace.library.uu.nl/handle/1874/212167","Verwaarlozing Kasteel te Woerden 15-16 1965")</f>
        <v>0</v>
      </c>
    </row>
    <row r="914" spans="2:4">
      <c r="B914">
        <v>55</v>
      </c>
      <c r="C914" s="1">
        <f>hyperlink("https://hetutrechtsarchief.nl/collectie/108BE0A84145525883DDE9E861BA5745","De afkomst van het tot den Nederlandschen adel behoorende geslacht Martens A H Martens van Sevenhoven 234-247 277-281 1935")</f>
        <v>0</v>
      </c>
      <c r="D914" s="1">
        <f>hyperlink("http://dspace.library.uu.nl/handle/1874/212168","De plaats van herkomst van het Woerdense en Zegveldse geslacht Van Doorn J G M Boon 3-5 1965")</f>
        <v>0</v>
      </c>
    </row>
    <row r="915" spans="2:4">
      <c r="B915">
        <v>51</v>
      </c>
      <c r="C915" s="1">
        <f>hyperlink("https://hetutrechtsarchief.nl/collectie/640ED104D90AA69CE0534701000AD44A","Echte mannen woorden en daden eer en schuld voor het Hof van Utrecht in de achttiende eeuw Michael Milo en Emanuel van Dongen 160-175 2017")</f>
        <v>0</v>
      </c>
      <c r="D915" s="1">
        <f>hyperlink("http://dspace.library.uu.nl/handle/1874/212267","Johan Heinrich Himmelgarden en zijn bende een historisch roversverhaal van nog geen anderhalve eeuw geleden C J van Doorn 14-21 1967")</f>
        <v>0</v>
      </c>
    </row>
    <row r="916" spans="2:4">
      <c r="B916">
        <v>59</v>
      </c>
      <c r="C916" s="1">
        <f>hyperlink("https://hetutrechtsarchief.nl/collectie/51D04B0F143256BAB21826D73F9C5E11","Nieuwe klapper op de Utrechtse transportregisters 1801-1811 H Knoester 50-54 1966")</f>
        <v>0</v>
      </c>
      <c r="D916" s="1">
        <f>hyperlink("http://dspace.library.uu.nl/handle/1874/212268","Enige beroeps- en geslachtsnamen uit Woerdense transportregisters van 1600-1650 Z van Doorn 3-4 1967")</f>
        <v>0</v>
      </c>
    </row>
    <row r="917" spans="2:4">
      <c r="B917">
        <v>54</v>
      </c>
      <c r="C917" s="1">
        <f>hyperlink("https://hetutrechtsarchief.nl/collectie/D86B2562781C58E7B83736B313CC5654","Het muntenkabinet tekst F A M Pietersen 1-8 1980")</f>
        <v>0</v>
      </c>
      <c r="D917" s="1">
        <f>hyperlink("http://dspace.library.uu.nl/handle/1874/212269","De R K Bonaventurakerk 75 jaar L C M Peters 4-8 1967")</f>
        <v>0</v>
      </c>
    </row>
    <row r="918" spans="2:4">
      <c r="B918">
        <v>53</v>
      </c>
      <c r="C918" s="1">
        <f>hyperlink("https://hetutrechtsarchief.nl/collectie/74E6D4D816705F8D9F59CDABC3D6FB17","Een nieuwe V G L O -school 8-10 ill 1959")</f>
        <v>0</v>
      </c>
      <c r="D918" s="1">
        <f>hyperlink("http://dspace.library.uu.nl/handle/1874/212270","De hennepteelt verbeeld J G M Klijn E N Ch F Boon 8-12 1967")</f>
        <v>0</v>
      </c>
    </row>
    <row r="919" spans="2:4">
      <c r="B919">
        <v>58</v>
      </c>
      <c r="C919" s="1">
        <f>hyperlink("https://hetutrechtsarchief.nl/collectie/8FB9150F484E540DBA70E6F47B359005","De make-up van het stadion H A van Veenendaal 12-13 ill 1965")</f>
        <v>0</v>
      </c>
      <c r="D919" s="1">
        <f>hyperlink("http://dspace.library.uu.nl/handle/1874/212271","Woerdenaren van koninklijke afstamming K H D van Selms 12-13 1967")</f>
        <v>0</v>
      </c>
    </row>
    <row r="920" spans="2:4">
      <c r="B920">
        <v>55</v>
      </c>
      <c r="C920" s="1">
        <f>hyperlink("https://hetutrechtsarchief.nl/collectie/DD9271B95ED35BE4B35AEC3968CA24C7","Agnietenbergse verluchtkunst op de tentoonstelling Willet Holthuysen te Amsterdam A L de Vreese 21-42 ill 1957")</f>
        <v>0</v>
      </c>
      <c r="D920" s="1">
        <f>hyperlink("http://dspace.library.uu.nl/handle/1874/212272","Gemeente museum te Woerden tentoonstelling Oud zilver uit Woerden particulier bezit G de Goederen 22-24 1967")</f>
        <v>0</v>
      </c>
    </row>
    <row r="921" spans="2:4">
      <c r="B921">
        <v>67</v>
      </c>
      <c r="C921" s="1">
        <f>hyperlink("https://hetutrechtsarchief.nl/collectie/B5629FF7E8095325AE48623913FE9E72","Opnieuw samenwerking historische verenigingen - L v T 48 1976")</f>
        <v>0</v>
      </c>
      <c r="D921" s="1">
        <f>hyperlink("http://dspace.library.uu.nl/handle/1874/212273","Tien jaar Historische Vereniging N Plomp 3-7 1968")</f>
        <v>0</v>
      </c>
    </row>
    <row r="922" spans="2:4">
      <c r="B922">
        <v>52</v>
      </c>
      <c r="C922" s="1">
        <f>hyperlink("https://hetutrechtsarchief.nl/collectie/56C8F27902F7534DB11F163E9E390F2E","Studenten-archieven op de Alexander Numankade het gaat niet om het bewaren maar om het toegankelijk maken Erik Hardeman 7 ill 1984")</f>
        <v>0</v>
      </c>
      <c r="D922" s="1">
        <f>hyperlink("http://dspace.library.uu.nl/handle/1874/212274","Verkeer is geen doel doch alleen middel het is niet noodig de boerenbedrijven als industrie n op te nemen in het snelverkeer Herman de Man 13-15 1968")</f>
        <v>0</v>
      </c>
    </row>
    <row r="923" spans="2:4">
      <c r="B923">
        <v>64</v>
      </c>
      <c r="C923" s="1">
        <f>hyperlink("https://hetutrechtsarchief.nl/collectie/B359C40AD0D15060A14D03C40D391930","De geschiedenis van Jan Trant O Dekkers 96-102 2008")</f>
        <v>0</v>
      </c>
      <c r="D923" s="1">
        <f>hyperlink("http://dspace.library.uu.nl/handle/1874/212275","De geschiedenis rond het carillon van Oudewater 16 1968")</f>
        <v>0</v>
      </c>
    </row>
    <row r="924" spans="2:4">
      <c r="B924">
        <v>58</v>
      </c>
      <c r="C924" s="1">
        <f>hyperlink("https://hetutrechtsarchief.nl/collectie/9B68233F7D0B51BCA4501D857F43B166","Woerden en Utrecht in de Middeleeuwen Nico Plomp 19-20 1972")</f>
        <v>0</v>
      </c>
      <c r="D924" s="1">
        <f>hyperlink("http://dspace.library.uu.nl/handle/1874/212276","Een bewogen septemberavond in Woerden Nico Plomp 17-18 1968")</f>
        <v>0</v>
      </c>
    </row>
    <row r="925" spans="2:4">
      <c r="B925">
        <v>56</v>
      </c>
      <c r="C925" s="1">
        <f>hyperlink("https://hetutrechtsarchief.nl/collectie/251AD1B37BE35A96A65C3A54B00DD609","De inrichting en het gebruik van de Domkerk II V van Woerden 1-19 tek plgr 1983")</f>
        <v>0</v>
      </c>
      <c r="D925" s="1">
        <f>hyperlink("http://dspace.library.uu.nl/handle/1874/212277","Een gratificatie voor het gebruik van s konings voornamen L C M Peters 22 1968")</f>
        <v>0</v>
      </c>
    </row>
    <row r="926" spans="2:4">
      <c r="B926">
        <v>64</v>
      </c>
      <c r="C926" s="1">
        <f>hyperlink("https://hetutrechtsarchief.nl/collectie/77222E4EB7FF577887054AB485044B75","Het Stadhuis te Utrecht J H Hofman XXXVIII -LVII 1906")</f>
        <v>0</v>
      </c>
      <c r="D926" s="1">
        <f>hyperlink("http://dspace.library.uu.nl/handle/1874/212278","Het stadhuis te Oudewater Johan Schouten 6 -8 1969")</f>
        <v>0</v>
      </c>
    </row>
    <row r="927" spans="2:4">
      <c r="B927">
        <v>59</v>
      </c>
      <c r="C927" s="1">
        <f>hyperlink("https://hetutrechtsarchief.nl/collectie/9B68233F7D0B51BCA4501D857F43B166","Woerden en Utrecht in de Middeleeuwen Nico Plomp 19-20 1972")</f>
        <v>0</v>
      </c>
      <c r="D927" s="1">
        <f>hyperlink("http://dspace.library.uu.nl/handle/1874/212279","Woerdense manuscripten Nico Plomp 8-9 1969")</f>
        <v>0</v>
      </c>
    </row>
    <row r="928" spans="2:4">
      <c r="B928">
        <v>62</v>
      </c>
      <c r="C928" s="1">
        <f>hyperlink("https://hetutrechtsarchief.nl/collectie/60B9B53A22895B3A94FF7690AF91D35D","Ontstaan van polders strijd tegen het water Groot-Waterschap van Woerden Jan van Es 54-55 2012")</f>
        <v>0</v>
      </c>
      <c r="D928" s="1">
        <f>hyperlink("http://dspace.library.uu.nl/handle/1874/212280","Het Gemeenlandshuis van het Groot-Waterschap van Woerden C J van Doorn 2-5 1969")</f>
        <v>0</v>
      </c>
    </row>
    <row r="929" spans="2:4">
      <c r="B929">
        <v>56</v>
      </c>
      <c r="C929" s="1">
        <f>hyperlink("https://hetutrechtsarchief.nl/collectie/9B68233F7D0B51BCA4501D857F43B166","Woerden en Utrecht in de Middeleeuwen Nico Plomp 19-20 1972")</f>
        <v>0</v>
      </c>
      <c r="D929" s="1">
        <f>hyperlink("http://dspace.library.uu.nl/handle/1874/212281","Woerdense manuscripten de Woerdense dagboeken van Willem van der Hoeve Nico Plomp 9-10 1969")</f>
        <v>0</v>
      </c>
    </row>
    <row r="930" spans="2:4">
      <c r="B930">
        <v>59</v>
      </c>
      <c r="C930" s="1">
        <f>hyperlink("https://hetutrechtsarchief.nl/collectie/9A6EAD91117155D6A28CA6D08E0A4A60","De lamme koning G T Haneveld 14-16 1994")</f>
        <v>0</v>
      </c>
      <c r="D930" s="1">
        <f>hyperlink("http://dspace.library.uu.nl/handle/1874/212282","De Lange Hoeve Nico Plomp 14-15 1969")</f>
        <v>0</v>
      </c>
    </row>
    <row r="931" spans="2:4">
      <c r="B931">
        <v>55</v>
      </c>
      <c r="C931" s="1">
        <f>hyperlink("https://hetutrechtsarchief.nl/collectie/7BF909D7D3DF5842A28E675A2D6EFEE7","Opening Vliegkamp Soesterberg in 1910 19-20 1999")</f>
        <v>0</v>
      </c>
      <c r="D931" s="1">
        <f>hyperlink("http://dspace.library.uu.nl/handle/1874/212283","De kerkbrand in 1911 24 1969")</f>
        <v>0</v>
      </c>
    </row>
    <row r="932" spans="2:4">
      <c r="B932">
        <v>59</v>
      </c>
      <c r="C932" s="1">
        <f>hyperlink("https://hetutrechtsarchief.nl/collectie/9B68233F7D0B51BCA4501D857F43B166","Woerden en Utrecht in de Middeleeuwen Nico Plomp 19-20 1972")</f>
        <v>0</v>
      </c>
      <c r="D932" s="1">
        <f>hyperlink("http://dspace.library.uu.nl/handle/1874/212284","Hollandse zeelieden in slavernij Nico Plomp 1-2 1970")</f>
        <v>0</v>
      </c>
    </row>
    <row r="933" spans="2:4">
      <c r="B933">
        <v>55</v>
      </c>
      <c r="C933" s="1">
        <f>hyperlink("https://hetutrechtsarchief.nl/collectie/6E7AD5ACBEBD55DEAEB4F0C7E0A4A516","De confiscatie der goederen van Gilles van Ledenberch medeged door H C Rogge 322 -364 1904")</f>
        <v>0</v>
      </c>
      <c r="D933" s="1">
        <f>hyperlink("http://dspace.library.uu.nl/handle/1874/212285","Kranteberichten over de gevangenis te Woerden medegedeeld door J G M Boon J G M Boon 4 1970")</f>
        <v>0</v>
      </c>
    </row>
    <row r="934" spans="2:4">
      <c r="B934">
        <v>55</v>
      </c>
      <c r="C934" s="1">
        <f>hyperlink("https://hetutrechtsarchief.nl/collectie/C355D1473AD159E89E1152228C2D6B0A","De tegenpaus Clemens VII en het bisdom Utrecht medeged door G Brom 1-102 1907")</f>
        <v>0</v>
      </c>
      <c r="D934" s="1">
        <f>hyperlink("http://dspace.library.uu.nl/handle/1874/212286","Uit de burgerboeken van Dordrecht medegedeeld door Nico Plomp Nico Plomp 10-11 1970")</f>
        <v>0</v>
      </c>
    </row>
    <row r="935" spans="2:4">
      <c r="B935">
        <v>56</v>
      </c>
      <c r="C935" s="1">
        <f>hyperlink("https://hetutrechtsarchief.nl/collectie/9B68233F7D0B51BCA4501D857F43B166","Woerden en Utrecht in de Middeleeuwen Nico Plomp 19-20 1972")</f>
        <v>0</v>
      </c>
      <c r="D935" s="1">
        <f>hyperlink("http://dspace.library.uu.nl/handle/1874/212287","Woerdense manuscripten het aantekeningenboek van een burgemeestersfamilie Nico Plomp 20-21 1970")</f>
        <v>0</v>
      </c>
    </row>
    <row r="936" spans="2:4">
      <c r="B936">
        <v>53</v>
      </c>
      <c r="C936" s="1">
        <f>hyperlink("https://hetutrechtsarchief.nl/collectie/B49A046A4BCD51A8A6E389EF74182C75","Drie recalcitrante Loosdrechtse dominees ten tijde van het Twaalfjarig Bestand Bas de Ligt 173-186 2009")</f>
        <v>0</v>
      </c>
      <c r="D936" s="1">
        <f>hyperlink("http://dspace.library.uu.nl/handle/1874/212288","Captain John Cooke een Engelse compagniescommandant in de godsdiensttwisten tijdens het twaalfjarig bestand Nico Plomp 35 38 1970")</f>
        <v>0</v>
      </c>
    </row>
    <row r="937" spans="2:4">
      <c r="B937">
        <v>57</v>
      </c>
      <c r="C937" s="1">
        <f>hyperlink("https://hetutrechtsarchief.nl/collectie/A0EE41DD48D954BAB5DFB3E5FB1CAB36","Aan den voet van Utrecht s toren 3 1911")</f>
        <v>0</v>
      </c>
      <c r="D937" s="1">
        <f>hyperlink("http://dspace.library.uu.nl/handle/1874/212289","De volkstelling van 1859 te Woerden 6 1971")</f>
        <v>0</v>
      </c>
    </row>
    <row r="938" spans="2:4">
      <c r="B938">
        <v>56</v>
      </c>
      <c r="C938" s="1">
        <f>hyperlink("https://hetutrechtsarchief.nl/collectie/BDDC1A585A7F5FDBBF29E13105F1D083","Nieuwe beelden in de stad 13-15 ill 1971")</f>
        <v>0</v>
      </c>
      <c r="D938" s="1">
        <f>hyperlink("http://dspace.library.uu.nl/handle/1874/212290","Een wonder te Woerden C J W Gravendaal 13-15 1971")</f>
        <v>0</v>
      </c>
    </row>
    <row r="939" spans="2:4">
      <c r="B939">
        <v>54</v>
      </c>
      <c r="C939" s="1">
        <f>hyperlink("https://hetutrechtsarchief.nl/collectie/4484F7AE3D27572AAECD9D83B8FE4C03","De Langegracht te Maarssen deel 17 C W P Bloemendaal 20-21 2004")</f>
        <v>0</v>
      </c>
      <c r="D939" s="1">
        <f>hyperlink("http://dspace.library.uu.nl/handle/1874/212291","Een Lutherse prekenbundel uit 1771 C J W Gravendaal 20-21 1971")</f>
        <v>0</v>
      </c>
    </row>
    <row r="940" spans="2:4">
      <c r="B940">
        <v>53</v>
      </c>
      <c r="C940" s="1">
        <f>hyperlink("https://hetutrechtsarchief.nl/collectie/CF93E3BFA92D5F58A175F7E66E3AA9A7","Herinneringen aan Phaedo 1939-1943 Jitte Roosendaal 66-73 2010")</f>
        <v>0</v>
      </c>
      <c r="D940" s="1">
        <f>hyperlink("http://dspace.library.uu.nl/handle/1874/212292","Woerdense verkiezingsuitslagen van 1931-1937 C J W Gravendaal 22 1971")</f>
        <v>0</v>
      </c>
    </row>
    <row r="941" spans="2:4">
      <c r="B941">
        <v>54</v>
      </c>
      <c r="C941" s="1">
        <f>hyperlink("https://hetutrechtsarchief.nl/collectie/286F89BB385C596A996CB784EB75CCC0","Twee Potterstraten in Utrecht J van Galen 90-93 1936")</f>
        <v>0</v>
      </c>
      <c r="D941" s="1">
        <f>hyperlink("http://dspace.library.uu.nl/handle/1874/212293","Twee advertenties uit 1811 C J W Gravendaal 23 1971")</f>
        <v>0</v>
      </c>
    </row>
    <row r="942" spans="2:4">
      <c r="B942">
        <v>54</v>
      </c>
      <c r="C942" s="1">
        <f>hyperlink("https://hetutrechtsarchief.nl/collectie/C558BCAD3DE2ED46E0538F04000A4A40","Midden in de stad heb ik een hof De tuin van Boothstraat 6 Michiel Plomp 23-27 2021")</f>
        <v>0</v>
      </c>
      <c r="D942" s="1">
        <f>hyperlink("http://dspace.library.uu.nl/handle/1874/212294","Opschudding in de pannenbakkerij een dramatische gebeurtenis in het jaar 1606 Nico Plomp 25-27 1971")</f>
        <v>0</v>
      </c>
    </row>
    <row r="943" spans="2:4">
      <c r="B943">
        <v>58</v>
      </c>
      <c r="C943" s="1">
        <f>hyperlink("https://hetutrechtsarchief.nl/collectie/9F6521D6D8E8015EE0534701000A4009","Uit het Reglement van Politie de gemeente Zuylen anno 1857 Wally Smits 31-36 2020")</f>
        <v>0</v>
      </c>
      <c r="D943" s="1">
        <f>hyperlink("http://dspace.library.uu.nl/handle/1874/212295","Reglement van orde voor de gemeenteraad van Woerden 1816 L Cl M Peters 33-34 1971")</f>
        <v>0</v>
      </c>
    </row>
    <row r="944" spans="2:4">
      <c r="B944">
        <v>56</v>
      </c>
      <c r="C944" s="1">
        <f>hyperlink("https://hetutrechtsarchief.nl/collectie/C217A259E6C853378E6488B5FFD953BB","De Utrechtse kunstijsbaan H A van Veenendaal 8-10 1970")</f>
        <v>0</v>
      </c>
      <c r="D944" s="1">
        <f>hyperlink("http://dspace.library.uu.nl/handle/1874/212296","Ds Michiel Christiaan Vos C J W Gravendaal 38-42 1971")</f>
        <v>0</v>
      </c>
    </row>
    <row r="945" spans="2:4">
      <c r="B945">
        <v>60</v>
      </c>
      <c r="C945" s="1">
        <f>hyperlink("https://hetutrechtsarchief.nl/collectie/0C727BE0535450F08294FE5B0A0C6FE6","Het Joderijtje als herinnering aan een Oude Gracht J Prakken 25-28 1951")</f>
        <v>0</v>
      </c>
      <c r="D945" s="1">
        <f>hyperlink("http://dspace.library.uu.nl/handle/1874/212297","Het derde eeuwfeest der inneming van Den Briel C J W Gravendaal 5-6 1972")</f>
        <v>0</v>
      </c>
    </row>
    <row r="946" spans="2:4">
      <c r="B946">
        <v>58</v>
      </c>
      <c r="C946" s="1">
        <f>hyperlink("https://hetutrechtsarchief.nl/collectie/A8744222F92851D6A7AC62E0974C8435","Kunst in de kerk vroeger en nu 16-17 2010")</f>
        <v>0</v>
      </c>
      <c r="D946" s="1">
        <f>hyperlink("http://dspace.library.uu.nl/handle/1874/212298","Kunstavond te Woerden 7 1972")</f>
        <v>0</v>
      </c>
    </row>
    <row r="947" spans="2:4">
      <c r="B947">
        <v>54</v>
      </c>
      <c r="C947" s="1">
        <f>hyperlink("https://hetutrechtsarchief.nl/collectie/88C137D9068067D1E0534701000A2229","Amerongen gezien door Henk van Lienden De Tienden Henk van Lienden 8 2019")</f>
        <v>0</v>
      </c>
      <c r="D947" s="1">
        <f>hyperlink("http://dspace.library.uu.nl/handle/1874/212299","Hertog Albert geeft die van Woerden deeze handvesten voorrechten en vrijheden 8-9 no 3 p 38 1972")</f>
        <v>0</v>
      </c>
    </row>
    <row r="948" spans="2:4">
      <c r="B948">
        <v>57</v>
      </c>
      <c r="C948" s="1">
        <f>hyperlink("https://hetutrechtsarchief.nl/collectie/AAF2E644C16F5C8898C02486B57F557A","Opmerkingen over Drakestein voor 1640 J A Bakker 4-10 2001")</f>
        <v>0</v>
      </c>
      <c r="D948" s="1">
        <f>hyperlink("http://dspace.library.uu.nl/handle/1874/212300","De weekmarkt te Woerden voor 100 jaar 9-10 1972")</f>
        <v>0</v>
      </c>
    </row>
    <row r="949" spans="2:4">
      <c r="B949">
        <v>52</v>
      </c>
      <c r="C949" s="1">
        <f>hyperlink("https://hetutrechtsarchief.nl/collectie/4A01FA30155C525792BBA641D38C0384","Een weefinrichting te Utrecht in 1780 A J van de Ven 1-5 9-11 1942")</f>
        <v>0</v>
      </c>
      <c r="D949" s="1">
        <f>hyperlink("http://dspace.library.uu.nl/handle/1874/212301","Lijst van nieuwe burgers te Utrecht van 1580 - 1700 komende uit Woerden C J W Gravendaal 11 1972")</f>
        <v>0</v>
      </c>
    </row>
    <row r="950" spans="2:4">
      <c r="B950">
        <v>60</v>
      </c>
      <c r="C950" s="1">
        <f>hyperlink("https://hetutrechtsarchief.nl/collectie/A155F6412DD458D0A8E9F414BA1B5548","Advertenties uit de Utrechtsche Courant 1792 J W C van Campen 101-161 1961")</f>
        <v>0</v>
      </c>
      <c r="D950" s="1">
        <f>hyperlink("http://dspace.library.uu.nl/handle/1874/212302","Advertenti n uit de Zuid-Hollandsche Courant 12 1972")</f>
        <v>0</v>
      </c>
    </row>
    <row r="951" spans="2:4">
      <c r="B951">
        <v>60</v>
      </c>
      <c r="C951" s="1">
        <f>hyperlink("https://hetutrechtsarchief.nl/collectie/7A519D6A2CAB5B0787AF873FD649C79F","Waverveen en de Pruisen Fred de Wit 20-21 2001")</f>
        <v>0</v>
      </c>
      <c r="D951" s="1">
        <f>hyperlink("http://dspace.library.uu.nl/handle/1874/212303","Hendrik Verhoef en de gebroeders De Witt 22-24 1972")</f>
        <v>0</v>
      </c>
    </row>
    <row r="952" spans="2:4">
      <c r="B952">
        <v>53</v>
      </c>
      <c r="C952" s="1">
        <f>hyperlink("https://hetutrechtsarchief.nl/collectie/F14DDBBDB92850E48B1F0286D0C3A573","De kleding van de Nederlandse adel in de 17de eeuw en de portretten van de Brederodes M de Winkel 85-97")</f>
        <v>0</v>
      </c>
      <c r="D952" s="1">
        <f>hyperlink("http://dspace.library.uu.nl/handle/1874/212305","Ordonnantie ofte gilde-brief van pan tichel ende steen-backen onder de stadt ende poorterye van Woerden behoorende 30-37 1972")</f>
        <v>0</v>
      </c>
    </row>
    <row r="953" spans="2:4">
      <c r="B953">
        <v>58</v>
      </c>
      <c r="C953" s="1">
        <f>hyperlink("https://hetutrechtsarchief.nl/collectie/797AB9C59DFF5A288B40E0AD6D738FAF","Wandeling door t Dorp 35-44 2017")</f>
        <v>0</v>
      </c>
      <c r="D953" s="1">
        <f>hyperlink("http://dspace.library.uu.nl/handle/1874/212307","Aangevallen door een beer 44 1972")</f>
        <v>0</v>
      </c>
    </row>
    <row r="954" spans="2:4">
      <c r="B954">
        <v>58</v>
      </c>
      <c r="C954" s="1">
        <f>hyperlink("https://hetutrechtsarchief.nl/collectie/8B81C08B09032FACE0534701000AC0AA","De ontginning van De Ronde Venen Piet van Buul 8-11 2019")</f>
        <v>0</v>
      </c>
      <c r="D954" s="1">
        <f>hyperlink("http://dspace.library.uu.nl/handle/1874/212308","Woerden op een penning van de gebroeders De Witt F A Nelemans 48-49 1972")</f>
        <v>0</v>
      </c>
    </row>
    <row r="955" spans="2:4">
      <c r="B955">
        <v>59</v>
      </c>
      <c r="C955" s="1">
        <f>hyperlink("https://hetutrechtsarchief.nl/collectie/640ED104D908A69CE0534701000AD44A","Zestig jaar verandering in het voormalige Groot-Waterschap van Woerden Lex Albers 114-123 2017")</f>
        <v>0</v>
      </c>
      <c r="D955" s="1">
        <f>hyperlink("http://dspace.library.uu.nl/handle/1874/212310","Instructie voor de bedienden van Dijkgraaf en Hoogheemraden van het Grootwaterschap van Woerden L Cl M Peters 16-18 1973")</f>
        <v>0</v>
      </c>
    </row>
    <row r="956" spans="2:4">
      <c r="B956">
        <v>62</v>
      </c>
      <c r="C956" s="1">
        <f>hyperlink("https://hetutrechtsarchief.nl/collectie/758290A916A559C086D8C0C36A7AC494","Een muntvondst te De Meern C A Kalee 25 1968")</f>
        <v>0</v>
      </c>
      <c r="D956" s="1">
        <f>hyperlink("http://dspace.library.uu.nl/handle/1874/212311","Muntvondst te Woerden L Cl M Peters 20-23 1973")</f>
        <v>0</v>
      </c>
    </row>
    <row r="957" spans="2:4">
      <c r="B957">
        <v>59</v>
      </c>
      <c r="C957" s="1">
        <f>hyperlink("https://hetutrechtsarchief.nl/collectie/DFFDF17692965F59B75DB571C9A23E00","De oudste generaties van het geslacht Van Boesbergen C H van Wijngaarden 233-243 2009")</f>
        <v>0</v>
      </c>
      <c r="D957" s="1">
        <f>hyperlink("http://dspace.library.uu.nl/handle/1874/212312","De Goudse Glazen en hertog Erik van Brunswijk heer van Woerden 2-3 1966")</f>
        <v>0</v>
      </c>
    </row>
    <row r="958" spans="2:4">
      <c r="B958">
        <v>58</v>
      </c>
      <c r="C958" s="1">
        <f>hyperlink("https://hetutrechtsarchief.nl/collectie/5E69432904AC57289CE450C11A967130","De Verkeersdienst J C Janssen 2-3 portr 1966")</f>
        <v>0</v>
      </c>
      <c r="D958" s="1">
        <f>hyperlink("http://dspace.library.uu.nl/handle/1874/212314","Een prestigekwestie in 1816 Joh Jansen 12-13 1966")</f>
        <v>0</v>
      </c>
    </row>
    <row r="959" spans="2:4">
      <c r="B959">
        <v>69</v>
      </c>
      <c r="C959" s="1">
        <f>hyperlink("https://hetutrechtsarchief.nl/collectie/87813290E8E25D079525F96BA7852761","De gemeentelijke herindeling van Zeist R P M Rhoen 24-29 2001")</f>
        <v>0</v>
      </c>
      <c r="D959" s="1">
        <f>hyperlink("http://dspace.library.uu.nl/handle/1874/212315","Gemeentelijke herindeling J G M Boon 39-40 1970")</f>
        <v>0</v>
      </c>
    </row>
    <row r="960" spans="2:4">
      <c r="B960">
        <v>53</v>
      </c>
      <c r="C960" s="1">
        <f>hyperlink("https://hetutrechtsarchief.nl/collectie/3CCE507D5E57583A8FA713480F63A1CD","Utrechtsche kout van 1769 medeged door A M Cramer 75 -95 1909")</f>
        <v>0</v>
      </c>
      <c r="D960" s="1">
        <f>hyperlink("http://dspace.library.uu.nl/handle/1874/212316","Krantennieuws uit 1870 medegedeeld door J G M Boon J G M Boon 22-29 1970")</f>
        <v>0</v>
      </c>
    </row>
    <row r="961" spans="2:4">
      <c r="B961">
        <v>53</v>
      </c>
      <c r="C961" s="1">
        <f>hyperlink("https://hetutrechtsarchief.nl/collectie/0B70F3D165DA5AB682252E568078CCC7","Verbeteringen stadion C J Jansen 9-11 ill 1971")</f>
        <v>0</v>
      </c>
      <c r="D961" s="1">
        <f>hyperlink("http://dspace.library.uu.nl/handle/1874/212318","Volkstelling in 1795 C J W Gravendaal 1 1971")</f>
        <v>0</v>
      </c>
    </row>
    <row r="962" spans="2:4">
      <c r="B962">
        <v>60</v>
      </c>
      <c r="C962" s="1">
        <f>hyperlink("https://hetutrechtsarchief.nl/collectie/83FE5415867D5DC589152A5259E4021D","Landverhuizers in Mijdrecht J M Klijn 52-55 2003")</f>
        <v>0</v>
      </c>
      <c r="D962" s="1">
        <f>hyperlink("http://dspace.library.uu.nl/handle/1874/212319","Landverhuizers Nico Plomp 42-45 1971")</f>
        <v>0</v>
      </c>
    </row>
    <row r="963" spans="2:4">
      <c r="B963">
        <v>55</v>
      </c>
      <c r="C963" s="1">
        <f>hyperlink("https://hetutrechtsarchief.nl/collectie/0F5D8B0CE39456B98D780C5F9BF6BE39","Een moedwillige brandstichting J van Galen 21-22 1957")</f>
        <v>0</v>
      </c>
      <c r="D963" s="1">
        <f>hyperlink("http://dspace.library.uu.nl/handle/1874/212320","Een regeringsjubileum C J W Gravendaal 19-20 1973")</f>
        <v>0</v>
      </c>
    </row>
    <row r="964" spans="2:4">
      <c r="B964">
        <v>59</v>
      </c>
      <c r="C964" s="1">
        <f>hyperlink("https://hetutrechtsarchief.nl/collectie/7A5B7172A41C502EA5C2C8A682612F0A","Ameliswaard B George A Pabst 1-25 ill 1841")</f>
        <v>0</v>
      </c>
      <c r="D964" s="1">
        <f>hyperlink("http://dspace.library.uu.nl/handle/1874/212321","Batestein onder Harmelen B George A Pabst 5-8 1969")</f>
        <v>0</v>
      </c>
    </row>
    <row r="965" spans="2:4">
      <c r="B965">
        <v>64</v>
      </c>
      <c r="C965" s="1">
        <f>hyperlink("https://hetutrechtsarchief.nl/collectie/1834E5A802755227B100370842313D80","Rouwborden in de Hervormde kerk van Maarssen deel 1 Rutger de Graaf 68-70 2012")</f>
        <v>0</v>
      </c>
      <c r="D965" s="1">
        <f>hyperlink("http://dspace.library.uu.nl/handle/1874/212322","Het orgel in de Hervormde Kerk te Jaarsveld C J W Gravendaal 6-7 1972")</f>
        <v>0</v>
      </c>
    </row>
    <row r="966" spans="2:4">
      <c r="B966">
        <v>56</v>
      </c>
      <c r="C966" s="1">
        <f>hyperlink("https://hetutrechtsarchief.nl/collectie/9B68233F7D0B51BCA4501D857F43B166","Woerden en Utrecht in de Middeleeuwen Nico Plomp 19-20 1972")</f>
        <v>0</v>
      </c>
      <c r="D966" s="1">
        <f>hyperlink("http://dspace.library.uu.nl/handle/1874/212323","Mathijs Joosten van Eijck en de Lorredraaier Nico Plomp 44-45 1972")</f>
        <v>0</v>
      </c>
    </row>
    <row r="967" spans="2:4">
      <c r="B967">
        <v>59</v>
      </c>
      <c r="C967" s="1">
        <f>hyperlink("https://hetutrechtsarchief.nl/collectie/0CCE3AA02F4451E7867655E350902F99","Oude kaart van zuid-west Utrecht J G M Boon 83- 85 krt 1961")</f>
        <v>0</v>
      </c>
      <c r="D967" s="1">
        <f>hyperlink("http://dspace.library.uu.nl/handle/1874/212324","De nieuwe vaart van Montfoort naar Linschoten J G M Boon 8-18 1968")</f>
        <v>0</v>
      </c>
    </row>
    <row r="968" spans="2:4">
      <c r="B968">
        <v>59</v>
      </c>
      <c r="C968" s="1">
        <f>hyperlink("https://hetutrechtsarchief.nl/collectie/26629A36E1CA56AFA905B3010E299183","Gemeentelijke archiefdienst Amersfoort uit de waterschapsarchieven 6-7 2000")</f>
        <v>0</v>
      </c>
      <c r="D968" s="1">
        <f>hyperlink("http://dspace.library.uu.nl/handle/1874/212325","Gemeentelijke archiefzorg Montfoort en Woerden 22 1969")</f>
        <v>0</v>
      </c>
    </row>
    <row r="969" spans="2:4">
      <c r="B969">
        <v>73</v>
      </c>
      <c r="C969" s="1">
        <f>hyperlink("https://hetutrechtsarchief.nl/collectie/A2CD07A4CA3552779D8056EDC8F015A6","De maarschalken van het Sticht J H Hofman 24 -26 1905")</f>
        <v>0</v>
      </c>
      <c r="D969" s="1">
        <f>hyperlink("http://dspace.library.uu.nl/handle/1874/212326","De maarschalken van Montfoort J H Hofman 15-19 1969")</f>
        <v>0</v>
      </c>
    </row>
    <row r="970" spans="2:4">
      <c r="B970">
        <v>54</v>
      </c>
      <c r="C970" s="1">
        <f>hyperlink("https://hetutrechtsarchief.nl/collectie/54744F664FA259FE9FE2925E53C3611D","Het geslacht Hamel te Utrecht J L Hamel en G A Hamel 124-134 1960")</f>
        <v>0</v>
      </c>
      <c r="D970" s="1">
        <f>hyperlink("http://dspace.library.uu.nl/handle/1874/212327","Het Slot te Montfoort J G M Lennep J van Hofdijk W J Boon 12-15 1969")</f>
        <v>0</v>
      </c>
    </row>
    <row r="971" spans="2:4">
      <c r="B971">
        <v>58</v>
      </c>
      <c r="C971" s="1">
        <f>hyperlink("https://hetutrechtsarchief.nl/collectie/5B34284E3A4058EAA11DA8385E41CFD6","De windmolens van het waterschap Lopik J G M Boon 108-110 ill 1963")</f>
        <v>0</v>
      </c>
      <c r="D971" s="1">
        <f>hyperlink("http://dspace.library.uu.nl/handle/1874/212328","De weg tussen de Doorslag en het Gein J G M Boon 19-21 1968")</f>
        <v>0</v>
      </c>
    </row>
    <row r="972" spans="2:4">
      <c r="B972">
        <v>62</v>
      </c>
      <c r="C972" s="1">
        <f>hyperlink("https://hetutrechtsarchief.nl/collectie/7654A6FF35B6514B8A2A12DCB3F1FA49","Volksbewind in Oudewater Peter van Oosten de Boer 18-19 2009")</f>
        <v>0</v>
      </c>
      <c r="D972" s="1">
        <f>hyperlink("http://dspace.library.uu.nl/handle/1874/212329","Onderpand Oudewater ingelost A W den Boer 17-19 1970")</f>
        <v>0</v>
      </c>
    </row>
    <row r="973" spans="2:4">
      <c r="B973">
        <v>57</v>
      </c>
      <c r="C973" s="1">
        <f>hyperlink("https://hetutrechtsarchief.nl/collectie/11A36B05F41F5E9FB40795C09B08ABE2","Trams en verkeersdrukte A J S van Lier 10 1971")</f>
        <v>0</v>
      </c>
      <c r="D973" s="1">
        <f>hyperlink("http://dspace.library.uu.nl/handle/1874/212330","Drankmisbruik en verkeersveiligheid in vroeger eeuwen A W den Boer 31-33 1971")</f>
        <v>0</v>
      </c>
    </row>
    <row r="974" spans="2:4">
      <c r="B974">
        <v>56</v>
      </c>
      <c r="C974" s="1">
        <f>hyperlink("https://hetutrechtsarchief.nl/collectie/C8E5EDDA18015FED868C089FE6C61182","Kunstwerken de man en de raven - D 5 ill 1964")</f>
        <v>0</v>
      </c>
      <c r="D974" s="1">
        <f>hyperlink("http://dspace.library.uu.nl/handle/1874/212331","Herman de Man C J W Gravendaal 46-48 1971")</f>
        <v>0</v>
      </c>
    </row>
    <row r="975" spans="2:4">
      <c r="B975">
        <v>56</v>
      </c>
      <c r="C975" s="1">
        <f>hyperlink("https://hetutrechtsarchief.nl/collectie/F5D5962B754556C6ABE16DB9F1CB8BDF","Studenten in Domsteeg F A L Franken 10-11 1962")</f>
        <v>0</v>
      </c>
      <c r="D975" s="1">
        <f>hyperlink("http://dspace.library.uu.nl/handle/1874/212332","Oudewater - zomerresidentie M A G Hauer-Kleber 10-11 1971")</f>
        <v>0</v>
      </c>
    </row>
    <row r="976" spans="2:4">
      <c r="B976">
        <v>59</v>
      </c>
      <c r="C976" s="1">
        <f>hyperlink("https://hetutrechtsarchief.nl/collectie/1EA88D535185561CBD75FB730074C5E0","Joden in IJsselstein T A van Dijk 23-30 2016")</f>
        <v>0</v>
      </c>
      <c r="D976" s="1">
        <f>hyperlink("http://dspace.library.uu.nl/handle/1874/212333","Posthuis des Heren in IJsselstein 23-24 1968")</f>
        <v>0</v>
      </c>
    </row>
    <row r="977" spans="2:4">
      <c r="B977">
        <v>61</v>
      </c>
      <c r="C977" s="1">
        <f>hyperlink("https://hetutrechtsarchief.nl/collectie/C71E93EC6EF55E59840F338E6A7DFB34","Aanteekeningen over het geslacht Van Resan d t W Wijnaendts 165 1900")</f>
        <v>0</v>
      </c>
      <c r="D977" s="1">
        <f>hyperlink("http://dspace.library.uu.nl/handle/1874/212334","Aantekeningen over de historie van IJsselstein J G M Boon 1-9 1968")</f>
        <v>0</v>
      </c>
    </row>
    <row r="978" spans="2:4">
      <c r="B978">
        <v>51</v>
      </c>
      <c r="C978" s="1">
        <f>hyperlink("https://hetutrechtsarchief.nl/collectie/DB82F500E5FE3BD5E0538F04000AC72D","Van boer naar Klein Middelwijck het Soester boerenleven door de ogen van Gerard Hilhorst Hans van Hees 22-31 2022")</f>
        <v>0</v>
      </c>
      <c r="D978" s="1">
        <f>hyperlink("http://dspace.library.uu.nl/handle/1874/212336","Van Schoonhoven naar IJsselstein via Lopik eenige beschouwingen over den door de provincie voorgenomen wegaanleg te Lopik Herman de Man 10-12 1968")</f>
        <v>0</v>
      </c>
    </row>
    <row r="979" spans="2:4">
      <c r="B979">
        <v>55</v>
      </c>
      <c r="C979" s="1">
        <f>hyperlink("https://hetutrechtsarchief.nl/collectie/99378922C1065830A021904CD101F986","Het geslacht Thomassen Thuessink - Th Th van der Hoop 12-21 41-47 84-88 1929")</f>
        <v>0</v>
      </c>
      <c r="D979" s="1">
        <f>hyperlink("http://dspace.library.uu.nl/handle/1874/212337","Het Slot te IJsselstein J G M Lennep J van Hofdijk W J Boon 12 16-18 1969")</f>
        <v>0</v>
      </c>
    </row>
    <row r="980" spans="2:4">
      <c r="B980">
        <v>60</v>
      </c>
      <c r="C980" s="1">
        <f>hyperlink("https://hetutrechtsarchief.nl/collectie/8145B90AB6B0594AA9551DE7D7008CB4","Staat van beleg Henk Droog 12-14 1985")</f>
        <v>0</v>
      </c>
      <c r="D980" s="1">
        <f>hyperlink("http://dspace.library.uu.nl/handle/1874/212338","Bertrade van Heukelom Henk Kooijman 12-13 1970")</f>
        <v>0</v>
      </c>
    </row>
    <row r="981" spans="2:4">
      <c r="B981">
        <v>56</v>
      </c>
      <c r="C981" s="1">
        <f>hyperlink("https://hetutrechtsarchief.nl/collectie/3112264D2CF05A25839E17C4A9DA5F7E","De bemaling van de Bunschoter polders 3 Arie ter Beek 36-43 2001")</f>
        <v>0</v>
      </c>
      <c r="D981" s="1">
        <f>hyperlink("http://dspace.library.uu.nl/handle/1874/212376","De windbemaling in de polder Barwoutswaarder G H Keunen 1-8 1977")</f>
        <v>0</v>
      </c>
    </row>
    <row r="982" spans="2:4">
      <c r="B982">
        <v>52</v>
      </c>
      <c r="C982" s="1">
        <f>hyperlink("https://hetutrechtsarchief.nl/collectie/A740BA193DD457869EA089B1DD3EFF75","Opnieuw graven naar Wijks verleden archeologisch onderzoek op het terrein van de voormalige fruitveiling te Wijk bij Duurstede Jan van Doesburg 27-28 2007")</f>
        <v>0</v>
      </c>
      <c r="D982" s="1">
        <f>hyperlink("http://dspace.library.uu.nl/handle/1874/212377","De Romeinse opgravingen op het terrein van het voormalig St -Jozefpensionaat te Woerden J K Bogaers J E Haalebos 76-84 1979")</f>
        <v>0</v>
      </c>
    </row>
    <row r="983" spans="2:4">
      <c r="B983">
        <v>56</v>
      </c>
      <c r="C983" s="1">
        <f>hyperlink("https://hetutrechtsarchief.nl/collectie/8C9B1B8489FAD6ABE0534701000A58F2","Sporen van bewoning uit de 12e eeuw Jan van der Laan 18-21 2019")</f>
        <v>0</v>
      </c>
      <c r="D983" s="1">
        <f>hyperlink("http://dspace.library.uu.nl/handle/1874/212378","Romeinse sporen van bewoning in de tuin van de oude pastorie aan de Groenendaalstraat P C Beunder 8-12 1978")</f>
        <v>0</v>
      </c>
    </row>
    <row r="984" spans="2:4">
      <c r="B984">
        <v>58</v>
      </c>
      <c r="C984" s="1">
        <f>hyperlink("https://hetutrechtsarchief.nl/collectie/5B498DA0866C5969AF587A4EB3D2FB51","De bijbel als gevelsteen te Utrecht Jan Evertsz van Doorn G A Evers 4-10 1918")</f>
        <v>0</v>
      </c>
      <c r="D984" s="1">
        <f>hyperlink("http://dspace.library.uu.nl/handle/1874/212379","De hondenbelasting in Woerden L Cl M Beerthuizen-van Kooten G J A Peters 8-19 1981")</f>
        <v>0</v>
      </c>
    </row>
    <row r="985" spans="2:4">
      <c r="B985">
        <v>60</v>
      </c>
      <c r="C985" s="1">
        <f>hyperlink("https://hetutrechtsarchief.nl/collectie/BA478F2E574954BABD6050DEBDC868A7","De hofstede Rhijnenburg te Cothen Ad van Bemmel 33-34 ill 1998")</f>
        <v>0</v>
      </c>
      <c r="D985" s="1">
        <f>hyperlink("http://dspace.library.uu.nl/handle/1874/212380","De Romeinse molenstenen te Woerden J van Bemmel 20-24 1981")</f>
        <v>0</v>
      </c>
    </row>
    <row r="986" spans="2:4">
      <c r="B986">
        <v>53</v>
      </c>
      <c r="C986" s="1">
        <f>hyperlink("https://hetutrechtsarchief.nl/collectie/640ED104D908A69CE0534701000AD44A","Zestig jaar verandering in het voormalige Groot-Waterschap van Woerden Lex Albers 114-123 2017")</f>
        <v>0</v>
      </c>
      <c r="D986" s="1">
        <f>hyperlink("http://dspace.library.uu.nl/handle/1874/212381","Proefopgraving in de tuin van het voormalige Gereformeerd Weeshuis aan de Havenstraat te Woerden Elly E van der Busse-Bruin 33-38 1980")</f>
        <v>0</v>
      </c>
    </row>
    <row r="987" spans="2:4">
      <c r="B987">
        <v>54</v>
      </c>
      <c r="C987" s="1">
        <f>hyperlink("https://hetutrechtsarchief.nl/collectie/873E0D71C44A54BE83736FF04FE9AA7B","Twee inventarissen van kerkelijke goederen toebehoorende aan de Oudmunster te Utrecht W J A Visser 172-176 1934")</f>
        <v>0</v>
      </c>
      <c r="D987" s="1">
        <f>hyperlink("http://dspace.library.uu.nl/handle/1874/212382","Een politieke en kerkelijke omwenteling in Woerden in de maanden januari tot april van t jaar 1795 J Haitsma 25-31 1973")</f>
        <v>0</v>
      </c>
    </row>
    <row r="988" spans="2:4">
      <c r="B988">
        <v>59</v>
      </c>
      <c r="C988" s="1">
        <f>hyperlink("https://hetutrechtsarchief.nl/collectie/49B135779C8C537A9B2D58FD8472475D","Het museum voor kunst en geschiedenis van de Oudkatholieke Kerk in Nederland - E L 4-7 1928")</f>
        <v>0</v>
      </c>
      <c r="D988" s="1">
        <f>hyperlink("http://dspace.library.uu.nl/handle/1874/212383","Eerste steenlegging van de Rooms-Katholieke kerk te Woerden op 14 juli 1890 35 1973")</f>
        <v>0</v>
      </c>
    </row>
    <row r="989" spans="2:4">
      <c r="B989">
        <v>58</v>
      </c>
      <c r="C989" s="1">
        <f>hyperlink("https://hetutrechtsarchief.nl/collectie/94234283C69055B7B9391FB85D504F96","De oudere generaties van het geslacht Noppen te Woerden J P Noppen 535-543 2016")</f>
        <v>0</v>
      </c>
      <c r="D989" s="1">
        <f>hyperlink("http://dspace.library.uu.nl/handle/1874/212384","Iets uit de historie van het orgel in de Petruskerk te Woerden A M ten Hoeve 37-44 1973")</f>
        <v>0</v>
      </c>
    </row>
    <row r="990" spans="2:4">
      <c r="B990">
        <v>58</v>
      </c>
      <c r="C990" s="1">
        <f>hyperlink("https://hetutrechtsarchief.nl/collectie/3856B6B48C8A51BD98F0F1EA4EFE062D","Woerdense tabakspijpenmakers in de 17e en 18e eeuw B van der Lingen 29-40 2000")</f>
        <v>0</v>
      </c>
      <c r="D990" s="1">
        <f>hyperlink("http://dspace.library.uu.nl/handle/1874/212385","Woerdense kleermakers gildepenningen A G van der Steur 2-8 1974")</f>
        <v>0</v>
      </c>
    </row>
    <row r="991" spans="2:4">
      <c r="B991">
        <v>57</v>
      </c>
      <c r="C991" s="1">
        <f>hyperlink("https://hetutrechtsarchief.nl/collectie/9B68233F7D0B51BCA4501D857F43B166","Woerden en Utrecht in de Middeleeuwen Nico Plomp 19-20 1972")</f>
        <v>0</v>
      </c>
      <c r="D991" s="1">
        <f>hyperlink("http://dspace.library.uu.nl/handle/1874/212387","De Woerdense binnenstad in het monumentenjaar N Plomp 1-3 nr 4 p 26-30 1975")</f>
        <v>0</v>
      </c>
    </row>
    <row r="992" spans="2:4">
      <c r="B992">
        <v>55</v>
      </c>
      <c r="C992" s="1">
        <f>hyperlink("https://hetutrechtsarchief.nl/collectie/8793E516B7C85D4C890CAB3FFBDC0B92","De militaire werken aan de Kromme Rijn J Belonje 180 - 181 1982")</f>
        <v>0</v>
      </c>
      <c r="D992" s="1">
        <f>hyperlink("http://dspace.library.uu.nl/handle/1874/212388","De Romeinse militaire bebouwing van Woerden komt in het licht P C Beunder 3-12 1975")</f>
        <v>0</v>
      </c>
    </row>
    <row r="993" spans="2:4">
      <c r="B993">
        <v>60</v>
      </c>
      <c r="C993" s="1">
        <f>hyperlink("https://hetutrechtsarchief.nl/collectie/CF3F3DAF46EE536298B0C8C8212D59C3","Utrechtsche loterijen in de 15e eeuw C W Wagenaar 36 -41 1904")</f>
        <v>0</v>
      </c>
      <c r="D993" s="1">
        <f>hyperlink("http://dspace.library.uu.nl/handle/1874/212389","Monumentenzorg in de vorige eeuw C J W Gravendaal 13-15 1975")</f>
        <v>0</v>
      </c>
    </row>
    <row r="994" spans="2:4">
      <c r="B994">
        <v>52</v>
      </c>
      <c r="C994" s="1">
        <f>hyperlink("https://hetutrechtsarchief.nl/collectie/5D754AF2765E5A3397A5633868065B9C","Heraut van de oude orde een genealogie van Nederlands s Adelsboek 1903-1945 Conrad Gietman 168-211 2005")</f>
        <v>0</v>
      </c>
      <c r="D994" s="1">
        <f>hyperlink("http://dspace.library.uu.nl/handle/1874/212390","De herbouw van de Petruskerk en de weder ingebruikneming ervan op donderdag 7 november 1675 J Haitsma 15-17 20-22 1975")</f>
        <v>0</v>
      </c>
    </row>
    <row r="995" spans="2:4">
      <c r="B995">
        <v>63</v>
      </c>
      <c r="C995" s="1">
        <f>hyperlink("https://hetutrechtsarchief.nl/collectie/C7BE4F836E595CC993531B90832D6F17","Bestrating in vroeger tijden S n 2-5 1948")</f>
        <v>0</v>
      </c>
      <c r="D995" s="1">
        <f>hyperlink("http://dspace.library.uu.nl/handle/1874/212391","Boerenfamiliedag in vroeger tijd C J van Doorn 33-35 1975")</f>
        <v>0</v>
      </c>
    </row>
    <row r="996" spans="2:4">
      <c r="B996">
        <v>54</v>
      </c>
      <c r="C996" s="1">
        <f>hyperlink("https://hetutrechtsarchief.nl/collectie/3553B98691575863943896712D44F8D9","IJsselstein - G v H 4-5 1936")</f>
        <v>0</v>
      </c>
      <c r="D996" s="1">
        <f>hyperlink("http://dspace.library.uu.nl/handle/1874/212392","Hugo Jasperszoon Kotestein G B F Jurg 1-5 1976")</f>
        <v>0</v>
      </c>
    </row>
    <row r="997" spans="2:4">
      <c r="B997">
        <v>60</v>
      </c>
      <c r="C997" s="1">
        <f>hyperlink("https://hetutrechtsarchief.nl/collectie/D3CA3256ED4C59CA823B7481FF147040","De grenzen van Den Dolder M Raven 71-72 1965")</f>
        <v>0</v>
      </c>
      <c r="D997" s="1">
        <f>hyperlink("http://dspace.library.uu.nl/handle/1874/212393","Plattegronden van Woerden Leen Immerzeel 6-7 1976")</f>
        <v>0</v>
      </c>
    </row>
    <row r="998" spans="2:4">
      <c r="B998">
        <v>50</v>
      </c>
      <c r="C998" s="1">
        <f>hyperlink("https://hetutrechtsarchief.nl/collectie/A6E568615CEE50C7BAE8A89AF3C2E923","Een kijkje in de werkplaats van de Dienst voor Sociale Zaken H K rner 7-12 ill 1953")</f>
        <v>0</v>
      </c>
      <c r="D998" s="1">
        <f>hyperlink("http://dspace.library.uu.nl/handle/1874/212394","Woerden als verblijfplaats van de 15e cohorte voluntariorum al in 1887 aanwijsbaar P C Beunder 9-12 1976")</f>
        <v>0</v>
      </c>
    </row>
    <row r="999" spans="2:4">
      <c r="B999">
        <v>53</v>
      </c>
      <c r="C999" s="1">
        <f>hyperlink("https://hetutrechtsarchief.nl/collectie/65A0FF3B0CEFE5FAE0534701000A55FF","Verkiezingen militaire operatie met grote verantwoordelijkheid Ren e Blom 18-20 2018")</f>
        <v>0</v>
      </c>
      <c r="D999" s="1">
        <f>hyperlink("http://dspace.library.uu.nl/handle/1874/212395","Sporen van Romeinse militairen onder de politiekazerne te Woerden J K Bogaers J E Haalebos 13-15 1976")</f>
        <v>0</v>
      </c>
    </row>
    <row r="1000" spans="2:4">
      <c r="B1000">
        <v>62</v>
      </c>
      <c r="C1000" s="1">
        <f>hyperlink("https://hetutrechtsarchief.nl/collectie/9B68233F7D0B51BCA4501D857F43B166","Woerden en Utrecht in de Middeleeuwen Nico Plomp 19-20 1972")</f>
        <v>0</v>
      </c>
      <c r="D1000" s="1">
        <f>hyperlink("http://dspace.library.uu.nl/handle/1874/212396","De drie burchten van Woerden N Plomp 17-23 1976")</f>
        <v>0</v>
      </c>
    </row>
    <row r="1001" spans="2:4">
      <c r="B1001">
        <v>64</v>
      </c>
      <c r="C1001" s="1">
        <f>hyperlink("https://hetutrechtsarchief.nl/collectie/C795311BD1E45AC4A8C8726B14BA76F0","Montfoort - K 34 1935")</f>
        <v>0</v>
      </c>
      <c r="D1001" s="1">
        <f>hyperlink("http://dspace.library.uu.nl/handle/1874/212397","Montfoortnummer 14-25 25-36 1976")</f>
        <v>0</v>
      </c>
    </row>
    <row r="1002" spans="2:4">
      <c r="B1002">
        <v>70</v>
      </c>
      <c r="C1002" s="1">
        <f>hyperlink("https://hetutrechtsarchief.nl/collectie/0BB66EAF40435007B4D3F46C9DA74C36","De geschiedenis van de posterijen in De Meern J Sangers 34-44 2015")</f>
        <v>0</v>
      </c>
      <c r="D1002" s="1">
        <f>hyperlink("http://dspace.library.uu.nl/handle/1874/212398","Geschiedenis van de posterijen te Woerden C J W Gravendaal 37-42 1976")</f>
        <v>0</v>
      </c>
    </row>
    <row r="1003" spans="2:4">
      <c r="B1003">
        <v>59</v>
      </c>
      <c r="C1003" s="1">
        <f>hyperlink("https://hetutrechtsarchief.nl/collectie/775DA3A7BD4B56C2B98D125826F2DDF6","De ontwikkeling van het openbaar vervoer Jonna Dommerholt 3-20 1995")</f>
        <v>0</v>
      </c>
      <c r="D1003" s="1">
        <f>hyperlink("http://dspace.library.uu.nl/handle/1874/212399","De ontwikkeling van het telefoonverkeer te Woerden C J W Gravendaal 43-46 1976")</f>
        <v>0</v>
      </c>
    </row>
    <row r="1004" spans="2:4">
      <c r="B1004">
        <v>57</v>
      </c>
      <c r="C1004" s="1">
        <f>hyperlink("https://hetutrechtsarchief.nl/collectie/0BA301ACA34C522E89F56EC19FAC41F5","De Doleantie R Hagoort 5 -14 1927")</f>
        <v>0</v>
      </c>
      <c r="D1004" s="1">
        <f>hyperlink("http://dspace.library.uu.nl/handle/1874/212400","Bedelen J Haitsma 8-11 1977")</f>
        <v>0</v>
      </c>
    </row>
    <row r="1005" spans="2:4">
      <c r="B1005">
        <v>52</v>
      </c>
      <c r="C1005" s="1">
        <f>hyperlink("https://hetutrechtsarchief.nl/collectie/436FAE3D75A052F692FDCFF0BC6D8B35","Ambachtsheren van Mijnden en de Loosdrechten op Eikenrode Bas de Ligt 128-137 2007")</f>
        <v>0</v>
      </c>
      <c r="D1005" s="1">
        <f>hyperlink("http://dspace.library.uu.nl/handle/1874/212401","Baldadigheid kent geen tijd Oud en Nieuw bracht ook in Woerden baldadigheid 12 1977")</f>
        <v>0</v>
      </c>
    </row>
    <row r="1006" spans="2:4">
      <c r="B1006">
        <v>57</v>
      </c>
      <c r="C1006" s="1">
        <f>hyperlink("https://hetutrechtsarchief.nl/collectie/F25E93A7EC955B5D985FB8A0E649C43A","De Bilt toen en nu 22-23 2016")</f>
        <v>0</v>
      </c>
      <c r="D1006" s="1">
        <f>hyperlink("http://dspace.library.uu.nl/handle/1874/212402","Kleivletten A J Brander 22-23 1977")</f>
        <v>0</v>
      </c>
    </row>
    <row r="1007" spans="2:4">
      <c r="B1007">
        <v>53</v>
      </c>
      <c r="C1007" s="1">
        <f>hyperlink("https://hetutrechtsarchief.nl/collectie/7D2218F6F70151229D7F5632C95B3866","De Baarnse steenfabriek Bep Grootendorst 2-4 1999")</f>
        <v>0</v>
      </c>
      <c r="D1007" s="1">
        <f>hyperlink("http://dspace.library.uu.nl/handle/1874/212403","Dakpannenfabricage te Woerden A J Brander 24 1977")</f>
        <v>0</v>
      </c>
    </row>
    <row r="1008" spans="2:4">
      <c r="B1008">
        <v>66</v>
      </c>
      <c r="C1008" s="1">
        <f>hyperlink("https://hetutrechtsarchief.nl/collectie/B5629FF7E8095325AE48623913FE9E72","Opnieuw samenwerking historische verenigingen - L v T 48 1976")</f>
        <v>0</v>
      </c>
      <c r="D1008" s="1">
        <f>hyperlink("http://dspace.library.uu.nl/handle/1874/212404","Twintig jaar historische vereniging N Plomp 37-44 1977")</f>
        <v>0</v>
      </c>
    </row>
    <row r="1009" spans="2:4">
      <c r="B1009">
        <v>51</v>
      </c>
      <c r="C1009" s="1">
        <f>hyperlink("https://hetutrechtsarchief.nl/collectie/679B9B813D0C5852861CA3DB61A17C93","Advies der Utrechtsche Gedeputeerden ter Generaliteit betreffende den toestand des lands in den aanvang van het jaar 1747 medeged door J L A Martens 374-376 1877")</f>
        <v>0</v>
      </c>
      <c r="D1009" s="1">
        <f>hyperlink("http://dspace.library.uu.nl/handle/1874/212405","Nieuwjaars heil- en zegenwensch eerbiedig opgedragen aan heeren burgemeester wethouders en verdere ingezetenen van de gemeente Woerden door de lantaarnopstekers bij den aanvang van het jaar 1887 H Starrenburg R Dolderman 52 1977")</f>
        <v>0</v>
      </c>
    </row>
    <row r="1010" spans="2:4">
      <c r="B1010">
        <v>58</v>
      </c>
      <c r="C1010" s="1">
        <f>hyperlink("https://hetutrechtsarchief.nl/collectie/B1FD875DA02A52BCA7914F939DE8874A","Neem en eet Mike de Leede 10-11 1983")</f>
        <v>0</v>
      </c>
      <c r="D1010" s="1">
        <f>hyperlink("http://dspace.library.uu.nl/handle/1874/212406","Wegens de veepest B de Bos J Leeuw 1-7 1978")</f>
        <v>0</v>
      </c>
    </row>
    <row r="1011" spans="2:4">
      <c r="B1011">
        <v>55</v>
      </c>
      <c r="C1011" s="1">
        <f>hyperlink("https://hetutrechtsarchief.nl/collectie/91223FC4592955B28D2F32C608EBD0F2","Belgische vluchtelingen en militairen in IJsselstein 1914-1919 T A van Dijk 37-48 2015")</f>
        <v>0</v>
      </c>
      <c r="D1011" s="1">
        <f>hyperlink("http://dspace.library.uu.nl/handle/1874/212407","Het Christelijk Militair Tehuis in Woerden 1914-1919 N Plomp 12-16 1978")</f>
        <v>0</v>
      </c>
    </row>
    <row r="1012" spans="2:4">
      <c r="B1012">
        <v>58</v>
      </c>
      <c r="C1012" s="1">
        <f>hyperlink("https://hetutrechtsarchief.nl/collectie/F76F123214BA5550B612FEA844F4464D","De ordening van het archief Ritter Jan van Herpen 45-46 portr 1990")</f>
        <v>0</v>
      </c>
      <c r="D1012" s="1">
        <f>hyperlink("http://dspace.library.uu.nl/handle/1874/212409","De opheffing van het garnizoen te Woerden C J W Gravendaal 84-87 1979")</f>
        <v>0</v>
      </c>
    </row>
    <row r="1013" spans="2:4">
      <c r="B1013">
        <v>56</v>
      </c>
      <c r="C1013" s="1">
        <f>hyperlink("https://hetutrechtsarchief.nl/collectie/1EBDD697D973581FA53E23D3FD2DD7DD","Meubelfabriek de Eendracht deel 2 de oprichting van de meubelfabriek Hans Aalbers 12-17 2015")</f>
        <v>0</v>
      </c>
      <c r="D1013" s="1">
        <f>hyperlink("http://dspace.library.uu.nl/handle/1874/212410","De straatverlichting van Woerden v r de oprichting van de gasfabriek Annie Stolp 100-104 1979")</f>
        <v>0</v>
      </c>
    </row>
    <row r="1014" spans="2:4">
      <c r="B1014">
        <v>53</v>
      </c>
      <c r="C1014" s="1">
        <f>hyperlink("https://hetutrechtsarchief.nl/collectie/7291B992190F5F0EA742348F2202033D","Het einde van de Tunnel tijd voor een actief drugsbeleid in Utrecht Peter ten Cate foto Frank Dries 4-5 1999")</f>
        <v>0</v>
      </c>
      <c r="D1014" s="1">
        <f>hyperlink("http://dspace.library.uu.nl/handle/1874/212411","De gasfabrieken van de Maatschappij voor nieuwe geoctroyeerde gasbereiding te Woerden en Gouda Annie Stolp 15-20 1980")</f>
        <v>0</v>
      </c>
    </row>
    <row r="1015" spans="2:4">
      <c r="B1015">
        <v>60</v>
      </c>
      <c r="C1015" s="1">
        <f>hyperlink("https://hetutrechtsarchief.nl/collectie/8663C33F838B56F3B64A7BDC93B9645F","De Eemsche molen op een kaart uit de zeventiende eeuw Hans Bronkhorst 11-16 ill 1998")</f>
        <v>0</v>
      </c>
      <c r="D1015" s="1">
        <f>hyperlink("http://dspace.library.uu.nl/handle/1874/212412","Een Woerdense wondergeboorte uit de zeventiende eeuw G T Haneveld 21-23 1980")</f>
        <v>0</v>
      </c>
    </row>
    <row r="1016" spans="2:4">
      <c r="B1016">
        <v>57</v>
      </c>
      <c r="C1016" s="1">
        <f>hyperlink("https://hetutrechtsarchief.nl/collectie/1ACCFC21F1DC5AA7AF997933735B7A1F","E van Weede van Dijkveld medeged door W J C van Hasselt 41-49 1861")</f>
        <v>0</v>
      </c>
      <c r="D1016" s="1">
        <f>hyperlink("http://dspace.library.uu.nl/handle/1874/212413","Lijst van weerbare mannen van Rietveld en de Bree R J F van Drie 26-27 1980")</f>
        <v>0</v>
      </c>
    </row>
    <row r="1017" spans="2:4">
      <c r="B1017">
        <v>61</v>
      </c>
      <c r="C1017" s="1">
        <f>hyperlink("https://hetutrechtsarchief.nl/collectie/749D7CF770E15F14B76327F0431A504C","Kantelen voor Wulverhorst J W C van Schaik en G J A Beerthuizen-van Kooten 105-115 2012")</f>
        <v>0</v>
      </c>
      <c r="D1017" s="1">
        <f>hyperlink("http://dspace.library.uu.nl/handle/1874/212414","Belofte maakt schuld G J A Beerthuizen-van Kooten 53 1980")</f>
        <v>0</v>
      </c>
    </row>
    <row r="1018" spans="2:4">
      <c r="B1018">
        <v>52</v>
      </c>
      <c r="C1018" s="1">
        <f>hyperlink("https://hetutrechtsarchief.nl/collectie/F0EE66BDCEE551E59F8314A40194CF4A","De Christelijke afgescheiden gemeente en de eerste jaren van haar bestaan - K 20-23 1939")</f>
        <v>0</v>
      </c>
      <c r="D1018" s="1">
        <f>hyperlink("http://dspace.library.uu.nl/handle/1874/212415","F Kalsbeek naar wie de Christelijke Scholengemeenschap in Woerden is genoemd L Kalsbeek 55-76 1980")</f>
        <v>0</v>
      </c>
    </row>
    <row r="1019" spans="2:4">
      <c r="B1019">
        <v>55</v>
      </c>
      <c r="C1019" s="1">
        <f>hyperlink("https://hetutrechtsarchief.nl/collectie/0BF5C6BE8F5F5298AC1FFE6BA570E624","Chantage in Woerden 1732 W R C Alkemade 41-45 1999")</f>
        <v>0</v>
      </c>
      <c r="D1019" s="1">
        <f>hyperlink("http://dspace.library.uu.nl/handle/1874/212416","Muziekleven in Woerden rond 1845 C J W Gravendaal 41-45 1981")</f>
        <v>0</v>
      </c>
    </row>
    <row r="1020" spans="2:4">
      <c r="B1020">
        <v>59</v>
      </c>
      <c r="C1020" s="1">
        <f>hyperlink("https://hetutrechtsarchief.nl/collectie/5BF0436BBDAF542CB92C2DFCD047DC0D","De burggravengeslachten van Montfoort J A C de Jonge 283-287 ill tab 1943")</f>
        <v>0</v>
      </c>
      <c r="D1020" s="1">
        <f>hyperlink("http://dspace.library.uu.nl/handle/1874/212417","De Burcht van Montfoort J E Dilz 50-56 1981")</f>
        <v>0</v>
      </c>
    </row>
    <row r="1021" spans="2:4">
      <c r="B1021">
        <v>57</v>
      </c>
      <c r="C1021" s="1">
        <f>hyperlink("https://hetutrechtsarchief.nl/collectie/76C3CD4AD7215826BE4AF5B7C07FB4BF","De restauratie van het orgel in de Dom M A Vente 1-8 ill tek 1974")</f>
        <v>0</v>
      </c>
      <c r="D1021" s="1">
        <f>hyperlink("http://dspace.library.uu.nl/handle/1874/212418","De situatie van het Woerdense onderwijs in 1799 L Cl M Peters 72-75 1981")</f>
        <v>0</v>
      </c>
    </row>
    <row r="1022" spans="2:4">
      <c r="B1022">
        <v>50</v>
      </c>
      <c r="C1022" s="1">
        <f>hyperlink("https://hetutrechtsarchief.nl/collectie/87633369DAC35D60AE9A556AE1924F21","Lijst van publicaties van dr M P van Buijtenen samengesteld door Marcel P van Buijtenen 15-25 1981")</f>
        <v>0</v>
      </c>
      <c r="D1022" s="1">
        <f>hyperlink("http://dspace.library.uu.nl/handle/1874/212419","Lijst van weerbare mannen van Middelland Kromwijk Bulwijk en Honthorst onder Woerden L Cl M Peters 80-82 1981")</f>
        <v>0</v>
      </c>
    </row>
    <row r="1023" spans="2:4">
      <c r="B1023">
        <v>58</v>
      </c>
      <c r="C1023" s="1">
        <f>hyperlink("https://hetutrechtsarchief.nl/collectie/83CE8AB9514A5DF9A1FB723A3983F860","Een familiefoto uit 1913 81-83 portr 1998")</f>
        <v>0</v>
      </c>
      <c r="D1023" s="1">
        <f>hyperlink("http://dspace.library.uu.nl/handle/1874/212420","Familiefoto uit Papekop L Cl M Peters 83-84 1981")</f>
        <v>0</v>
      </c>
    </row>
    <row r="1024" spans="2:4">
      <c r="B1024">
        <v>56</v>
      </c>
      <c r="C1024" s="1">
        <f>hyperlink("https://hetutrechtsarchief.nl/collectie/D41A95812CE55248BB742EFA50B5BE65","Kerkelijke en andere archieven te Utrecht een eeuw geleden G van Klaveren Pz 87-92 1930")</f>
        <v>0</v>
      </c>
      <c r="D1024" s="1">
        <f>hyperlink("http://dspace.library.uu.nl/handle/1874/212421","Reglement voor de jaagschuiten varende tussen Utrecht Woerden en Leiden L Cl M Gravendaal C J W Peters 31-34 1973")</f>
        <v>0</v>
      </c>
    </row>
    <row r="1025" spans="2:4">
      <c r="B1025">
        <v>50</v>
      </c>
      <c r="C1025" s="1">
        <f>hyperlink("https://hetutrechtsarchief.nl/collectie/815ADEFFB5B7597898C4E1FCF25E186B","Een opzienbarende rede de toespraak van de rector magnificus prof dr C W Vollgraff ter gelegenheid van het driehonderdjarig bestaan van de Utrechtse Universiteit op 23 juni 1936 in de Domkerk P van Hees 114-137 ill 1986")</f>
        <v>0</v>
      </c>
      <c r="D1025" s="1">
        <f>hyperlink("http://dspace.library.uu.nl/handle/1874/212422","Het verkeer van weleer overzicht van de inhoud van de tentoonstelling die de Stichts-Hollandse Historische Vereniging houdt naar aanleiding van het honderdjarig bestaan van de spoorlijn Leiden-Woerden N Plomp 33-39 1978")</f>
        <v>0</v>
      </c>
    </row>
    <row r="1026" spans="2:4">
      <c r="B1026">
        <v>57</v>
      </c>
      <c r="C1026" s="1">
        <f>hyperlink("https://hetutrechtsarchief.nl/collectie/3641B9D52A2C50DD8FBF0188D0435BB2","Fictieve genealogie n A E Cohen 7-9 ill 1987")</f>
        <v>0</v>
      </c>
      <c r="D1026" s="1">
        <f>hyperlink("http://dspace.library.uu.nl/handle/1874/212423","Genealogie Gasse P J Gasse 87-93 1979")</f>
        <v>0</v>
      </c>
    </row>
    <row r="1027" spans="2:4">
      <c r="B1027">
        <v>68</v>
      </c>
      <c r="C1027" s="1">
        <f>hyperlink("https://hetutrechtsarchief.nl/collectie/1A4892D5B580537B91CE1FFA07E030BD","Huize Mari nberg te Harmelen J W C van Schaik 37-41 1999")</f>
        <v>0</v>
      </c>
      <c r="D1027" s="1">
        <f>hyperlink("http://dspace.library.uu.nl/handle/1874/212424","Een pedante schoolmeester te Harmelen J W C van Schaik 41-43 1978")</f>
        <v>0</v>
      </c>
    </row>
    <row r="1028" spans="2:4">
      <c r="B1028">
        <v>56</v>
      </c>
      <c r="C1028" s="1">
        <f>hyperlink("https://hetutrechtsarchief.nl/collectie/2FE558DD8F5950C59F53DB7B9CEFC930","Cornelis Anthonisz van Dalenoord een boerenzoon met eere C van Schaik 47-49 1998")</f>
        <v>0</v>
      </c>
      <c r="D1028" s="1">
        <f>hyperlink("http://dspace.library.uu.nl/handle/1874/212425","Schetsen van Harmelen vervaardigd door W N de Vrankrijker J W C van Schaik 43-47 1978")</f>
        <v>0</v>
      </c>
    </row>
    <row r="1029" spans="2:4">
      <c r="B1029">
        <v>54</v>
      </c>
      <c r="C1029" s="1">
        <f>hyperlink("https://hetutrechtsarchief.nl/collectie/AD7B7F68741F54A582B5BB24A3C4F091","Monumentenzorg in Utrecht T J Hoekstra en J C M van Niekerk 139-142 1986")</f>
        <v>0</v>
      </c>
      <c r="D1029" s="1">
        <f>hyperlink("http://dspace.library.uu.nl/handle/1874/212426","Fragment genealogie De Vrankrijker A C J de Vrankrijker C W M de Vrankrijker 39-42 1980")</f>
        <v>0</v>
      </c>
    </row>
    <row r="1030" spans="2:4">
      <c r="B1030">
        <v>60</v>
      </c>
      <c r="C1030" s="1">
        <f>hyperlink("https://hetutrechtsarchief.nl/collectie/749D7CF770E15F14B76327F0431A504C","Kantelen voor Wulverhorst J W C van Schaik en G J A Beerthuizen-van Kooten 105-115 2012")</f>
        <v>0</v>
      </c>
      <c r="D1030" s="1">
        <f>hyperlink("http://dspace.library.uu.nl/handle/1874/212427","Een Harmelense nieuwjaarswens G J A Beerthuizen-van Kooten 67-72 1981")</f>
        <v>0</v>
      </c>
    </row>
    <row r="1031" spans="2:4">
      <c r="B1031">
        <v>56</v>
      </c>
      <c r="C1031" s="1">
        <f>hyperlink("https://hetutrechtsarchief.nl/collectie/1A4892D5B580537B91CE1FFA07E030BD","Huize Mari nberg te Harmelen J W C van Schaik 37-41 1999")</f>
        <v>0</v>
      </c>
      <c r="D1031" s="1">
        <f>hyperlink("http://dspace.library.uu.nl/handle/1874/212428","Een Harmelense gelukwens uit 1819 J W C van Schaik 28-30 1981")</f>
        <v>0</v>
      </c>
    </row>
    <row r="1032" spans="2:4">
      <c r="B1032">
        <v>63</v>
      </c>
      <c r="C1032" s="1">
        <f>hyperlink("https://hetutrechtsarchief.nl/collectie/758290A916A559C086D8C0C36A7AC494","Een muntvondst te De Meern C A Kalee 25 1968")</f>
        <v>0</v>
      </c>
      <c r="D1032" s="1">
        <f>hyperlink("http://dspace.library.uu.nl/handle/1874/212429","Muntvondst te Kamerik L C M Peters 11-12 1974")</f>
        <v>0</v>
      </c>
    </row>
    <row r="1033" spans="2:4">
      <c r="B1033">
        <v>58</v>
      </c>
      <c r="C1033" s="1">
        <f>hyperlink("https://hetutrechtsarchief.nl/collectie/0BA301ACA34C522E89F56EC19FAC41F5","De Doleantie R Hagoort 5 -14 1927")</f>
        <v>0</v>
      </c>
      <c r="D1033" s="1">
        <f>hyperlink("http://dspace.library.uu.nl/handle/1874/212430","De molen van s-Gravensloot N Plomp 104-106 1979")</f>
        <v>0</v>
      </c>
    </row>
    <row r="1034" spans="2:4">
      <c r="B1034">
        <v>55</v>
      </c>
      <c r="C1034" s="1">
        <f>hyperlink("https://hetutrechtsarchief.nl/collectie/8CC6961C54FA5F009C50F5314E8B1902","De schrijver van een merkwaardige brief A van Hulzen 23 1952")</f>
        <v>0</v>
      </c>
      <c r="D1034" s="1">
        <f>hyperlink("http://dspace.library.uu.nl/handle/1874/212431","Beschrijving van Zegveld en Kamerik in de Geheymschrijver uit 1760 L van Wachendorf 28-32 1980")</f>
        <v>0</v>
      </c>
    </row>
    <row r="1035" spans="2:4">
      <c r="B1035">
        <v>57</v>
      </c>
      <c r="C1035" s="1">
        <f>hyperlink("https://hetutrechtsarchief.nl/collectie/BC4783D76C8A524684036980501DCC25","Een rijke vereniging wordt in haar voortbestaan bedreigd Het bestuur van de Historische Vereniging Vleuten De Meern Haarzuilens 56-57 2004")</f>
        <v>0</v>
      </c>
      <c r="D1035" s="1">
        <f>hyperlink("http://dspace.library.uu.nl/handle/1874/212432","Verheugende gebeurtenissen binnen het werkgebied van onze Historische Vereniging F A L de Goederen 25-26 1974")</f>
        <v>0</v>
      </c>
    </row>
    <row r="1036" spans="2:4">
      <c r="B1036">
        <v>63</v>
      </c>
      <c r="C1036" s="1">
        <f>hyperlink("https://hetutrechtsarchief.nl/collectie/39FE1B2DCB405FF7A6E4614C5A961E80","Werk en inkomen in 19de eeuws Loenen Wim van Schaik 14-19 2017")</f>
        <v>0</v>
      </c>
      <c r="D1036" s="1">
        <f>hyperlink("http://dspace.library.uu.nl/handle/1874/212433","Enkele 19e eeuwse nieuwjaarswensen J W C van Schaik 41-45 1974")</f>
        <v>0</v>
      </c>
    </row>
    <row r="1037" spans="2:4">
      <c r="B1037">
        <v>53</v>
      </c>
      <c r="C1037" s="1">
        <f>hyperlink("https://hetutrechtsarchief.nl/collectie/1CA971899FC857089766AD86C2CBEC3C","Het Paleis Soestdijk C Catharina van de Graft 84-86 ill 1936")</f>
        <v>0</v>
      </c>
      <c r="D1037" s="1">
        <f>hyperlink("http://dspace.library.uu.nl/handle/1874/212434","Hekpalen Kromwijk F A L de Goederen 8 1976")</f>
        <v>0</v>
      </c>
    </row>
    <row r="1038" spans="2:4">
      <c r="B1038">
        <v>52</v>
      </c>
      <c r="C1038" s="1">
        <f>hyperlink("https://hetutrechtsarchief.nl/collectie/253B1F69BE965816A8E67221CC44B2E8","Twee stille relicten van windenergie van weleer P C Beunder 57-67 2014")</f>
        <v>0</v>
      </c>
      <c r="D1038" s="1">
        <f>hyperlink("http://dspace.library.uu.nl/handle/1874/212435","Twee fragmenten versierd Siegburg-aardewerk uit Linschoten en Woerden P C Beunder 49-51 1977")</f>
        <v>0</v>
      </c>
    </row>
    <row r="1039" spans="2:4">
      <c r="B1039">
        <v>55</v>
      </c>
      <c r="C1039" s="1">
        <f>hyperlink("https://hetutrechtsarchief.nl/collectie/0A96D44D0F5B509186EAEBA830251513","De emancipatie van vrouwenklooster W van de Pas 2-5 1949")</f>
        <v>0</v>
      </c>
      <c r="D1039" s="1">
        <f>hyperlink("http://dspace.library.uu.nl/handle/1874/212436","De hekpijlers van Vlooswijk N Plomp 25-29 1977")</f>
        <v>0</v>
      </c>
    </row>
    <row r="1040" spans="2:4">
      <c r="B1040">
        <v>57</v>
      </c>
      <c r="C1040" s="1">
        <f>hyperlink("https://hetutrechtsarchief.nl/collectie/9B68233F7D0B51BCA4501D857F43B166","Woerden en Utrecht in de Middeleeuwen Nico Plomp 19-20 1972")</f>
        <v>0</v>
      </c>
      <c r="D1040" s="1">
        <f>hyperlink("http://dspace.library.uu.nl/handle/1874/212437","Een Linschotens schilderstuk uit de veertiende eeuw N Plomp 44-49 1977")</f>
        <v>0</v>
      </c>
    </row>
    <row r="1041" spans="2:4">
      <c r="B1041">
        <v>57</v>
      </c>
      <c r="C1041" s="1">
        <f>hyperlink("https://hetutrechtsarchief.nl/collectie/6FB68A7C097B52D696B1BE7C5784C302","De bouwhistorie van het Huis te Linschoten J W C van Schaik 1-16 2001")</f>
        <v>0</v>
      </c>
      <c r="D1041" s="1">
        <f>hyperlink("http://dspace.library.uu.nl/handle/1874/212438","Bezienswaardigheden langs het riviertje de Lange Linschoten tussen Linschoten en Oudewater J W C van Schaik 13-19 1977")</f>
        <v>0</v>
      </c>
    </row>
    <row r="1042" spans="2:4">
      <c r="B1042">
        <v>61</v>
      </c>
      <c r="C1042" s="1">
        <f>hyperlink("https://hetutrechtsarchief.nl/collectie/6FB68A7C097B52D696B1BE7C5784C302","De bouwhistorie van het Huis te Linschoten J W C van Schaik 1-16 2001")</f>
        <v>0</v>
      </c>
      <c r="D1042" s="1">
        <f>hyperlink("http://dspace.library.uu.nl/handle/1874/212439","Bezienswaardigheden tussen Linschoten en Montfoort J W C van Schaik 17-22 1978")</f>
        <v>0</v>
      </c>
    </row>
    <row r="1043" spans="2:4">
      <c r="B1043">
        <v>59</v>
      </c>
      <c r="C1043" s="1">
        <f>hyperlink("https://hetutrechtsarchief.nl/collectie/4A019F450F4A5D988ED8F12BD390FF3B","De restauratie van de Domkerk T van Hoogevest 1-15 ill 1987")</f>
        <v>0</v>
      </c>
      <c r="D1043" s="1">
        <f>hyperlink("http://dspace.library.uu.nl/handle/1874/212440","Restauratie Ned Hervormde Kerk te Linschoten 1974-1977 R Apell 10-16 1979")</f>
        <v>0</v>
      </c>
    </row>
    <row r="1044" spans="2:4">
      <c r="B1044">
        <v>58</v>
      </c>
      <c r="C1044" s="1">
        <f>hyperlink("https://hetutrechtsarchief.nl/collectie/0299A8A3488B55FE8ED218E7E2E91B27","zegen of glorie over het middeleeuwse grafmonument in de Nederlands Hervormde Kerk te IJsselstein Xabier Jense 1-28 1999")</f>
        <v>0</v>
      </c>
      <c r="D1044" s="1">
        <f>hyperlink("http://dspace.library.uu.nl/handle/1874/212441","De drie tufstenen grafkisten onder de zuidelijke schipmuur van de Ned Hervormde Kerk te Linschoten P C Beunder 1-9 1979")</f>
        <v>0</v>
      </c>
    </row>
    <row r="1045" spans="2:4">
      <c r="B1045">
        <v>63</v>
      </c>
      <c r="C1045" s="1">
        <f>hyperlink("https://hetutrechtsarchief.nl/collectie/8EBD129CA0B85064AD72F4D91A5DF0CE","De stichting van de Hervormde Gemeente te Lopikerkapel J G M Boon 61-74 ill 1963")</f>
        <v>0</v>
      </c>
      <c r="D1045" s="1">
        <f>hyperlink("http://dspace.library.uu.nl/handle/1874/212442","Het orgel van de Hervormde Gemeente te Linschoten F W Huisman 17-19 1979")</f>
        <v>0</v>
      </c>
    </row>
    <row r="1046" spans="2:4">
      <c r="B1046">
        <v>59</v>
      </c>
      <c r="C1046" s="1">
        <f>hyperlink("https://hetutrechtsarchief.nl/collectie/5CFE68CA90405063813F83FAC6982735","De inventaris der St Catharijnestatie te Utrecht in de XVIIIde eeuw A E Rientjes 64-67 1917")</f>
        <v>0</v>
      </c>
      <c r="D1046" s="1">
        <f>hyperlink("http://dspace.library.uu.nl/handle/1874/212443","De inventaris van een boerderij in de vorige eeuw G J A Bertthuizen-van Kooten 35-40 1981")</f>
        <v>0</v>
      </c>
    </row>
    <row r="1047" spans="2:4">
      <c r="B1047">
        <v>61</v>
      </c>
      <c r="C1047" s="1">
        <f>hyperlink("https://hetutrechtsarchief.nl/collectie/749D7CF770E15F14B76327F0431A504C","Kantelen voor Wulverhorst J W C van Schaik en G J A Beerthuizen-van Kooten 105-115 2012")</f>
        <v>0</v>
      </c>
      <c r="D1047" s="1">
        <f>hyperlink("http://dspace.library.uu.nl/handle/1874/212444","Kwartierstaat A A J en A B J Vreeswijk G J A Beerthuizen-van Kooten 57-67 1981")</f>
        <v>0</v>
      </c>
    </row>
    <row r="1048" spans="2:4">
      <c r="B1048">
        <v>52</v>
      </c>
      <c r="C1048" s="1">
        <f>hyperlink("https://hetutrechtsarchief.nl/collectie/94F05477A2561657E0534701000A51DB","De herberg St -Joris Geschiedenis van een herberg die eeuwen trotseert Hans Ellerbroek 4-24 2019")</f>
        <v>0</v>
      </c>
      <c r="D1048" s="1">
        <f>hyperlink("http://dspace.library.uu.nl/handle/1874/212445","De eerste burggraven van Montfoort overleveringen aan contemporaire gegevens getoetst N Plomp 14-24 1974")</f>
        <v>0</v>
      </c>
    </row>
    <row r="1049" spans="2:4">
      <c r="B1049">
        <v>57</v>
      </c>
      <c r="C1049" s="1">
        <f>hyperlink("https://hetutrechtsarchief.nl/collectie/DD85D71F9B905E0393AFC9429468F3EB","Lijst van geschriften over Nicolaas Beets A Brom Jr 352 -353 1914")</f>
        <v>0</v>
      </c>
      <c r="D1049" s="1">
        <f>hyperlink("http://dspace.library.uu.nl/handle/1874/212447","De lijst van beschermde monumenten in het kort 22 33 1976")</f>
        <v>0</v>
      </c>
    </row>
    <row r="1050" spans="2:4">
      <c r="B1050">
        <v>62</v>
      </c>
      <c r="C1050" s="1">
        <f>hyperlink("https://hetutrechtsarchief.nl/collectie/59AF10F567EB5860970FE9477483D9FD","Genoeg geHAT in de binnenstad Werkgroep Bestemmingsplan Breedstraat e o 1-11 1985")</f>
        <v>0</v>
      </c>
      <c r="D1050" s="1">
        <f>hyperlink("http://dspace.library.uu.nl/handle/1874/212448","Montfoort werkt aan de binnenstad Werkgroep stad en landschap 19-22 30-33 1976")</f>
        <v>0</v>
      </c>
    </row>
    <row r="1051" spans="2:4">
      <c r="B1051">
        <v>66</v>
      </c>
      <c r="C1051" s="1">
        <f>hyperlink("https://hetutrechtsarchief.nl/collectie/9969C30DD213517F9E0C60858DD7A3B7","De Commanderij der Johanniters te Montfoort E Gerards 94 109-112 ill 1977")</f>
        <v>0</v>
      </c>
      <c r="D1051" s="1">
        <f>hyperlink("http://dspace.library.uu.nl/handle/1874/212449","De Commanderij van Montfoort in de literatuur E M G Gerards 14-19 25-30 1976")</f>
        <v>0</v>
      </c>
    </row>
    <row r="1052" spans="2:4">
      <c r="B1052">
        <v>59</v>
      </c>
      <c r="C1052" s="1">
        <f>hyperlink("https://hetutrechtsarchief.nl/collectie/8D1F2C3A2892562CAEE8C7F8D4B195A3","Schaakproblemen D A Berents 123-124 1976")</f>
        <v>0</v>
      </c>
      <c r="D1052" s="1">
        <f>hyperlink("http://dspace.library.uu.nl/handle/1874/212450","Molen De Valk Hidde Nota 23 34 1976")</f>
        <v>0</v>
      </c>
    </row>
    <row r="1053" spans="2:4">
      <c r="B1053">
        <v>53</v>
      </c>
      <c r="C1053" s="1">
        <f>hyperlink("https://hetutrechtsarchief.nl/collectie/2385FE9945F450498E412A3ECE787A3B","De sociale omstandigheden der studenten - J A N 2-3 1949")</f>
        <v>0</v>
      </c>
      <c r="D1053" s="1">
        <f>hyperlink("http://dspace.library.uu.nl/handle/1874/212451","Kindersterfte onder verdachte omstandigheden C J W Gravendaal 29-36 1977")</f>
        <v>0</v>
      </c>
    </row>
    <row r="1054" spans="2:4">
      <c r="B1054">
        <v>59</v>
      </c>
      <c r="C1054" s="1">
        <f>hyperlink("https://hetutrechtsarchief.nl/collectie/2BC110D1BC535FCFBB10CC9F70AD8C93","Kwartierstaat van Ad Joh en Cees van Santen Ludmilla van Santen 90-92 2008")</f>
        <v>0</v>
      </c>
      <c r="D1054" s="1">
        <f>hyperlink("http://dspace.library.uu.nl/handle/1874/212452","Kwartierstaat A C A van Vuuren G J A van Schaik J W C van Kooten 29-32 1978")</f>
        <v>0</v>
      </c>
    </row>
    <row r="1055" spans="2:4">
      <c r="B1055">
        <v>53</v>
      </c>
      <c r="C1055" s="1">
        <f>hyperlink("https://hetutrechtsarchief.nl/collectie/78FE616E732A500880F1F7D64FEC97E5","1972 Utrecht 850 jaar stadsrecht J E A L Struick 1-6 ill 1972")</f>
        <v>0</v>
      </c>
      <c r="D1055" s="1">
        <f>hyperlink("http://dspace.library.uu.nl/handle/1874/212453","Montfoort 800 jaar - 650 jaar stadrechten bijdr van C Dekker et al C Dekker 1-75 1979")</f>
        <v>0</v>
      </c>
    </row>
    <row r="1056" spans="2:4">
      <c r="B1056">
        <v>56</v>
      </c>
      <c r="C1056" s="1">
        <f>hyperlink("https://hetutrechtsarchief.nl/collectie/3ABE5A2FAD3E5B559908D61FE0D41460","De veerschippers van Bunschoten O Dekkers 138-143 1999")</f>
        <v>0</v>
      </c>
      <c r="D1056" s="1">
        <f>hyperlink("http://dspace.library.uu.nl/handle/1874/212454","De hervorming in Montfoort C Dekker 21-36 1979")</f>
        <v>0</v>
      </c>
    </row>
    <row r="1057" spans="2:4">
      <c r="B1057">
        <v>57</v>
      </c>
      <c r="C1057" s="1">
        <f>hyperlink("https://hetutrechtsarchief.nl/collectie/E7F807E3BE7F53A69896A4819BFA1E6E","Een dolleerende koster in 1888 te Montfoort A C Hellema 96 1970")</f>
        <v>0</v>
      </c>
      <c r="D1057" s="1">
        <f>hyperlink("http://dspace.library.uu.nl/handle/1874/212455","Een 17e eeuws wonder in Montfoort C C de Glopper-Zuijderland 60-65 1979")</f>
        <v>0</v>
      </c>
    </row>
    <row r="1058" spans="2:4">
      <c r="B1058">
        <v>56</v>
      </c>
      <c r="C1058" s="1">
        <f>hyperlink("https://hetutrechtsarchief.nl/collectie/E195EFFC581C579C86EC2F2DA336F79F","De theekoepel aan de Vaartse Rijn 6-7 ill 1989")</f>
        <v>0</v>
      </c>
      <c r="D1058" s="1">
        <f>hyperlink("http://dspace.library.uu.nl/handle/1874/212456","De knopendraaiers N Plomp 68-74 1979")</f>
        <v>0</v>
      </c>
    </row>
    <row r="1059" spans="2:4">
      <c r="B1059">
        <v>57</v>
      </c>
      <c r="C1059" s="1">
        <f>hyperlink("https://hetutrechtsarchief.nl/collectie/430A85A553045C71B48DB0A54C4B4ADF","De parochiekerk van Montfoort in de 19e eeuw J F van Rooijen 89-99 2009")</f>
        <v>0</v>
      </c>
      <c r="D1059" s="1">
        <f>hyperlink("http://dspace.library.uu.nl/handle/1874/212457","De Oudheidkamer te Montfoort in 1908 N Plomp 93-97 1979")</f>
        <v>0</v>
      </c>
    </row>
    <row r="1060" spans="2:4">
      <c r="B1060">
        <v>59</v>
      </c>
      <c r="C1060" s="1">
        <f>hyperlink("https://hetutrechtsarchief.nl/collectie/E7A928E0608D57079C8CD16E4FB25780","Over het wapen van de stad Utrecht 27-28 1 pl 1835")</f>
        <v>0</v>
      </c>
      <c r="D1060" s="1">
        <f>hyperlink("http://dspace.library.uu.nl/handle/1874/212458","Zegel en wapen van de stad Montfoort N Plomp 54-59 1979")</f>
        <v>0</v>
      </c>
    </row>
    <row r="1061" spans="2:4">
      <c r="B1061">
        <v>56</v>
      </c>
      <c r="C1061" s="1">
        <f>hyperlink("https://hetutrechtsarchief.nl/collectie/D343D5D5FEF958418353A8737DD23A9E","Nog eens Hieronymus van Ysselt A F O van Sasse van IJsselt 193-195 1923")</f>
        <v>0</v>
      </c>
      <c r="D1061" s="1">
        <f>hyperlink("http://dspace.library.uu.nl/handle/1874/212459","1979 Montfoort 800 jaar stad 650 jaar stadsrechten L A M van Sasse van IJsselt 37-53 1979")</f>
        <v>0</v>
      </c>
    </row>
    <row r="1062" spans="2:4">
      <c r="B1062">
        <v>61</v>
      </c>
      <c r="C1062" s="1">
        <f>hyperlink("https://hetutrechtsarchief.nl/collectie/1A4892D5B580537B91CE1FFA07E030BD","Huize Mari nberg te Harmelen J W C van Schaik 37-41 1999")</f>
        <v>0</v>
      </c>
      <c r="D1062" s="1">
        <f>hyperlink("http://dspace.library.uu.nl/handle/1874/212460","Bij de rouwbrief voor pastoor Reaal J W C van Schaik 106-108 1979")</f>
        <v>0</v>
      </c>
    </row>
    <row r="1063" spans="2:4">
      <c r="B1063">
        <v>56</v>
      </c>
      <c r="C1063" s="1">
        <f>hyperlink("https://hetutrechtsarchief.nl/collectie/A73D5F63E84D50F4B7BFCD4967E22952","De ridderhofstad Oudegein J W C van Schaik 66-82 1999")</f>
        <v>0</v>
      </c>
      <c r="D1063" s="1">
        <f>hyperlink("http://dspace.library.uu.nl/handle/1874/212461","Een memoriebord voor Philips van Merode burggraaf van Montfoort J W C van Schaik 66-67 1979")</f>
        <v>0</v>
      </c>
    </row>
    <row r="1064" spans="2:4">
      <c r="B1064">
        <v>58</v>
      </c>
      <c r="C1064" s="1">
        <f>hyperlink("https://hetutrechtsarchief.nl/collectie/6FB68A7C097B52D696B1BE7C5784C302","De bouwhistorie van het Huis te Linschoten J W C van Schaik 1-16 2001")</f>
        <v>0</v>
      </c>
      <c r="D1064" s="1">
        <f>hyperlink("http://dspace.library.uu.nl/handle/1874/212462","Het portret van een achttiende-eeuwse schone J W C van Kooten G J A van Schaik 11-12 1980")</f>
        <v>0</v>
      </c>
    </row>
    <row r="1065" spans="2:4">
      <c r="B1065">
        <v>59</v>
      </c>
      <c r="C1065" s="1">
        <f>hyperlink("https://hetutrechtsarchief.nl/collectie/749D7CF770E15F14B76327F0431A504C","Kantelen voor Wulverhorst J W C van Schaik en G J A Beerthuizen-van Kooten 105-115 2012")</f>
        <v>0</v>
      </c>
      <c r="D1065" s="1">
        <f>hyperlink("http://dspace.library.uu.nl/handle/1874/212463","t Gemak dient de mens niet altijd G J A Beerthuizen-van Kooten 43-45 1980")</f>
        <v>0</v>
      </c>
    </row>
    <row r="1066" spans="2:4">
      <c r="B1066">
        <v>62</v>
      </c>
      <c r="C1066" s="1">
        <f>hyperlink("https://hetutrechtsarchief.nl/collectie/1A4892D5B580537B91CE1FFA07E030BD","Huize Mari nberg te Harmelen J W C van Schaik 37-41 1999")</f>
        <v>0</v>
      </c>
      <c r="D1066" s="1">
        <f>hyperlink("http://dspace.library.uu.nl/handle/1874/212464","Harddraverij te Montfoort J W C van Schaik 46 1980")</f>
        <v>0</v>
      </c>
    </row>
    <row r="1067" spans="2:4">
      <c r="B1067">
        <v>64</v>
      </c>
      <c r="C1067" s="1">
        <f>hyperlink("https://hetutrechtsarchief.nl/collectie/749D7CF770E15F14B76327F0431A504C","Kantelen voor Wulverhorst J W C van Schaik en G J A Beerthuizen-van Kooten 105-115 2012")</f>
        <v>0</v>
      </c>
      <c r="D1067" s="1">
        <f>hyperlink("http://dspace.library.uu.nl/handle/1874/212465","Een schout in kinderschoenen G J A Beerthuizen-van Kooten 1-7 1981")</f>
        <v>0</v>
      </c>
    </row>
    <row r="1068" spans="2:4">
      <c r="B1068">
        <v>61</v>
      </c>
      <c r="C1068" s="1">
        <f>hyperlink("https://hetutrechtsarchief.nl/collectie/749D7CF770E15F14B76327F0431A504C","Kantelen voor Wulverhorst J W C van Schaik en G J A Beerthuizen-van Kooten 105-115 2012")</f>
        <v>0</v>
      </c>
      <c r="D1068" s="1">
        <f>hyperlink("http://dspace.library.uu.nl/handle/1874/212466","Vrouwen van lust tot last G J A Beerthuizen-van Kooten 25-28 1981")</f>
        <v>0</v>
      </c>
    </row>
    <row r="1069" spans="2:4">
      <c r="B1069">
        <v>53</v>
      </c>
      <c r="C1069" s="1">
        <f>hyperlink("https://hetutrechtsarchief.nl/collectie/B561401A64BF5C83A7E061DE9F3A12F9","Een bibliografie van de provincie Utrecht A Pietersma 23-24 1991")</f>
        <v>0</v>
      </c>
      <c r="D1069" s="1">
        <f>hyperlink("http://dspace.library.uu.nl/handle/1874/212467","Herman de Man - bibliografie E Gerards 49-84 1978")</f>
        <v>0</v>
      </c>
    </row>
    <row r="1070" spans="2:4">
      <c r="B1070">
        <v>61</v>
      </c>
      <c r="C1070" s="1">
        <f>hyperlink("https://hetutrechtsarchief.nl/collectie/B5CA9E9152175E42A6E68AE8BE8CE2DF","De Domtoren op penningen F A M Pietersen 148-154 1982")</f>
        <v>0</v>
      </c>
      <c r="D1070" s="1">
        <f>hyperlink("http://dspace.library.uu.nl/handle/1874/212468","De rentenier A A J Putman 12-14 1980")</f>
        <v>0</v>
      </c>
    </row>
    <row r="1071" spans="2:4">
      <c r="B1071">
        <v>57</v>
      </c>
      <c r="C1071" s="1">
        <f>hyperlink("https://hetutrechtsarchief.nl/collectie/3054E6DB3C235BC58F3A91100CE2FAC5","Vijf en twintig jaren Oud-Utrecht A N L Otten 12-14 1948")</f>
        <v>0</v>
      </c>
      <c r="D1071" s="1">
        <f>hyperlink("http://dspace.library.uu.nl/handle/1874/212469","Vijf eeuwen touwfabricage in Oudewater B R Feis 1-10 1980")</f>
        <v>0</v>
      </c>
    </row>
    <row r="1072" spans="2:4">
      <c r="B1072">
        <v>60</v>
      </c>
      <c r="C1072" s="1">
        <f>hyperlink("https://hetutrechtsarchief.nl/collectie/A73D5F63E84D50F4B7BFCD4967E22952","De ridderhofstad Oudegein J W C van Schaik 66-82 1999")</f>
        <v>0</v>
      </c>
      <c r="D1072" s="1">
        <f>hyperlink("http://dspace.library.uu.nl/handle/1874/212470","Een boerderij-inventaris uit 1844 J W C van Schaik 49-52 1980")</f>
        <v>0</v>
      </c>
    </row>
    <row r="1073" spans="2:4">
      <c r="B1073">
        <v>52</v>
      </c>
      <c r="C1073" s="1">
        <f>hyperlink("https://hetutrechtsarchief.nl/collectie/D3A18F11CBDC50E5B1E960638E8B88DE","Het dorpscentrum van Mijdrecht honderd jaar geleden Jessica Veen 82-85 2012")</f>
        <v>0</v>
      </c>
      <c r="D1073" s="1">
        <f>hyperlink("http://dspace.library.uu.nl/handle/1874/212471","Spoorweg Utrecht-Rotterdam 125 jaar geleden geopend C J W Gravendaal 24-25 1980")</f>
        <v>0</v>
      </c>
    </row>
    <row r="1074" spans="2:4">
      <c r="B1074">
        <v>59</v>
      </c>
      <c r="C1074" s="1">
        <f>hyperlink("https://hetutrechtsarchief.nl/collectie/749D7CF770E15F14B76327F0431A504C","Kantelen voor Wulverhorst J W C van Schaik en G J A Beerthuizen-van Kooten 105-115 2012")</f>
        <v>0</v>
      </c>
      <c r="D1074" s="1">
        <f>hyperlink("http://dspace.library.uu.nl/handle/1874/212472","Gevelstenen G J A Beerthuizen-van Kooten 47-48 1980")</f>
        <v>0</v>
      </c>
    </row>
    <row r="1075" spans="2:4">
      <c r="B1075">
        <v>59</v>
      </c>
      <c r="C1075" s="1">
        <f>hyperlink("https://hetutrechtsarchief.nl/collectie/749D7CF770E15F14B76327F0431A504C","Kantelen voor Wulverhorst J W C van Schaik en G J A Beerthuizen-van Kooten 105-115 2012")</f>
        <v>0</v>
      </c>
      <c r="D1075" s="1">
        <f>hyperlink("http://dspace.library.uu.nl/handle/1874/212473","De bevolking van Willeskop rond 1800 G J A Beerthuizen-van Kooten 75-80 1981")</f>
        <v>0</v>
      </c>
    </row>
    <row r="1076" spans="2:4">
      <c r="B1076">
        <v>52</v>
      </c>
      <c r="C1076" s="1">
        <f>hyperlink("https://hetutrechtsarchief.nl/collectie/88C137D9068267D1E0534701000A2229","Boerenleven een halve eeuw terug Slijpsteen Maarten Poolman 18 2019")</f>
        <v>0</v>
      </c>
      <c r="D1076" s="1">
        <f>hyperlink("http://dspace.library.uu.nl/handle/1874/212474","Over een Zegveldse vrouw die van haar hart geen moordkuil maakte N Plomp 98 1979")</f>
        <v>0</v>
      </c>
    </row>
    <row r="1077" spans="2:4">
      <c r="B1077">
        <v>59</v>
      </c>
      <c r="C1077" s="1">
        <f>hyperlink("https://hetutrechtsarchief.nl/collectie/39D36BC785D059D980DC19CC4850BE62","Zeevliet E van Oosterom 71-74 1969")</f>
        <v>0</v>
      </c>
      <c r="D1077" s="1">
        <f>hyperlink("http://dspace.library.uu.nl/handle/1874/212475","Bedelaars C J van Doorn 16-17 1976")</f>
        <v>0</v>
      </c>
    </row>
    <row r="1078" spans="2:4">
      <c r="B1078">
        <v>59</v>
      </c>
      <c r="C1078" s="1">
        <f>hyperlink("https://hetutrechtsarchief.nl/collectie/1A4892D5B580537B91CE1FFA07E030BD","Huize Mari nberg te Harmelen J W C van Schaik 37-41 1999")</f>
        <v>0</v>
      </c>
      <c r="D1078" s="1">
        <f>hyperlink("http://dspace.library.uu.nl/handle/1874/212477","Huisvredebreuk in een Zegveldse boerderij J W C van Schaik 54 1980")</f>
        <v>0</v>
      </c>
    </row>
    <row r="1079" spans="2:4">
      <c r="B1079">
        <v>59</v>
      </c>
      <c r="C1079" s="1">
        <f>hyperlink("https://hetutrechtsarchief.nl/collectie/749D7CF770E15F14B76327F0431A504C","Kantelen voor Wulverhorst J W C van Schaik en G J A Beerthuizen-van Kooten 105-115 2012")</f>
        <v>0</v>
      </c>
      <c r="D1079" s="1">
        <f>hyperlink("http://dspace.library.uu.nl/handle/1874/212478","Annigje Blok een Zegveldse drenkelinge G J A Beerthuizen-van Kooten 31-34 1981")</f>
        <v>0</v>
      </c>
    </row>
    <row r="1080" spans="2:4">
      <c r="B1080">
        <v>58</v>
      </c>
      <c r="C1080" s="1">
        <f>hyperlink("https://hetutrechtsarchief.nl/collectie/DED753FEF4205D28B42C20494801E99D","Aardbevingsverschijnselen te Utrecht in 1755 A J van de Ven 41-49 1969")</f>
        <v>0</v>
      </c>
      <c r="D1080" s="1">
        <f>hyperlink("http://dspace.library.uu.nl/handle/1874/212479","Aardewerkscherven uit een omstreden gebied C J van Doorn 45-49 1981")</f>
        <v>0</v>
      </c>
    </row>
    <row r="1081" spans="2:4">
      <c r="B1081">
        <v>56</v>
      </c>
      <c r="C1081" s="1">
        <f>hyperlink("https://hetutrechtsarchief.nl/collectie/9A35831F5E975CCE9864457E66A9A300","Opgravingen te Wijk bij Duurstede 59-60 1968")</f>
        <v>0</v>
      </c>
      <c r="D1081" s="1">
        <f>hyperlink("http://dspace.library.uu.nl/handle/1874/212590","Opgravingen te Woerden in 1984 J K Bogaers J E Haalebos 24-27 1986")</f>
        <v>0</v>
      </c>
    </row>
    <row r="1082" spans="2:4">
      <c r="B1082">
        <v>55</v>
      </c>
      <c r="C1082" s="1">
        <f>hyperlink("https://hetutrechtsarchief.nl/collectie/C9BF87593DE33606E0538F04000AD1F7","Evert de Ridder Amerikaan uit Amerongen Leo Schreuders 12-15 2021")</f>
        <v>0</v>
      </c>
      <c r="D1082" s="1">
        <f>hyperlink("http://dspace.library.uu.nl/handle/1874/212591","Eerste keramiekschijf uit Karolingisch Woerden P C Beunder 29-32 1986")</f>
        <v>0</v>
      </c>
    </row>
    <row r="1083" spans="2:4">
      <c r="B1083">
        <v>61</v>
      </c>
      <c r="C1083" s="1">
        <f>hyperlink("https://hetutrechtsarchief.nl/collectie/0BF5C6BE8F5F5298AC1FFE6BA570E624","Chantage in Woerden 1732 W R C Alkemade 41-45 1999")</f>
        <v>0</v>
      </c>
      <c r="D1083" s="1">
        <f>hyperlink("http://dspace.library.uu.nl/handle/1874/212592","Gevraagd te Woerden een onderwijzer W R C Alkemade 33-43 1986")</f>
        <v>0</v>
      </c>
    </row>
    <row r="1084" spans="2:4">
      <c r="B1084">
        <v>60</v>
      </c>
      <c r="C1084" s="1">
        <f>hyperlink("https://hetutrechtsarchief.nl/collectie/9A35831F5E975CCE9864457E66A9A300","Opgravingen te Wijk bij Duurstede 59-60 1968")</f>
        <v>0</v>
      </c>
      <c r="D1084" s="1">
        <f>hyperlink("http://dspace.library.uu.nl/handle/1874/212593","Opgravingen te Woerden in 1983 J K Bogaers J E Haalebos 49-50 1984")</f>
        <v>0</v>
      </c>
    </row>
    <row r="1085" spans="2:4">
      <c r="B1085">
        <v>57</v>
      </c>
      <c r="C1085" s="1">
        <f>hyperlink("https://hetutrechtsarchief.nl/collectie/C3C0DE9C7BE95151A2D60AC88B834552","De gek van Utrecht en die van den Prins van Oranje J J Dodt van Flensburg 211-213 1841")</f>
        <v>0</v>
      </c>
      <c r="D1085" s="1">
        <f>hyperlink("http://dspace.library.uu.nl/handle/1874/212594","De kaart van t Hooghe Heymraedtschap van de landen van Woerden M M Th L Hameleers 100-113 1984")</f>
        <v>0</v>
      </c>
    </row>
    <row r="1086" spans="2:4">
      <c r="B1086">
        <v>100</v>
      </c>
      <c r="C1086" s="1">
        <f>hyperlink("https://hetutrechtsarchief.nl/collectie/9BE80E7AB7C450A08647C3B9E714E4DF","Raad versus staat het juridisch steekspel omtrent het beheer onderhoud en eigendom van het jaagpad langs de Oude Rijn aan het einde van de vorige eeuw W R C Alkemade 89-98 1984")</f>
        <v>0</v>
      </c>
      <c r="D1086" s="1">
        <f>hyperlink("http://dspace.library.uu.nl/handle/1874/212595","Raad versus staat het juridisch steekspel omtrent het beheer onderhoud en eigendom van het jaagpad langs de Oude Rijn aan het einde van de vorige eeuw W R C Alkemade 89-98 1984")</f>
        <v>0</v>
      </c>
    </row>
    <row r="1087" spans="2:4">
      <c r="B1087">
        <v>52</v>
      </c>
      <c r="C1087" s="1">
        <f>hyperlink("https://hetutrechtsarchief.nl/collectie/AFF9EEC1A2BA5283858F8564A306CFF6","Gezondheid en ouder worden verslag van een projekt van het Dienstencentrum Zuilen Frans Christis en Maria van Berkum 1 - 59 1982")</f>
        <v>0</v>
      </c>
      <c r="D1087" s="1">
        <f>hyperlink("http://dspace.library.uu.nl/handle/1874/212597","Kiezels onder de Kaak een waarneming in het oude centrum van Woerden omtrent een pr -Romaans bouwfenomeen P C Beunder 81-89 1985")</f>
        <v>0</v>
      </c>
    </row>
    <row r="1088" spans="2:4">
      <c r="B1088">
        <v>57</v>
      </c>
      <c r="C1088" s="1">
        <f>hyperlink("https://hetutrechtsarchief.nl/collectie/CD64FA0425E4536FB8DA8483B2E3BF07","De particuliere begraafplaats van de familie Nepveu op Dijnselburg R P M Rhoen 60-68 2003")</f>
        <v>0</v>
      </c>
      <c r="D1088" s="1">
        <f>hyperlink("http://dspace.library.uu.nl/handle/1874/212598","De begraafplaats van de familie Groeneveld te Woerden C L J de Kaper 33-77 1985")</f>
        <v>0</v>
      </c>
    </row>
    <row r="1089" spans="2:4">
      <c r="B1089">
        <v>55</v>
      </c>
      <c r="C1089" s="1">
        <f>hyperlink("https://hetutrechtsarchief.nl/collectie/BB7598EDF4C251CA81172D0CCCDC019A","Brand in de Domtoren - C W W 69-71 1968")</f>
        <v>0</v>
      </c>
      <c r="D1089" s="1">
        <f>hyperlink("http://dspace.library.uu.nl/handle/1874/212599","Brand in de brouwerij De Star te Woerden in 1767 L Cl M Peters 90-95 1985")</f>
        <v>0</v>
      </c>
    </row>
    <row r="1090" spans="2:4">
      <c r="B1090">
        <v>58</v>
      </c>
      <c r="C1090" s="1">
        <f>hyperlink("https://hetutrechtsarchief.nl/collectie/6D675542FCECC0FBE0534701000A1B17","Het korte leven van de Loenense Kaasmarkt Aleid Smid 7-13 2018")</f>
        <v>0</v>
      </c>
      <c r="D1090" s="1">
        <f>hyperlink("http://dspace.library.uu.nl/handle/1874/212600","De oprichting van de Woerdense kaasmarkt in 1885 R J F van Drie 1-9 1985")</f>
        <v>0</v>
      </c>
    </row>
    <row r="1091" spans="2:4">
      <c r="B1091">
        <v>53</v>
      </c>
      <c r="C1091" s="1">
        <f>hyperlink("https://hetutrechtsarchief.nl/collectie/A3CA4351927E5CFCA873D6ACE1401B22","De opgraving op het kerkhof bij de Rochuskapel Timo d Hollosy 3-4 2002")</f>
        <v>0</v>
      </c>
      <c r="D1091" s="1">
        <f>hyperlink("http://dspace.library.uu.nl/handle/1874/212601","Romeinse opgravingen op het kerkhof van de Petruskerk en langs de Molenstraat te Woerden J K Bogaers J E Haalebos 2-7 1982")</f>
        <v>0</v>
      </c>
    </row>
    <row r="1092" spans="2:4">
      <c r="B1092">
        <v>57</v>
      </c>
      <c r="C1092" s="1">
        <f>hyperlink("https://hetutrechtsarchief.nl/collectie/251AD1B37BE35A96A65C3A54B00DD609","De inrichting en het gebruik van de Domkerk II V van Woerden 1-19 tek plgr 1983")</f>
        <v>0</v>
      </c>
      <c r="D1092" s="1">
        <f>hyperlink("http://dspace.library.uu.nl/handle/1874/212602","De zuideringangskapel met syter van de Petruskerk te Woerden L H Boot 1-8 1984")</f>
        <v>0</v>
      </c>
    </row>
    <row r="1093" spans="2:4">
      <c r="B1093">
        <v>54</v>
      </c>
      <c r="C1093" s="1">
        <f>hyperlink("https://hetutrechtsarchief.nl/collectie/BCEF9236D60257979A9BE029C29BFA13","Een Bank van Lening in Spakenburg O Dekkers 182-183 2009")</f>
        <v>0</v>
      </c>
      <c r="D1093" s="1">
        <f>hyperlink("http://dspace.library.uu.nl/handle/1874/212603","De Woerdense Bank van Lening onder stedelijk toezicht 1582-1883 R J F van Drie 61-70 1983")</f>
        <v>0</v>
      </c>
    </row>
    <row r="1094" spans="2:4">
      <c r="B1094">
        <v>57</v>
      </c>
      <c r="C1094" s="1">
        <f>hyperlink("https://hetutrechtsarchief.nl/collectie/7817ECDB2F2C596EA136111A14990BFF","Waarom werd Lt -Adm van Ghent in de Domkerk begraven - E 9-14 1935")</f>
        <v>0</v>
      </c>
      <c r="D1094" s="1">
        <f>hyperlink("http://dspace.library.uu.nl/handle/1874/212604","Woerden 31 december 1828 dit is de laatste die in de kerk begraven is C L J de Kaper 1-9 1983")</f>
        <v>0</v>
      </c>
    </row>
    <row r="1095" spans="2:4">
      <c r="B1095">
        <v>56</v>
      </c>
      <c r="C1095" s="1">
        <f>hyperlink("https://hetutrechtsarchief.nl/collectie/43DDCAF0657C5AEA9C424AF1B0606A8C","Het spoor van de dertiende penning F Doeleman 125-140 1981")</f>
        <v>0</v>
      </c>
      <c r="D1095" s="1">
        <f>hyperlink("http://dspace.library.uu.nl/handle/1874/212605","Het spoorwegplan Dordrecht-Woerden van 1911 R A J Hamoen 25-30 1983")</f>
        <v>0</v>
      </c>
    </row>
    <row r="1096" spans="2:4">
      <c r="B1096">
        <v>59</v>
      </c>
      <c r="C1096" s="1">
        <f>hyperlink("https://hetutrechtsarchief.nl/collectie/30B4BDCABA435711B15923FB7C984706","Gevaarlijke ontwikkelingen uit het verslag van de raadsvergadering van de Gemeente Utrecht van 30 juni 1887 J N van der Meulen 38 1979")</f>
        <v>0</v>
      </c>
      <c r="D1096" s="1">
        <f>hyperlink("http://dspace.library.uu.nl/handle/1874/212606","Aantekeningen uit de notulen van de gemeenteraadsvergaderingen van Rietveld en de Bree W van Wijngaarden 30-35 1983")</f>
        <v>0</v>
      </c>
    </row>
    <row r="1097" spans="2:4">
      <c r="B1097">
        <v>54</v>
      </c>
      <c r="C1097" s="1">
        <f>hyperlink("https://hetutrechtsarchief.nl/collectie/F0EE66BDCEE551E59F8314A40194CF4A","De Christelijke afgescheiden gemeente en de eerste jaren van haar bestaan - K 20-23 1939")</f>
        <v>0</v>
      </c>
      <c r="D1097" s="1">
        <f>hyperlink("http://dspace.library.uu.nl/handle/1874/212607","Orgelbegeleiding bij de gemeentezang in de Petruskerk te Woerden A M ten Hoeve 35-37 1983")</f>
        <v>0</v>
      </c>
    </row>
    <row r="1098" spans="2:4">
      <c r="B1098">
        <v>54</v>
      </c>
      <c r="C1098" s="1">
        <f>hyperlink("https://hetutrechtsarchief.nl/collectie/B402F4BE238A57D8A7FAB282E59C6F1E","Zuylestein door de eeuwen heen deel 2 de heren van Nassau-Zuylestein Peter van Oosten de Boer 6-14 2013")</f>
        <v>0</v>
      </c>
      <c r="D1098" s="1">
        <f>hyperlink("http://dspace.library.uu.nl/handle/1874/212608","Zingt een nieuw lied voor de Heer gedaan in het jaar des Heren 1745 in de Lutherse kerk van Woerden C L J de Kaper 54-58 1983")</f>
        <v>0</v>
      </c>
    </row>
    <row r="1099" spans="2:4">
      <c r="B1099">
        <v>55</v>
      </c>
      <c r="C1099" s="1">
        <f>hyperlink("https://hetutrechtsarchief.nl/collectie/2B4A8F8CF841547BAA2147CDD95C7366","Bidt veur die ziel Amen graven en begraven in de Evangelisch-Lutherse kerk te Utrecht Ben van Spanje 6-11 2006")</f>
        <v>0</v>
      </c>
      <c r="D1099" s="1">
        <f>hyperlink("http://dspace.library.uu.nl/handle/1874/212609","De viering van de 400e geboortedag van Maarten Luther in de Evangelisch-Lutherse gemeenten te Bodegraven en Woerden C L J de Kaper 75-78 1983")</f>
        <v>0</v>
      </c>
    </row>
    <row r="1100" spans="2:4">
      <c r="B1100">
        <v>56</v>
      </c>
      <c r="C1100" s="1">
        <f>hyperlink("https://hetutrechtsarchief.nl/collectie/D86B2562781C58E7B83736B313CC5654","Het muntenkabinet tekst F A M Pietersen 1-8 1980")</f>
        <v>0</v>
      </c>
      <c r="D1100" s="1">
        <f>hyperlink("http://dspace.library.uu.nl/handle/1874/212610","Een hengeldag te Papekop L Cl M Peters 78-80 1983")</f>
        <v>0</v>
      </c>
    </row>
    <row r="1101" spans="2:4">
      <c r="B1101">
        <v>54</v>
      </c>
      <c r="C1101" s="1">
        <f>hyperlink("https://hetutrechtsarchief.nl/collectie/9AFE01C22BC5567A8DBA9A23BA3BBC7D","De Jeremie en het Vaartsche Veerhuis J W C van Campen 89-92 1942")</f>
        <v>0</v>
      </c>
      <c r="D1101" s="1">
        <f>hyperlink("http://dspace.library.uu.nl/handle/1874/212611","Portretkunst in het Stichts-Hollandse grensgebied J W C van Plomp N Schaik 69-92 1982")</f>
        <v>0</v>
      </c>
    </row>
    <row r="1102" spans="2:4">
      <c r="B1102">
        <v>63</v>
      </c>
      <c r="C1102" s="1">
        <f>hyperlink("https://hetutrechtsarchief.nl/collectie/B6493A63A9CF5A3A92D6F9C74D5CB4E6","De Rhenense elite in de eerste helft van de 18e eeuw Willem H Strous 7-31 2009")</f>
        <v>0</v>
      </c>
      <c r="D1102" s="1">
        <f>hyperlink("http://dspace.library.uu.nl/handle/1874/212612","Het katholicisme te Montfoort in de eerste helft van de 17e eeuw H N Boukema 84-87 1984")</f>
        <v>0</v>
      </c>
    </row>
    <row r="1103" spans="2:4">
      <c r="B1103">
        <v>54</v>
      </c>
      <c r="C1103" s="1">
        <f>hyperlink("https://hetutrechtsarchief.nl/collectie/6FEC85D64CDF5E2C897A43492083FC23","De twee kastelen van de graven Jan en Guy van Blois in Schoonhoven en Gouda Adriana Bontenbal 102-112 2014")</f>
        <v>0</v>
      </c>
      <c r="D1103" s="1">
        <f>hyperlink("http://dspace.library.uu.nl/handle/1874/212614","Drie kleine steden in de staten de verschijning van Schoonhoven Woerden en Oudewater in de Hollandse Statenvergadering J W Koopmans 109-114 1985")</f>
        <v>0</v>
      </c>
    </row>
    <row r="1104" spans="2:4">
      <c r="B1104">
        <v>53</v>
      </c>
      <c r="C1104" s="1">
        <f>hyperlink("https://hetutrechtsarchief.nl/collectie/DF62F60C46FF52458DCFFD086C870D49","Het Passantenhuis C W Wagenaar 277 -281 1902")</f>
        <v>0</v>
      </c>
      <c r="D1104" s="1">
        <f>hyperlink("http://dspace.library.uu.nl/handle/1874/212615","Harmelen spoorwegknooppunt C J W Gravendaal 23-28 1982")</f>
        <v>0</v>
      </c>
    </row>
    <row r="1105" spans="2:4">
      <c r="B1105">
        <v>58</v>
      </c>
      <c r="C1105" s="1">
        <f>hyperlink("https://hetutrechtsarchief.nl/collectie/0370856478785150B6635A8823BBEC44","Hees en Den Dolder M Raven 5-6 1964")</f>
        <v>0</v>
      </c>
      <c r="D1105" s="1">
        <f>hyperlink("http://dspace.library.uu.nl/handle/1874/212617","Fietsen in de Kamerikse polders A J Straver 54-61 1982")</f>
        <v>0</v>
      </c>
    </row>
    <row r="1106" spans="2:4">
      <c r="B1106">
        <v>54</v>
      </c>
      <c r="C1106" s="1">
        <f>hyperlink("https://hetutrechtsarchief.nl/collectie/68EE1EBEFFB14C7AE0534701000A7881","Bakkers in Eemnes door de eeuwen heen deel 3 Henk van Hees 42-54 2018")</f>
        <v>0</v>
      </c>
      <c r="D1106" s="1">
        <f>hyperlink("http://dspace.library.uu.nl/handle/1874/212618","Fietsen door de gemeenten Woerden Bodegraven Driebruggen en Reeuwijk J Schut 29-54 1982")</f>
        <v>0</v>
      </c>
    </row>
    <row r="1107" spans="2:4">
      <c r="B1107">
        <v>60</v>
      </c>
      <c r="C1107" s="1">
        <f>hyperlink("https://hetutrechtsarchief.nl/collectie/C8418C9B606B53BFE0538F04000A1CB0","De limes op de werelderfgoedlijst Joost Vermeulen 32-34 2021")</f>
        <v>0</v>
      </c>
      <c r="D1107" s="1">
        <f>hyperlink("http://dspace.library.uu.nl/handle/1874/212619","De ijskelder op het Landgoed Linschoten J G Alta H Vermeulen 18-22 1982")</f>
        <v>0</v>
      </c>
    </row>
    <row r="1108" spans="2:4">
      <c r="B1108">
        <v>62</v>
      </c>
      <c r="C1108" s="1">
        <f>hyperlink("https://hetutrechtsarchief.nl/collectie/749D7CF770E15F14B76327F0431A504C","Kantelen voor Wulverhorst J W C van Schaik en G J A Beerthuizen-van Kooten 105-115 2012")</f>
        <v>0</v>
      </c>
      <c r="D1108" s="1">
        <f>hyperlink("http://dspace.library.uu.nl/handle/1874/212621","Het Montfoortse stadhuis op stelten G J A Beerthuizen-van Kooten 11-18 1982")</f>
        <v>0</v>
      </c>
    </row>
    <row r="1109" spans="2:4">
      <c r="B1109">
        <v>59</v>
      </c>
      <c r="C1109" s="1">
        <f>hyperlink("https://hetutrechtsarchief.nl/collectie/749D7CF770E15F14B76327F0431A504C","Kantelen voor Wulverhorst J W C van Schaik en G J A Beerthuizen-van Kooten 105-115 2012")</f>
        <v>0</v>
      </c>
      <c r="D1109" s="1">
        <f>hyperlink("http://dspace.library.uu.nl/handle/1874/212622","De Montfoortse bodebus G J A Beerthuizen-van Kooten 70-74 1983")</f>
        <v>0</v>
      </c>
    </row>
    <row r="1110" spans="2:4">
      <c r="B1110">
        <v>61</v>
      </c>
      <c r="C1110" s="1">
        <f>hyperlink("https://hetutrechtsarchief.nl/collectie/749D7CF770E15F14B76327F0431A504C","Kantelen voor Wulverhorst J W C van Schaik en G J A Beerthuizen-van Kooten 105-115 2012")</f>
        <v>0</v>
      </c>
      <c r="D1110" s="1">
        <f>hyperlink("http://dspace.library.uu.nl/handle/1874/212623","Een straatfoto uit Montfoort G J A Beerthuizen-van Kooten 10-12 1983")</f>
        <v>0</v>
      </c>
    </row>
    <row r="1111" spans="2:4">
      <c r="B1111">
        <v>59</v>
      </c>
      <c r="C1111" s="1">
        <f>hyperlink("https://hetutrechtsarchief.nl/collectie/838199B28A975F1AADDAA65BF5AF827E","Het ontstaan van de Annastraat en de ligging van het Oude kerkhof J Prakken 42-46 1950")</f>
        <v>0</v>
      </c>
      <c r="D1111" s="1">
        <f>hyperlink("http://dspace.library.uu.nl/handle/1874/212624","Het ontstaan van het landschap in de omgeving van Montfoort M I J G Berendsen H J A Cortenraad 41-53 1983")</f>
        <v>0</v>
      </c>
    </row>
    <row r="1112" spans="2:4">
      <c r="B1112">
        <v>62</v>
      </c>
      <c r="C1112" s="1">
        <f>hyperlink("https://hetutrechtsarchief.nl/collectie/1A4892D5B580537B91CE1FFA07E030BD","Huize Mari nberg te Harmelen J W C van Schaik 37-41 1999")</f>
        <v>0</v>
      </c>
      <c r="D1112" s="1">
        <f>hyperlink("http://dspace.library.uu.nl/handle/1874/212625","Schurenburg J W C van Schaik 95-106 1985")</f>
        <v>0</v>
      </c>
    </row>
    <row r="1113" spans="2:4">
      <c r="B1113">
        <v>59</v>
      </c>
      <c r="C1113" s="1">
        <f>hyperlink("https://hetutrechtsarchief.nl/collectie/AF3A0D08D66756358708E12B162E4D3C","Korte geschiedenis van het geslacht Riggeling in Eemnes Henk van Hees 160-178 1999")</f>
        <v>0</v>
      </c>
      <c r="D1113" s="1">
        <f>hyperlink("http://dspace.library.uu.nl/handle/1874/212626","Beknopte geschiedenis van het Verenigingsgebouw Sint Joseph te Montfoort G J A Beerthuizen-van Kooten 115-125 1985")</f>
        <v>0</v>
      </c>
    </row>
    <row r="1114" spans="2:4">
      <c r="B1114">
        <v>57</v>
      </c>
      <c r="C1114" s="1">
        <f>hyperlink("https://hetutrechtsarchief.nl/collectie/749D7CF770E15F14B76327F0431A504C","Kantelen voor Wulverhorst J W C van Schaik en G J A Beerthuizen-van Kooten 105-115 2012")</f>
        <v>0</v>
      </c>
      <c r="D1114" s="1">
        <f>hyperlink("http://dspace.library.uu.nl/handle/1874/212627","Februari 1673 een Haags tamboer over zijn ervaringen in Oudewater G J A Beerthuizen-van Kooten 93-98 1982")</f>
        <v>0</v>
      </c>
    </row>
    <row r="1115" spans="2:4">
      <c r="B1115">
        <v>60</v>
      </c>
      <c r="C1115" s="1">
        <f>hyperlink("https://hetutrechtsarchief.nl/collectie/960B59558548F20AE0534701000A672A","Een vervalste ciborie Wouter Maas 17 2019")</f>
        <v>0</v>
      </c>
      <c r="D1115" s="1">
        <f>hyperlink("http://dspace.library.uu.nl/handle/1874/212628","Een gevelsteen te Oudewater N Plomp 7-10 1982")</f>
        <v>0</v>
      </c>
    </row>
    <row r="1116" spans="2:4">
      <c r="B1116">
        <v>55</v>
      </c>
      <c r="C1116" s="1">
        <f>hyperlink("https://hetutrechtsarchief.nl/collectie/0EE423823D0C5A91AE7FC2FBEB88A8C8","Het adresboek Achter Sint Pieter 8 Joep Grave 2 1985")</f>
        <v>0</v>
      </c>
      <c r="D1116" s="1">
        <f>hyperlink("http://dspace.library.uu.nl/handle/1874/212630","Het wegkapelletje in Snelrewaard A J Straver 1982")</f>
        <v>0</v>
      </c>
    </row>
    <row r="1117" spans="2:4">
      <c r="B1117">
        <v>57</v>
      </c>
      <c r="C1117" s="1">
        <f>hyperlink("https://hetutrechtsarchief.nl/collectie/749D7CF770E15F14B76327F0431A504C","Kantelen voor Wulverhorst J W C van Schaik en G J A Beerthuizen-van Kooten 105-115 2012")</f>
        <v>0</v>
      </c>
      <c r="D1117" s="1">
        <f>hyperlink("http://dspace.library.uu.nl/handle/1874/212631","Enige aanvullende notities over het stadszegel van Montfoort G J A Beerthuizen-van Kooten 99-100 1984")</f>
        <v>0</v>
      </c>
    </row>
    <row r="1118" spans="2:4">
      <c r="B1118">
        <v>56</v>
      </c>
      <c r="C1118" s="1">
        <f>hyperlink("https://hetutrechtsarchief.nl/collectie/967D6CCF64155F5582614612509C2EAD","Het eerste vrouwenklooster van Oudewater K Goudriaan 1-34 1999")</f>
        <v>0</v>
      </c>
      <c r="D1118" s="1">
        <f>hyperlink("http://dspace.library.uu.nl/handle/1874/212633","Het St Ursulaconvent en haar kapel te Oudewater W Annema 53-83 1984")</f>
        <v>0</v>
      </c>
    </row>
    <row r="1119" spans="2:4">
      <c r="B1119">
        <v>53</v>
      </c>
      <c r="C1119" s="1">
        <f>hyperlink("https://hetutrechtsarchief.nl/collectie/78BF590B4F685EB1ACB162122DC84E72","Publicist voor Oranje R M van Goens en De Ouderwetse Nederlandsche Patriot 1781-1783 J M Peterse 182-208 1988")</f>
        <v>0</v>
      </c>
      <c r="D1119" s="1">
        <f>hyperlink("http://dspace.library.uu.nl/handle/1874/212634","Lijst van weerbare mannen van Zegveld en Zegvelderbroek uit 1747 L Cl M Peters 110-114 1982")</f>
        <v>0</v>
      </c>
    </row>
    <row r="1120" spans="2:4">
      <c r="B1120">
        <v>59</v>
      </c>
      <c r="C1120" s="1">
        <f>hyperlink("https://hetutrechtsarchief.nl/collectie/EE1A7B5A6DDE500BA521EE166A2EE568","De oorsprong van het studentencorps Th Rijnberg 1-9 1954")</f>
        <v>0</v>
      </c>
      <c r="D1120" s="1">
        <f>hyperlink("http://dspace.library.uu.nl/handle/1874/212679","De oorsprong van Harmelen en Hermalle sous Huy J van Bemmel 77-81 1986")</f>
        <v>0</v>
      </c>
    </row>
    <row r="1121" spans="2:4">
      <c r="B1121">
        <v>58</v>
      </c>
      <c r="C1121" s="1">
        <f>hyperlink("https://hetutrechtsarchief.nl/collectie/749D7CF770E15F14B76327F0431A504C","Kantelen voor Wulverhorst J W C van Schaik en G J A Beerthuizen-van Kooten 105-115 2012")</f>
        <v>0</v>
      </c>
      <c r="D1121" s="1">
        <f>hyperlink("http://dspace.library.uu.nl/handle/1874/212680","Wie arm is krijgt lekkers G J A Alkemade W R C Beerthuizen-van Kooten 101-102 1986")</f>
        <v>0</v>
      </c>
    </row>
    <row r="1122" spans="2:4">
      <c r="B1122">
        <v>54</v>
      </c>
      <c r="C1122" s="1">
        <f>hyperlink("https://hetutrechtsarchief.nl/collectie/9D294D489DD65BF5B0CC074748A8C31F","De ineensmelting te Utrecht 1835-1887 1894 G van Klaveren Pz 5 -12 1934")</f>
        <v>0</v>
      </c>
      <c r="D1122" s="1">
        <f>hyperlink("http://dspace.library.uu.nl/handle/1874/212685","De Doleantie in Woerden van sekte naar kerkgenootschap 1887-1894 R van der Laarse 56-65 1986")</f>
        <v>0</v>
      </c>
    </row>
    <row r="1123" spans="2:4">
      <c r="B1123">
        <v>56</v>
      </c>
      <c r="C1123" s="1">
        <f>hyperlink("https://hetutrechtsarchief.nl/collectie/12440DB85D055CAEB9E3E5B2A5FEBF3B","Een koninklijk bezoek aan Woerden in 1814 W Lobbezoo-de Vos 37-39 2001")</f>
        <v>0</v>
      </c>
      <c r="D1123" s="1">
        <f>hyperlink("http://dspace.library.uu.nl/handle/1874/212687","Koninklijke doortocht door Woerden in 1839 A N Blok 97-100 1986")</f>
        <v>0</v>
      </c>
    </row>
    <row r="1124" spans="2:4">
      <c r="B1124">
        <v>62</v>
      </c>
      <c r="C1124" s="1">
        <f>hyperlink("https://hetutrechtsarchief.nl/collectie/8B81C08B09052FACE0534701000AC0AA","Het wapenbord van Waverveen Piet Koster 17 2019")</f>
        <v>0</v>
      </c>
      <c r="D1124" s="1">
        <f>hyperlink("http://dspace.library.uu.nl/handle/1874/212689","Het wapen van Woerden N Plomp 85-97 1986")</f>
        <v>0</v>
      </c>
    </row>
    <row r="1125" spans="2:4">
      <c r="B1125">
        <v>58</v>
      </c>
      <c r="C1125" s="1">
        <f>hyperlink("https://hetutrechtsarchief.nl/collectie/DD2EC6D75B285DEDB8BB29B960E792B0","De Remonstrantse Gereformeerde Gemeente te Woerden J Haitsma 4-132 2002")</f>
        <v>0</v>
      </c>
      <c r="D1125" s="1">
        <f>hyperlink("http://dspace.library.uu.nl/handle/1874/212690","Houding en lot van een gereformeerd predikant in de patriottentijd J Haitsma 102-109 1987")</f>
        <v>0</v>
      </c>
    </row>
    <row r="1126" spans="2:4">
      <c r="B1126">
        <v>59</v>
      </c>
      <c r="C1126" s="1">
        <f>hyperlink("https://hetutrechtsarchief.nl/collectie/600308E912645B1DBD9269EA2ABEADCA","Het orgel van de Janskerk en zijn voorgangers M A Vente 1-8 ill 1982")</f>
        <v>0</v>
      </c>
      <c r="D1126" s="1">
        <f>hyperlink("http://dspace.library.uu.nl/handle/1874/212691","Het orgel in de Grote of Sint Janskerk te Montfoort J J van der Harst 110-114 1987")</f>
        <v>0</v>
      </c>
    </row>
    <row r="1127" spans="2:4">
      <c r="B1127">
        <v>64</v>
      </c>
      <c r="C1127" s="1">
        <f>hyperlink("https://hetutrechtsarchief.nl/collectie/A73878A2A6455F6FBE51B85CF0B4B3E2","De Kamp te Cothen Ad van Bemmel 18-19 2013")</f>
        <v>0</v>
      </c>
      <c r="D1127" s="1">
        <f>hyperlink("http://dspace.library.uu.nl/handle/1874/212692","De Nessen te Harmelen J van Bemmel 68-71 1988")</f>
        <v>0</v>
      </c>
    </row>
    <row r="1128" spans="2:4">
      <c r="B1128">
        <v>63</v>
      </c>
      <c r="C1128" s="1">
        <f>hyperlink("https://hetutrechtsarchief.nl/collectie/BA478F2E574954BABD6050DEBDC868A7","De hofstede Rhijnenburg te Cothen Ad van Bemmel 33-34 ill 1998")</f>
        <v>0</v>
      </c>
      <c r="D1128" s="1">
        <f>hyperlink("http://dspace.library.uu.nl/handle/1874/212693","Van de Oude Rijn tot de Nieuwe Rijn te Harmelen J van Bemmel 38-41 1988")</f>
        <v>0</v>
      </c>
    </row>
    <row r="1129" spans="2:4">
      <c r="B1129">
        <v>62</v>
      </c>
      <c r="C1129" s="1">
        <f>hyperlink("https://hetutrechtsarchief.nl/collectie/0BF5C6BE8F5F5298AC1FFE6BA570E624","Chantage in Woerden 1732 W R C Alkemade 41-45 1999")</f>
        <v>0</v>
      </c>
      <c r="D1129" s="1">
        <f>hyperlink("http://dspace.library.uu.nl/handle/1874/212694","Een Woerdense grafrede uit 1846 W R C Alkemade 16-20 1988")</f>
        <v>0</v>
      </c>
    </row>
    <row r="1130" spans="2:4">
      <c r="B1130">
        <v>54</v>
      </c>
      <c r="C1130" s="1">
        <f>hyperlink("https://hetutrechtsarchief.nl/collectie/F596C9E1A8345E99990A1EC8A317C42C","Nalezingen op de proeve eener geschiedenis van het geslacht van Nyenrode J J de Geer 138 -226 1853")</f>
        <v>0</v>
      </c>
      <c r="D1130" s="1">
        <f>hyperlink("http://dspace.library.uu.nl/handle/1874/212695","Aen t ende van den lande enkele opmerkingen over de vroegste geschiedenis van het Stichts-Hollands grensgebied langs de Oude Rijn P C Beunder 42-47 1988")</f>
        <v>0</v>
      </c>
    </row>
    <row r="1131" spans="2:4">
      <c r="B1131">
        <v>55</v>
      </c>
      <c r="C1131" s="1">
        <f>hyperlink("https://hetutrechtsarchief.nl/collectie/D3CA3256ED4C59CA823B7481FF147040","De grenzen van Den Dolder M Raven 71-72 1965")</f>
        <v>0</v>
      </c>
      <c r="D1131" s="1">
        <f>hyperlink("http://dspace.library.uu.nl/handle/1874/212697","De problemen van een Joodse slager in Woerden 1785-1788 C Hamoen 72-76 1988")</f>
        <v>0</v>
      </c>
    </row>
    <row r="1132" spans="2:4">
      <c r="B1132">
        <v>60</v>
      </c>
      <c r="C1132" s="1">
        <f>hyperlink("https://hetutrechtsarchief.nl/collectie/0BB66EAF40435007B4D3F46C9DA74C36","De geschiedenis van de posterijen in De Meern J Sangers 34-44 2015")</f>
        <v>0</v>
      </c>
      <c r="D1132" s="1">
        <f>hyperlink("http://dspace.library.uu.nl/handle/1874/212699","De geschiedenis van een patriottische commissie te Woerden in 1787 A Meddens-van Borselen 33-45 1987")</f>
        <v>0</v>
      </c>
    </row>
    <row r="1133" spans="2:4">
      <c r="B1133">
        <v>59</v>
      </c>
      <c r="C1133" s="1">
        <f>hyperlink("https://hetutrechtsarchief.nl/collectie/253B1F69BE965816A8E67221CC44B2E8","Twee stille relicten van windenergie van weleer P C Beunder 57-67 2014")</f>
        <v>0</v>
      </c>
      <c r="D1133" s="1">
        <f>hyperlink("http://dspace.library.uu.nl/handle/1874/212700","Nieuw licht op Romeins Woerden P C Beunder 57-67 1988")</f>
        <v>0</v>
      </c>
    </row>
    <row r="1134" spans="2:4">
      <c r="B1134">
        <v>53</v>
      </c>
      <c r="C1134" s="1">
        <f>hyperlink("https://hetutrechtsarchief.nl/collectie/BE9A1FCEB1445EC499B42D62AB8E58AB","Een duik in de archieven hoe Cathrijn een king i e kind kreeg J N van der Meulen 21 1978")</f>
        <v>0</v>
      </c>
      <c r="D1134" s="1">
        <f>hyperlink("http://dspace.library.uu.nl/handle/1874/212701","Een proces tegen de Hoogduitse chirurgijn Wilhelm Aron Lang te Harmelen in 1726 J van Bemmel 1-6 1989")</f>
        <v>0</v>
      </c>
    </row>
    <row r="1135" spans="2:4">
      <c r="B1135">
        <v>59</v>
      </c>
      <c r="C1135" s="1">
        <f>hyperlink("https://hetutrechtsarchief.nl/collectie/967D6CCF64155F5582614612509C2EAD","Het eerste vrouwenklooster van Oudewater K Goudriaan 1-34 1999")</f>
        <v>0</v>
      </c>
      <c r="D1135" s="1">
        <f>hyperlink("http://dspace.library.uu.nl/handle/1874/212702","Het ooievaarsnest op het stadhuis van Oudewater A Scheygrond 18-20 1989")</f>
        <v>0</v>
      </c>
    </row>
    <row r="1136" spans="2:4">
      <c r="B1136">
        <v>74</v>
      </c>
      <c r="C1136" s="1">
        <f>hyperlink("https://hetutrechtsarchief.nl/collectie/1A4892D5B580537B91CE1FFA07E030BD","Huize Mari nberg te Harmelen J W C van Schaik 37-41 1999")</f>
        <v>0</v>
      </c>
      <c r="D1136" s="1">
        <f>hyperlink("http://dspace.library.uu.nl/handle/1874/212703","Het Huis Batestein te Harmelen J W C van Schaik 1-27 1991")</f>
        <v>0</v>
      </c>
    </row>
    <row r="1137" spans="2:4">
      <c r="B1137">
        <v>61</v>
      </c>
      <c r="C1137" s="1">
        <f>hyperlink("https://hetutrechtsarchief.nl/collectie/0BF5C6BE8F5F5298AC1FFE6BA570E624","Chantage in Woerden 1732 W R C Alkemade 41-45 1999")</f>
        <v>0</v>
      </c>
      <c r="D1137" s="1">
        <f>hyperlink("http://dspace.library.uu.nl/handle/1874/212704","Een grensconflict in Driebruggen 1828-1838 W R C Alkemade 37-42 1991")</f>
        <v>0</v>
      </c>
    </row>
    <row r="1138" spans="2:4">
      <c r="B1138">
        <v>54</v>
      </c>
      <c r="C1138" s="1">
        <f>hyperlink("https://hetutrechtsarchief.nl/collectie/377994DA5F3D592BA5DE6AC98B369D97","Kerken en orgels de Begijnekerk de Oosterkerk t orgel in de Tuindorpkerk te Utrecht recente gegevens 7-15 1985")</f>
        <v>0</v>
      </c>
      <c r="D1138" s="1">
        <f>hyperlink("http://dspace.library.uu.nl/handle/1874/212705","Het orgel uit de Nieuwe Kerk te Delft in de Grote-St Michaelskerk te Oudewater Henny W Beekes 52-57 1990")</f>
        <v>0</v>
      </c>
    </row>
    <row r="1139" spans="2:4">
      <c r="B1139">
        <v>56</v>
      </c>
      <c r="C1139" s="1">
        <f>hyperlink("https://hetutrechtsarchief.nl/collectie/DFC3E16C95E056A5A8A3B4B766513EAD","Huisvesting van het Utrecht Archief J T J Jamar 7 1999")</f>
        <v>0</v>
      </c>
      <c r="D1139" s="1">
        <f>hyperlink("http://dspace.library.uu.nl/handle/1874/212706","Huisvesting in Montfoort in 1904 C G M Noordam 64-79 1990")</f>
        <v>0</v>
      </c>
    </row>
    <row r="1140" spans="2:4">
      <c r="B1140">
        <v>53</v>
      </c>
      <c r="C1140" s="1">
        <f>hyperlink("https://hetutrechtsarchief.nl/collectie/E7BD492BE22A5BF6A5FE34ABC75A28AF","Project Reconstructie grenspalen tussen Holland en Het Sticht Peter A van Golen 30 2008")</f>
        <v>0</v>
      </c>
      <c r="D1140" s="1">
        <f>hyperlink("http://dspace.library.uu.nl/handle/1874/212707","De Putkupe later Putkuip een Middeleeuws conferentie-oord ter beslechting van geschillen tussen Holland en het Sticht J van Bemmel 80-94 1990")</f>
        <v>0</v>
      </c>
    </row>
    <row r="1141" spans="2:4">
      <c r="B1141">
        <v>59</v>
      </c>
      <c r="C1141" s="1">
        <f>hyperlink("https://hetutrechtsarchief.nl/collectie/A56F7E7E69225A44AB2996E6D60370E2","De oudste windwatermolen in het Hollands-Utrechtse grensgebied W F J den Uyl 45-54 ill 1961")</f>
        <v>0</v>
      </c>
      <c r="D1141" s="1">
        <f>hyperlink("http://dspace.library.uu.nl/handle/1874/212708","Molens in het Stichts-Hollandse grensgebied E Stoop 57-85 1991")</f>
        <v>0</v>
      </c>
    </row>
    <row r="1142" spans="2:4">
      <c r="B1142">
        <v>58</v>
      </c>
      <c r="C1142" s="1">
        <f>hyperlink("https://hetutrechtsarchief.nl/collectie/06F9702060E85089A7722918786403A1","Themaat van maat tot polder 2 J A Storm van Leeuwen 29-36 1998")</f>
        <v>0</v>
      </c>
      <c r="D1142" s="1">
        <f>hyperlink("http://dspace.library.uu.nl/handle/1874/212709","Herman van Swanevelt meester of leerling J T van Es 21-33 1989")</f>
        <v>0</v>
      </c>
    </row>
    <row r="1143" spans="2:4">
      <c r="B1143">
        <v>61</v>
      </c>
      <c r="C1143" s="1">
        <f>hyperlink("https://hetutrechtsarchief.nl/collectie/74A8EBE6A7DB53D5A28BD5BF7A5616DC","Het kasteel Amerongen A W J Mulder 90-93 1929")</f>
        <v>0</v>
      </c>
      <c r="D1143" s="1">
        <f>hyperlink("http://dspace.library.uu.nl/handle/1874/212710","Het kasteel van Woerden een reactie N Plomp 50-54 1989")</f>
        <v>0</v>
      </c>
    </row>
    <row r="1144" spans="2:4">
      <c r="B1144">
        <v>53</v>
      </c>
      <c r="C1144" s="1">
        <f>hyperlink("https://hetutrechtsarchief.nl/collectie/2B032C7021D0527E85E6237FFC1BC968","Autaar van Onze Lieve Vrouw in de Kraam in de Buurkerk G W Beger 160-165 1851")</f>
        <v>0</v>
      </c>
      <c r="D1144" s="1">
        <f>hyperlink("http://dspace.library.uu.nl/handle/1874/212711","Laurum waar lig je Romeins Woerden nader bekeken P C Beunder 61-63 1990")</f>
        <v>0</v>
      </c>
    </row>
    <row r="1145" spans="2:4">
      <c r="B1145">
        <v>56</v>
      </c>
      <c r="C1145" s="1">
        <f>hyperlink("https://hetutrechtsarchief.nl/collectie/B702DD8B80745B438C1E5F84CB27D41E","Vijftig jaar Woerdense Courant 1949-1999 J T van Es 133-152 1999")</f>
        <v>0</v>
      </c>
      <c r="D1145" s="1">
        <f>hyperlink("http://dspace.library.uu.nl/handle/1874/212712","Hoeveel inwoners had Woerden in 1372 J T van Es 31-37 1991")</f>
        <v>0</v>
      </c>
    </row>
    <row r="1146" spans="2:4">
      <c r="B1146">
        <v>55</v>
      </c>
      <c r="C1146" s="1">
        <f>hyperlink("https://hetutrechtsarchief.nl/collectie/059A989A757359BDA68E8D03E99D013A","Een verdwenen behuizing in het buitengebied van Soest teruggevonden J J Meerts 2-4 1999")</f>
        <v>0</v>
      </c>
      <c r="D1146" s="1">
        <f>hyperlink("http://dspace.library.uu.nl/handle/1874/212713","Woorden over Woerden een nabeschouwing op het boekje Het Kasteel te Woerden uit 1989 M S Verweij 42-56 1991")</f>
        <v>0</v>
      </c>
    </row>
    <row r="1147" spans="2:4">
      <c r="B1147">
        <v>55</v>
      </c>
      <c r="C1147" s="1">
        <f>hyperlink("https://hetutrechtsarchief.nl/collectie/07D368689EA95DAEBD88528B6DD14AF1","Het landgoed Ter Meer 11 C W P Bloemendaal 89-92 ill 1998")</f>
        <v>0</v>
      </c>
      <c r="D1147" s="1">
        <f>hyperlink("http://dspace.library.uu.nl/handle/1874/212714","Een vliegveld bij Woerden C J W Gravendaal 89-91 1991")</f>
        <v>0</v>
      </c>
    </row>
    <row r="1148" spans="2:4">
      <c r="B1148">
        <v>60</v>
      </c>
      <c r="C1148" s="1">
        <f>hyperlink("https://hetutrechtsarchief.nl/collectie/496F2C42DEEA57028503827AE9AF818F","De brieven van Stephanus Pighius J H Jongkees 228-243 1961")</f>
        <v>0</v>
      </c>
      <c r="D1148" s="1">
        <f>hyperlink("http://dspace.library.uu.nl/handle/1874/212715","De brieven van Levanticus A Schep 97-110 1991")</f>
        <v>0</v>
      </c>
    </row>
    <row r="1149" spans="2:4">
      <c r="B1149">
        <v>51</v>
      </c>
      <c r="C1149" s="1">
        <f>hyperlink("https://hetutrechtsarchief.nl/collectie/AB0BCA54BF9750CBAA5CB2C8CB7A29C9","De Kemp de geschiedenis van een oude Oukoopse boerderij Albertus A van Kooten en Bep van Schaik-van Kooten 133-143 2001")</f>
        <v>0</v>
      </c>
      <c r="D1149" s="1">
        <f>hyperlink("http://dspace.library.uu.nl/handle/1874/212716","Tot nutscap des Gemeenlants van den Houdijk de bestuursinrichting en windbemaling van het waterschap Groot-Houtdijk J F van Rooijen 68-80 1993")</f>
        <v>0</v>
      </c>
    </row>
    <row r="1150" spans="2:4">
      <c r="B1150">
        <v>51</v>
      </c>
      <c r="C1150" s="1">
        <f>hyperlink("https://hetutrechtsarchief.nl/collectie/4F810D29FF7A5EC796F9042478843D59","De beteekenis van den Middeleeuwschen heiligenkalender en de kalenders van Utrecht Toulouse en van de Karmelieten Slot B Kruitwagen 81 -112 ill 1938")</f>
        <v>0</v>
      </c>
      <c r="D1150" s="1">
        <f>hyperlink("http://dspace.library.uu.nl/handle/1874/212717","De levensloop van Adriana Meershoek een korte studie op basis van het bevolkingsregister van Woerden Barwoutswaarder en Rietveld R Beekink E Wall 104-115 1993")</f>
        <v>0</v>
      </c>
    </row>
    <row r="1151" spans="2:4">
      <c r="B1151">
        <v>59</v>
      </c>
      <c r="C1151" s="1">
        <f>hyperlink("https://hetutrechtsarchief.nl/collectie/AC2D9C3EB22556D8856151DD8DECEBF5","Het stadhuis - G v K 50 1928")</f>
        <v>0</v>
      </c>
      <c r="D1151" s="1">
        <f>hyperlink("http://dspace.library.uu.nl/handle/1874/212718","Het stadhuis van Montfoort C G M Noordam 1-28 1992")</f>
        <v>0</v>
      </c>
    </row>
    <row r="1152" spans="2:4">
      <c r="B1152">
        <v>57</v>
      </c>
      <c r="C1152" s="1">
        <f>hyperlink("https://hetutrechtsarchief.nl/collectie/9192B8CF5E7357CD922A5563FCED1895","Het vergeten woonerf Klein Amsterdam Peter A van Golen 104-107 2010")</f>
        <v>0</v>
      </c>
      <c r="D1152" s="1">
        <f>hyperlink("http://dspace.library.uu.nl/handle/1874/212720","Oudewaterse gevelstenen in Amsterdam P G Knol 73-77 1992")</f>
        <v>0</v>
      </c>
    </row>
    <row r="1153" spans="2:4">
      <c r="B1153">
        <v>62</v>
      </c>
      <c r="C1153" s="1">
        <f>hyperlink("https://hetutrechtsarchief.nl/collectie/A73D5F63E84D50F4B7BFCD4967E22952","De ridderhofstad Oudegein J W C van Schaik 66-82 1999")</f>
        <v>0</v>
      </c>
      <c r="D1153" s="1">
        <f>hyperlink("http://dspace.library.uu.nl/handle/1874/212721","Wulvenhorst J W C van Schaik 1-6 1994")</f>
        <v>0</v>
      </c>
    </row>
    <row r="1154" spans="2:4">
      <c r="B1154">
        <v>59</v>
      </c>
      <c r="C1154" s="1">
        <f>hyperlink("https://hetutrechtsarchief.nl/collectie/0102C652BE375073BB42AD776A3EFB43","De plek kasteel Stoutenburg J Verduin 61 1997")</f>
        <v>0</v>
      </c>
      <c r="D1154" s="1">
        <f>hyperlink("http://dspace.library.uu.nl/handle/1874/212722","Het kasteel Linschoten C G M Noordam 6-12 1994")</f>
        <v>0</v>
      </c>
    </row>
    <row r="1155" spans="2:4">
      <c r="B1155">
        <v>60</v>
      </c>
      <c r="C1155" s="1">
        <f>hyperlink("https://hetutrechtsarchief.nl/collectie/2219EB9C6DCB5F50A891C0EB35CE6800","Dertiende penning al eeuwen afgeschaft Jan van Es 26-30 ill krt 1998")</f>
        <v>0</v>
      </c>
      <c r="D1155" s="1">
        <f>hyperlink("http://dspace.library.uu.nl/handle/1874/212723","De dertiende penning nieuw leven ingeblazen in Kamerik J T van Es 12-26 1994")</f>
        <v>0</v>
      </c>
    </row>
    <row r="1156" spans="2:4">
      <c r="B1156">
        <v>60</v>
      </c>
      <c r="C1156" s="1">
        <f>hyperlink("https://hetutrechtsarchief.nl/collectie/BF51CF2F118D54A08998C183AEE7B493","IJsselstein - J D M B 42-43 1954")</f>
        <v>0</v>
      </c>
      <c r="D1156" s="1">
        <f>hyperlink("http://dspace.library.uu.nl/handle/1874/212724","Heulestein C G M Noordam 38-41 1994")</f>
        <v>0</v>
      </c>
    </row>
    <row r="1157" spans="2:4">
      <c r="B1157">
        <v>60</v>
      </c>
      <c r="C1157" s="1">
        <f>hyperlink("https://hetutrechtsarchief.nl/collectie/D9D1B4AD3835584E8ACAF5678C03EBC7","Schets van een geschiedenis van Trecht J van Galen 29-59 ill 1958")</f>
        <v>0</v>
      </c>
      <c r="D1157" s="1">
        <f>hyperlink("http://dspace.library.uu.nl/handle/1874/212725","NSB en CD verschillende kanten rechts J T van Es 42-55 1994")</f>
        <v>0</v>
      </c>
    </row>
    <row r="1158" spans="2:4">
      <c r="B1158">
        <v>55</v>
      </c>
      <c r="C1158" s="1">
        <f>hyperlink("https://hetutrechtsarchief.nl/collectie/A4E8011E61935B90894D179D9DE8B754","Bijdrage tot de geschiedenis van de Gildenbeweging te Utrecht mei-augustus 1525 C A van Kalveen 54-86 1979")</f>
        <v>0</v>
      </c>
      <c r="D1158" s="1">
        <f>hyperlink("http://dspace.library.uu.nl/handle/1874/212726","Van raadkamers tot nieuw stadhuis geschiedenis van de gemeentehuizen in Woerden W R C Peters L Cl M Alkemade 57-92 1994")</f>
        <v>0</v>
      </c>
    </row>
    <row r="1159" spans="2:4">
      <c r="B1159">
        <v>61</v>
      </c>
      <c r="C1159" s="1">
        <f>hyperlink("https://hetutrechtsarchief.nl/collectie/8BAAE7DDF1255A75A532B6EDE3290A8C","Een ruilverkaveling te Breukelerveen in 1552 W van Iterson 91-102 1960")</f>
        <v>0</v>
      </c>
      <c r="D1159" s="1">
        <f>hyperlink("http://dspace.library.uu.nl/handle/1874/212727","Ruilverkaveling het einde van Zegvelds isolement J T van Es 93-110 1994")</f>
        <v>0</v>
      </c>
    </row>
    <row r="1160" spans="2:4">
      <c r="B1160">
        <v>59</v>
      </c>
      <c r="C1160" s="1">
        <f>hyperlink("https://hetutrechtsarchief.nl/collectie/79F8DA291ED55BDCB27E08C6CA646BE5","De aanleg van het Merwedekanaal en zijn gevolgen voor Maarssen Arie de Zwart 50-71 1999")</f>
        <v>0</v>
      </c>
      <c r="D1160" s="1">
        <f>hyperlink("http://dspace.library.uu.nl/handle/1874/212728","De pest in Woerden en zijn gevolgen voor een smidsgezin 1636 C Hamoen 111-115 1994")</f>
        <v>0</v>
      </c>
    </row>
    <row r="1161" spans="2:4">
      <c r="B1161">
        <v>51</v>
      </c>
      <c r="C1161" s="1">
        <f>hyperlink("https://hetutrechtsarchief.nl/collectie/A2E100943C825C008CDB2253B94E3B62","Een teken voor de jongere generatie Opdat ook zij de jaren 40- 45 niet zullen vergeten Jan Rouwenhorst 90-91 2014")</f>
        <v>0</v>
      </c>
      <c r="D1161" s="1">
        <f>hyperlink("http://dspace.library.uu.nl/handle/1874/212729","Een gedenkteken voor Rudolph Snellius van Royen in de Grote- of St Micha lskerk van Oudewater G Spek 2-9 1987")</f>
        <v>0</v>
      </c>
    </row>
    <row r="1162" spans="2:4">
      <c r="B1162">
        <v>57</v>
      </c>
      <c r="C1162" s="1">
        <f>hyperlink("https://hetutrechtsarchief.nl/collectie/409FE6CAC73A5B0786D1FAE6A1A00C37","Oudewater - v C 34-36 1939")</f>
        <v>0</v>
      </c>
      <c r="D1162" s="1">
        <f>hyperlink("http://dspace.library.uu.nl/handle/1874/212730","Luidklokken in Oudewater P G Knol 33-38 1989")</f>
        <v>0</v>
      </c>
    </row>
    <row r="1163" spans="2:4">
      <c r="B1163">
        <v>57</v>
      </c>
      <c r="C1163" s="1">
        <f>hyperlink("https://hetutrechtsarchief.nl/collectie/BBF56B956D285B0A98CD0C902D392717","Het rijwiel en het wielrijden te Utrecht J D C van Dokkum 89-91 1929")</f>
        <v>0</v>
      </c>
      <c r="D1163" s="1">
        <f>hyperlink("http://dspace.library.uu.nl/handle/1874/212731","Het Slot te Vliet te Oudewater M A Schaik J W C van Kooiman 80-84 1993")</f>
        <v>0</v>
      </c>
    </row>
    <row r="1164" spans="2:4">
      <c r="B1164">
        <v>64</v>
      </c>
      <c r="C1164" s="1">
        <f>hyperlink("https://hetutrechtsarchief.nl/collectie/A1542F6FC79E53E79583768D1F490FF1","Het station Huis ter Heide R P M Rhoen 19 2014")</f>
        <v>0</v>
      </c>
      <c r="D1164" s="1">
        <f>hyperlink("http://dspace.library.uu.nl/handle/1874/212732","Het station van Woerden R Hamoen 1-8 1995")</f>
        <v>0</v>
      </c>
    </row>
    <row r="1165" spans="2:4">
      <c r="B1165">
        <v>55</v>
      </c>
      <c r="C1165" s="1">
        <f>hyperlink("https://hetutrechtsarchief.nl/collectie/2DF7A80E703755FFA32A16B65E61E7B0","Het veen ten oosten van Utrecht M N Acket 9-14 1952")</f>
        <v>0</v>
      </c>
      <c r="D1165" s="1">
        <f>hyperlink("http://dspace.library.uu.nl/handle/1874/212733","Heren van Vlooswijck heren van Papekop G A F Maatje 9-17 1995")</f>
        <v>0</v>
      </c>
    </row>
    <row r="1166" spans="2:4">
      <c r="B1166">
        <v>57</v>
      </c>
      <c r="C1166" s="1">
        <f>hyperlink("https://hetutrechtsarchief.nl/collectie/D63E2DDF6EE253C3B9EFEE131C63DA7D","Perebomen langs de Enghlaan in Vleuten J A Storm van Leeuwen 120-121 ill 1993")</f>
        <v>0</v>
      </c>
      <c r="D1166" s="1">
        <f>hyperlink("http://dspace.library.uu.nl/handle/1874/212734","De afwatering van de Bijleveldse landen in de late middeleeuwen J A Storm van Leeuwen 25-37 nr 3 p 49-69 1995")</f>
        <v>0</v>
      </c>
    </row>
    <row r="1167" spans="2:4">
      <c r="B1167">
        <v>60</v>
      </c>
      <c r="C1167" s="1">
        <f>hyperlink("https://hetutrechtsarchief.nl/collectie/DBF9F0BE2DBF5C5B85C5A201061E154C","Woerden tijdens de Belgische Opstand 1830-1831 W R C Alkemade 69-81 2016")</f>
        <v>0</v>
      </c>
      <c r="D1167" s="1">
        <f>hyperlink("http://dspace.library.uu.nl/handle/1874/212735","De Nieuwe Zandweg te Linschoten als tolweg 1820-1912 W R C Alkemade 38-46 1995")</f>
        <v>0</v>
      </c>
    </row>
    <row r="1168" spans="2:4">
      <c r="B1168">
        <v>61</v>
      </c>
      <c r="C1168" s="1">
        <f>hyperlink("https://hetutrechtsarchief.nl/collectie/39144B9580F653A684D5567D321090C3","Kort overzicht van het ontstaan en de geschiedenis van de Kortrijkse Molen te Breukelen Jan den Besten 83-89 2008")</f>
        <v>0</v>
      </c>
      <c r="D1168" s="1">
        <f>hyperlink("http://dspace.library.uu.nl/handle/1874/212736","Een kort overzicht van de geschiedenis van het gemeentewapen van Kamerik C Timmerman 82-85 1995")</f>
        <v>0</v>
      </c>
    </row>
    <row r="1169" spans="2:4">
      <c r="B1169">
        <v>58</v>
      </c>
      <c r="C1169" s="1">
        <f>hyperlink("https://hetutrechtsarchief.nl/collectie/44BB991FEDFE5839B91569337818AC0C","De bevrijding van Renswoude Jan de Vries 6-12 2015")</f>
        <v>0</v>
      </c>
      <c r="D1169" s="1">
        <f>hyperlink("http://dspace.library.uu.nl/handle/1874/212737","De verjaardag van de notaris W Lobbezoo-de Vos 86-88 1995")</f>
        <v>0</v>
      </c>
    </row>
    <row r="1170" spans="2:4">
      <c r="B1170">
        <v>51</v>
      </c>
      <c r="C1170" s="1">
        <f>hyperlink("https://hetutrechtsarchief.nl/collectie/0C37561D70205080BE54DE174CCE85BB","Jac P Thijsse over Kees de Tippelaar 1915 Huub A Manten-Werker 95-97 2006")</f>
        <v>0</v>
      </c>
      <c r="D1170" s="1">
        <f>hyperlink("http://dspace.library.uu.nl/handle/1874/212738","Jacob P Thijsse als Woerdenaar G Stout 89-93 1995")</f>
        <v>0</v>
      </c>
    </row>
    <row r="1171" spans="2:4">
      <c r="B1171">
        <v>53</v>
      </c>
      <c r="C1171" s="1">
        <f>hyperlink("https://hetutrechtsarchief.nl/collectie/253B1F69BE965816A8E67221CC44B2E8","Twee stille relicten van windenergie van weleer P C Beunder 57-67 2014")</f>
        <v>0</v>
      </c>
      <c r="D1171" s="1">
        <f>hyperlink("http://dspace.library.uu.nl/handle/1874/212739","Een kasteel in Breeveld nabij de Putkop summiere sporen van Wolferts wrochten P C Beunder 66-71 1986")</f>
        <v>0</v>
      </c>
    </row>
    <row r="1172" spans="2:4">
      <c r="B1172">
        <v>64</v>
      </c>
      <c r="C1172" s="1">
        <f>hyperlink("https://hetutrechtsarchief.nl/collectie/1A4892D5B580537B91CE1FFA07E030BD","Huize Mari nberg te Harmelen J W C van Schaik 37-41 1999")</f>
        <v>0</v>
      </c>
      <c r="D1172" s="1">
        <f>hyperlink("http://dspace.library.uu.nl/handle/1874/212740","Het geslacht Schele en het Huis Batestein te Harmelen J W C van Schaik 57-60 1993")</f>
        <v>0</v>
      </c>
    </row>
    <row r="1173" spans="2:4">
      <c r="B1173">
        <v>68</v>
      </c>
      <c r="C1173" s="1">
        <f>hyperlink("https://hetutrechtsarchief.nl/collectie/348D972A75235C1DBD9924E3EC1E47C8","De Haanwijkersluis te Harmelen J F van Rooijen 57-69 2003")</f>
        <v>0</v>
      </c>
      <c r="D1173" s="1">
        <f>hyperlink("http://dspace.library.uu.nl/handle/1874/212741","De duiventoren van Huize Harmelen J F van Rooijen 58-60 1992")</f>
        <v>0</v>
      </c>
    </row>
    <row r="1174" spans="2:4">
      <c r="B1174">
        <v>55</v>
      </c>
      <c r="C1174" s="1">
        <f>hyperlink("https://hetutrechtsarchief.nl/collectie/7EDDABAD8F245E3192E8AE6A3440864A","Iets meer ongelukken in 1981 8 - 12 1982")</f>
        <v>0</v>
      </c>
      <c r="D1174" s="1">
        <f>hyperlink("http://dspace.library.uu.nl/handle/1874/212742","Eerste hulp b ongelukken te Teckop in 1798 C Hamoen 66-68 1993")</f>
        <v>0</v>
      </c>
    </row>
    <row r="1175" spans="2:4">
      <c r="B1175">
        <v>64</v>
      </c>
      <c r="C1175" s="1">
        <f>hyperlink("https://hetutrechtsarchief.nl/collectie/2F3F5BACFB9B5C1BAD890F5787CD5892","Vermoeden van fraude in achttiende-eeuws Montfoort Kees Vossestein 152-160 1999")</f>
        <v>0</v>
      </c>
      <c r="D1175" s="1">
        <f>hyperlink("http://dspace.library.uu.nl/handle/1874/212743","De zuivering van 1798 in Montfoort K Vossestein 85-104 1993")</f>
        <v>0</v>
      </c>
    </row>
    <row r="1176" spans="2:4">
      <c r="B1176">
        <v>58</v>
      </c>
      <c r="C1176" s="1">
        <f>hyperlink("https://hetutrechtsarchief.nl/collectie/F3990D69D4D65DE09706734103F1301A","Op zoek naar het raadsel rond de Ossekop Ben Remie 89-91 2015")</f>
        <v>0</v>
      </c>
      <c r="D1176" s="1">
        <f>hyperlink("http://dspace.library.uu.nl/handle/1874/212744","Op zoek naar een korenmolen in De Bree W R C Alkemade 81-84 1986")</f>
        <v>0</v>
      </c>
    </row>
    <row r="1177" spans="2:4">
      <c r="B1177">
        <v>55</v>
      </c>
      <c r="C1177" s="1">
        <f>hyperlink("https://hetutrechtsarchief.nl/collectie/F9D5B648004E5C338E019EB025131EB5","Everard van Weede heer van Dijkveld G W Vreede 13-24 1847")</f>
        <v>0</v>
      </c>
      <c r="D1177" s="1">
        <f>hyperlink("http://dspace.library.uu.nl/handle/1874/212745","De Roskam een herberg te Rietveld W R C Alkemade 38-47 1989")</f>
        <v>0</v>
      </c>
    </row>
    <row r="1178" spans="2:4">
      <c r="B1178">
        <v>55</v>
      </c>
      <c r="C1178" s="1">
        <f>hyperlink("https://hetutrechtsarchief.nl/collectie/B76A65A080515C1DA429438780879579","Het openbaar lager onderwijs te IJsselstein 1806-1888 deel 1 W R C Alkemade 1-18 2010")</f>
        <v>0</v>
      </c>
      <c r="D1178" s="1">
        <f>hyperlink("http://dspace.library.uu.nl/handle/1874/212746","Gemeentebesturen van Barwoutswaarder en Rietveld 1851-1964 W R C Alkemade 81-101 1990")</f>
        <v>0</v>
      </c>
    </row>
    <row r="1179" spans="2:4">
      <c r="B1179">
        <v>57</v>
      </c>
      <c r="C1179" s="1">
        <f>hyperlink("https://hetutrechtsarchief.nl/collectie/1ED49D76AE5B5166A7D392D5C43374D2","Jan Frederik van Someren G A Evers 21-23 1930")</f>
        <v>0</v>
      </c>
      <c r="D1179" s="1">
        <f>hyperlink("http://dspace.library.uu.nl/handle/1874/212748","Graaf Frederik van Nassau heer van Zuijlestein J van Bemmel 20-25 1988")</f>
        <v>0</v>
      </c>
    </row>
    <row r="1180" spans="2:4">
      <c r="B1180">
        <v>54</v>
      </c>
      <c r="C1180" s="1">
        <f>hyperlink("https://hetutrechtsarchief.nl/collectie/CF97C8B37D5F5116AB9774AC0B4047BB","Verloren straatnamen in Utrecht C W Wagenaar 50-54 1927")</f>
        <v>0</v>
      </c>
      <c r="D1180" s="1">
        <f>hyperlink("http://dspace.library.uu.nl/handle/1874/212749","Grave Stein raadsel of relict P C Beunder 45-47 1987")</f>
        <v>0</v>
      </c>
    </row>
    <row r="1181" spans="2:4">
      <c r="B1181">
        <v>64</v>
      </c>
      <c r="C1181" s="1">
        <f>hyperlink("https://hetutrechtsarchief.nl/collectie/3641B9D52A2C50DD8FBF0188D0435BB2","Fictieve genealogie n A E Cohen 7-9 ill 1987")</f>
        <v>0</v>
      </c>
      <c r="D1181" s="1">
        <f>hyperlink("http://dspace.library.uu.nl/handle/1874/212750","Genealogie Nap H Nap 50-69 1987")</f>
        <v>0</v>
      </c>
    </row>
    <row r="1182" spans="2:4">
      <c r="B1182">
        <v>61</v>
      </c>
      <c r="C1182" s="1">
        <f>hyperlink("https://hetutrechtsarchief.nl/collectie/2B06E35563555E3DAEF3F444E99C3568","Het Utrechtsche geslacht Van Noort - Lauts 100-108 1852")</f>
        <v>0</v>
      </c>
      <c r="D1182" s="1">
        <f>hyperlink("http://dspace.library.uu.nl/handle/1874/212751","Het Montfoortse geslacht Foreest P A Teders 70-74 1987")</f>
        <v>0</v>
      </c>
    </row>
    <row r="1183" spans="2:4">
      <c r="B1183">
        <v>63</v>
      </c>
      <c r="C1183" s="1">
        <f>hyperlink("https://hetutrechtsarchief.nl/collectie/3641B9D52A2C50DD8FBF0188D0435BB2","Fictieve genealogie n A E Cohen 7-9 ill 1987")</f>
        <v>0</v>
      </c>
      <c r="D1183" s="1">
        <f>hyperlink("http://dspace.library.uu.nl/handle/1874/212752","Genealogie Noppen J P Noppen 75-84 1987")</f>
        <v>0</v>
      </c>
    </row>
    <row r="1184" spans="2:4">
      <c r="B1184">
        <v>57</v>
      </c>
      <c r="C1184" s="1">
        <f>hyperlink("https://hetutrechtsarchief.nl/collectie/BA5542FFC92351DF9224CA4398FD4675","Kwartierstaat van Jaap Makker Henk van Hees 47-64 2013")</f>
        <v>0</v>
      </c>
      <c r="D1184" s="1">
        <f>hyperlink("http://dspace.library.uu.nl/handle/1874/212753","Kwartierstaat van Aaltje Burggraaf C Hamoen 84-92 1987")</f>
        <v>0</v>
      </c>
    </row>
    <row r="1185" spans="2:4">
      <c r="B1185">
        <v>61</v>
      </c>
      <c r="C1185" s="1">
        <f>hyperlink("https://hetutrechtsarchief.nl/collectie/783FC7BB9B06BDABE0534701000A14CB","De vroegere buitenplaats Noordborgh in Harmelen Frank van Rooijen 78-84 2018")</f>
        <v>0</v>
      </c>
      <c r="D1185" s="1">
        <f>hyperlink("http://dspace.library.uu.nl/handle/1874/212754","De Gerverscopper molen Frank van Rooijen 29-38 1988")</f>
        <v>0</v>
      </c>
    </row>
    <row r="1186" spans="2:4">
      <c r="B1186">
        <v>56</v>
      </c>
      <c r="C1186" s="1">
        <f>hyperlink("https://hetutrechtsarchief.nl/collectie/C017B2C439325DF99D946FF3B597FA55","Otto II de 34ste bisschop van Utrecht - E 89-90 1936")</f>
        <v>0</v>
      </c>
      <c r="D1186" s="1">
        <f>hyperlink("http://dspace.library.uu.nl/handle/1874/212755","Sodomie in het Baljuwschap van Woerden C Hamoen 84-90 1988")</f>
        <v>0</v>
      </c>
    </row>
    <row r="1187" spans="2:4">
      <c r="B1187">
        <v>58</v>
      </c>
      <c r="C1187" s="1">
        <f>hyperlink("https://hetutrechtsarchief.nl/collectie/BBF56B956D285B0A98CD0C902D392717","Het rijwiel en het wielrijden te Utrecht J D C van Dokkum 89-91 1929")</f>
        <v>0</v>
      </c>
      <c r="D1187" s="1">
        <f>hyperlink("http://dspace.library.uu.nl/handle/1874/212756","Historische winkelpuien niet altijd geslecht J T van Es 58-68 1996")</f>
        <v>0</v>
      </c>
    </row>
    <row r="1188" spans="2:4">
      <c r="B1188">
        <v>61</v>
      </c>
      <c r="C1188" s="1">
        <f>hyperlink("https://hetutrechtsarchief.nl/collectie/12CBECA169ED57B99129F14AC7D4A16F","De tweede ronde de rol van Utrechtse patriotten in de Bataafse-Franse tijd R E de Bruin 277-310 ill 1987")</f>
        <v>0</v>
      </c>
      <c r="D1188" s="1">
        <f>hyperlink("http://dspace.library.uu.nl/handle/1874/212757","En nu die kale Fransen Woerden in de patriottentijd en de Bataafs-Franse tijd Liesbeth Boon 50-58 1996")</f>
        <v>0</v>
      </c>
    </row>
    <row r="1189" spans="2:4">
      <c r="B1189">
        <v>58</v>
      </c>
      <c r="C1189" s="1">
        <f>hyperlink("https://hetutrechtsarchief.nl/collectie/0BF5C6BE8F5F5298AC1FFE6BA570E624","Chantage in Woerden 1732 W R C Alkemade 41-45 1999")</f>
        <v>0</v>
      </c>
      <c r="D1189" s="1">
        <f>hyperlink("http://dspace.library.uu.nl/handle/1874/212758","Het timmermansgilde te Woerden 1725-1798 C Hamoen 35-48 1996")</f>
        <v>0</v>
      </c>
    </row>
    <row r="1190" spans="2:4">
      <c r="B1190">
        <v>59</v>
      </c>
      <c r="C1190" s="1">
        <f>hyperlink("https://hetutrechtsarchief.nl/collectie/0BF5C6BE8F5F5298AC1FFE6BA570E624","Chantage in Woerden 1732 W R C Alkemade 41-45 1999")</f>
        <v>0</v>
      </c>
      <c r="D1190" s="1">
        <f>hyperlink("http://dspace.library.uu.nl/handle/1874/212759","Schotvarkens een herberg te Barwoutswaarder W R C Alkemade 25-34 1996")</f>
        <v>0</v>
      </c>
    </row>
    <row r="1191" spans="2:4">
      <c r="B1191">
        <v>59</v>
      </c>
      <c r="C1191" s="1">
        <f>hyperlink("https://hetutrechtsarchief.nl/collectie/98B7A3FC6132FC3FE0534701000AD937","Fortmanoeuvres in het Vechtplassengebied Douwe Koen 17-21 2019")</f>
        <v>0</v>
      </c>
      <c r="D1191" s="1">
        <f>hyperlink("http://dspace.library.uu.nl/handle/1874/212760","Kerkzegels in het Stichts-Hollandse grensgebied G Hamoen 11-24 1996")</f>
        <v>0</v>
      </c>
    </row>
    <row r="1192" spans="2:4">
      <c r="B1192">
        <v>58</v>
      </c>
      <c r="C1192" s="1">
        <f>hyperlink("https://hetutrechtsarchief.nl/collectie/B072309A247057BDB7E2CB5311046CCD","Een oproer in Utrecht P D t Hart 115-116 1978")</f>
        <v>0</v>
      </c>
      <c r="D1192" s="1">
        <f>hyperlink("http://dspace.library.uu.nl/handle/1874/212761","Een epidemie die voorbijging cholera in Woerden P D t Hart 1-10 1996")</f>
        <v>0</v>
      </c>
    </row>
    <row r="1193" spans="2:4">
      <c r="B1193">
        <v>57</v>
      </c>
      <c r="C1193" s="1">
        <f>hyperlink("https://hetutrechtsarchief.nl/collectie/12440DB85D055CAEB9E3E5B2A5FEBF3B","Een koninklijk bezoek aan Woerden in 1814 W Lobbezoo-de Vos 37-39 2001")</f>
        <v>0</v>
      </c>
      <c r="D1193" s="1">
        <f>hyperlink("http://dspace.library.uu.nl/handle/1874/212762","Kind der gemeente een vondeling in Woerden W Lobbezoo-de Vos 82-87 1997")</f>
        <v>0</v>
      </c>
    </row>
    <row r="1194" spans="2:4">
      <c r="B1194">
        <v>63</v>
      </c>
      <c r="C1194" s="1">
        <f>hyperlink("https://hetutrechtsarchief.nl/collectie/A578709568F15E90A0AE1FE64D41A2BE","Cupido-tegels in Helsdingen J H van den Berge 2005")</f>
        <v>0</v>
      </c>
      <c r="D1194" s="1">
        <f>hyperlink("http://dspace.library.uu.nl/handle/1874/212763","Wandtegels in het Stadhuis te Oudewater J H van den Berge 68-82 1997")</f>
        <v>0</v>
      </c>
    </row>
    <row r="1195" spans="2:4">
      <c r="B1195">
        <v>61</v>
      </c>
      <c r="C1195" s="1">
        <f>hyperlink("https://hetutrechtsarchief.nl/collectie/A15D2E4B8F32537C827971E51B525EDB","Fragmenten uit de geschiedenis van de buurtschap Austerlitz W Grapendaal 133-143 1970")</f>
        <v>0</v>
      </c>
      <c r="D1195" s="1">
        <f>hyperlink("http://dspace.library.uu.nl/handle/1874/212764","Fragmenten uit de geschiedenis van het orgel van de Nederlands Hervormde kerk in Kamerik C Timmerman 33-38 1997")</f>
        <v>0</v>
      </c>
    </row>
    <row r="1196" spans="2:4">
      <c r="B1196">
        <v>61</v>
      </c>
      <c r="C1196" s="1">
        <f>hyperlink("https://hetutrechtsarchief.nl/collectie/910F2A1116515B2890FD3DD240E82116","De oude archieven van de gemeente Harmelen K Heeringa 299-325 1922")</f>
        <v>0</v>
      </c>
      <c r="D1196" s="1">
        <f>hyperlink("http://dspace.library.uu.nl/handle/1874/212765","Het uurwerk in de toren van de Hervormde kerk te Harmelen A J G van Gemeren 29-33 1997")</f>
        <v>0</v>
      </c>
    </row>
    <row r="1197" spans="2:4">
      <c r="B1197">
        <v>55</v>
      </c>
      <c r="C1197" s="1">
        <f>hyperlink("https://hetutrechtsarchief.nl/collectie/386C91703DA652A7876C9A93E0D9EBD4","Kerkgoederen te Utrecht gedurende de beroerten in de Nederlanden H Lindeman 621-639 1937")</f>
        <v>0</v>
      </c>
      <c r="D1197" s="1">
        <f>hyperlink("http://dspace.library.uu.nl/handle/1874/212766","Het korte bestaan van de eerste ringoven in Nederland te Linschoten Heeswijk J D A Modderman 21-26 1997")</f>
        <v>0</v>
      </c>
    </row>
    <row r="1198" spans="2:4">
      <c r="B1198">
        <v>77</v>
      </c>
      <c r="C1198" s="1">
        <f>hyperlink("https://hetutrechtsarchief.nl/collectie/3F145CA5CFC454BAAFAA498D5287976D","Hillebrand Dirk de Bruijn en de Dorpsstraat te Linschoten een aanvulling H D Knook 66-71 1998")</f>
        <v>0</v>
      </c>
      <c r="D1198" s="1">
        <f>hyperlink("http://dspace.library.uu.nl/handle/1874/212767","Hillebrand Dirk de Bruijn en de Dorpstraat te Linschoten H D Knook 4-20 jg 34 1998 no 3 p 66-68 1997-1998")</f>
        <v>0</v>
      </c>
    </row>
    <row r="1199" spans="2:4">
      <c r="B1199">
        <v>57</v>
      </c>
      <c r="C1199" s="1">
        <f>hyperlink("https://hetutrechtsarchief.nl/collectie/D962EB2E782655BDBD25EEDCD67BD0CF","De leenkamer van Zuylenburg J Belonje 25-26 1969")</f>
        <v>0</v>
      </c>
      <c r="D1199" s="1">
        <f>hyperlink("http://dspace.library.uu.nl/handle/1874/212768","De Hollenboom onder Harmelen J M Blom 2-3 1997")</f>
        <v>0</v>
      </c>
    </row>
    <row r="1200" spans="2:4">
      <c r="B1200">
        <v>59</v>
      </c>
      <c r="C1200" s="1">
        <f>hyperlink("https://hetutrechtsarchief.nl/collectie/979CADC1E4D0DCF8E0534701000A6613","Zegepraalende Vecht ook welvarende dorpen Wim van Schaik 141-148 2019")</f>
        <v>0</v>
      </c>
      <c r="D1200" s="1">
        <f>hyperlink("http://dspace.library.uu.nl/handle/1874/212769","Een gezicht op Harmelen door Nicolaas Wicart J W C van Schaik 110-111 1991")</f>
        <v>0</v>
      </c>
    </row>
    <row r="1201" spans="2:4">
      <c r="B1201">
        <v>54</v>
      </c>
      <c r="C1201" s="1">
        <f>hyperlink("https://hetutrechtsarchief.nl/collectie/A77DBDA734175D958109CD2D41DB56E1","Leeuwenbergh Gemeente de afdeling Utrecht van de N P B 1870-1930 J G Riphaagen 11-13 1995")</f>
        <v>0</v>
      </c>
      <c r="D1201" s="1">
        <f>hyperlink("http://dspace.library.uu.nl/handle/1874/212770","Gedelibereerd en geresolveerd de vroedschap van Oudewater 1700-1750 J D van Galen 1-56 1993")</f>
        <v>0</v>
      </c>
    </row>
    <row r="1202" spans="2:4">
      <c r="B1202">
        <v>55</v>
      </c>
      <c r="C1202" s="1">
        <f>hyperlink("https://hetutrechtsarchief.nl/collectie/EA6A727E7A97553F8C56CBED5893FB5A","Een stad in de vuurlinie Oudewater in 1672 Nettie Stoppelenburg 113-132 2015")</f>
        <v>0</v>
      </c>
      <c r="D1202" s="1">
        <f>hyperlink("http://dspace.library.uu.nl/handle/1874/212771","Een notari le verklaring uit Oudewater als genealogie C Hamoen 26-28 1997")</f>
        <v>0</v>
      </c>
    </row>
    <row r="1203" spans="2:4">
      <c r="B1203">
        <v>53</v>
      </c>
      <c r="C1203" s="1">
        <f>hyperlink("https://hetutrechtsarchief.nl/collectie/12440DB85D055CAEB9E3E5B2A5FEBF3B","Een koninklijk bezoek aan Woerden in 1814 W Lobbezoo-de Vos 37-39 2001")</f>
        <v>0</v>
      </c>
      <c r="D1203" s="1">
        <f>hyperlink("http://dspace.library.uu.nl/handle/1874/212772","Een voorspelling voor het jaar 1629 in het Montfoortse notarieel archief W Lobbezoo-de Vos 39-40 1997")</f>
        <v>0</v>
      </c>
    </row>
    <row r="1204" spans="2:4">
      <c r="B1204">
        <v>51</v>
      </c>
      <c r="C1204" s="1">
        <f>hyperlink("https://hetutrechtsarchief.nl/collectie/6F73323C9F1FD017E0534701000A633A","Het portret van koningin Wilhelmina in Slot Zeist R P M Rhoen 38-45 2018")</f>
        <v>0</v>
      </c>
      <c r="D1204" s="1">
        <f>hyperlink("http://dspace.library.uu.nl/handle/1874/212773","De Woerdense kunstschilder Cornelis Vreedenburgh Koningin Wilhelmina mocht hem wel M A Ringelberg 64-72 1992")</f>
        <v>0</v>
      </c>
    </row>
    <row r="1205" spans="2:4">
      <c r="B1205">
        <v>57</v>
      </c>
      <c r="C1205" s="1">
        <f>hyperlink("https://hetutrechtsarchief.nl/collectie/AFFFD95BEDD951BFBBDE2AA2CAE1588A","Romeinse vondsten in Houten 63-64 1950")</f>
        <v>0</v>
      </c>
      <c r="D1205" s="1">
        <f>hyperlink("http://dspace.library.uu.nl/handle/1874/212774","Woerdens politie-optreden in 1681 C Hamoen 61-64 1992")</f>
        <v>0</v>
      </c>
    </row>
    <row r="1206" spans="2:4">
      <c r="B1206">
        <v>56</v>
      </c>
      <c r="C1206" s="1">
        <f>hyperlink("https://hetutrechtsarchief.nl/collectie/CE6E40D63F735D3DBB2FF650241E52F8","Het Veense volkslied Kees Stip 130-131 2000")</f>
        <v>0</v>
      </c>
      <c r="D1206" s="1">
        <f>hyperlink("http://dspace.library.uu.nl/handle/1874/212775","Rietveldse molen E Stoop 87-106 1992")</f>
        <v>0</v>
      </c>
    </row>
    <row r="1207" spans="2:4">
      <c r="B1207">
        <v>99</v>
      </c>
      <c r="C1207" s="1">
        <f>hyperlink("https://hetutrechtsarchief.nl/collectie/0F9F647F8756502EA951C01A1F9326EB","Het ongestoorde bezit van die Godsakker de Rooms-Katholieke begraafplaatsen in Montfoort J F van Rooijen 73-84 2000")</f>
        <v>0</v>
      </c>
      <c r="D1207" s="1">
        <f>hyperlink("http://dspace.library.uu.nl/handle/1874/212793","Het ongestoorde bezit van die Godsakker de rooms-katholieke begraafplaats in Montfoort J F van Rooijen 73-84 2000")</f>
        <v>0</v>
      </c>
    </row>
    <row r="1208" spans="2:4">
      <c r="B1208">
        <v>98</v>
      </c>
      <c r="C1208" s="1">
        <f>hyperlink("https://hetutrechtsarchief.nl/collectie/967D6CCF64155F5582614612509C2EAD","Het eerste vrouwenklooster van Oudewater K Goudriaan 1-34 1999")</f>
        <v>0</v>
      </c>
      <c r="D1208" s="1">
        <f>hyperlink("http://dspace.library.uu.nl/handle/1874/212794","Het eerste vrouwenklooster van Oudewater Koen Goudriaan 1-34 1999")</f>
        <v>0</v>
      </c>
    </row>
    <row r="1209" spans="2:4">
      <c r="B1209">
        <v>100</v>
      </c>
      <c r="C1209" s="1">
        <f>hyperlink("https://hetutrechtsarchief.nl/collectie/BA3C31E309535260B0086A5927D4C43A","We mogen nergens heen we moeten naar Vught de joodse inwoners van Woerden 1930-1947 W C Ultee 57-132 1999")</f>
        <v>0</v>
      </c>
      <c r="D1209" s="1">
        <f>hyperlink("http://dspace.library.uu.nl/handle/1874/212795","We mogen nergens heen we moeten naar Vught de joodse inwoners van Woerden 1930-1947 W C Ultee 57-132 1999")</f>
        <v>0</v>
      </c>
    </row>
    <row r="1210" spans="2:4">
      <c r="B1210">
        <v>100</v>
      </c>
      <c r="C1210" s="1">
        <f>hyperlink("https://hetutrechtsarchief.nl/collectie/B702DD8B80745B438C1E5F84CB27D41E","Vijftig jaar Woerdense Courant 1949-1999 J T van Es 133-152 1999")</f>
        <v>0</v>
      </c>
      <c r="D1210" s="1">
        <f>hyperlink("http://dspace.library.uu.nl/handle/1874/212796","Vijftig jaar Woerdense Courant 1949-1999 J T van Es 133-152 1999")</f>
        <v>0</v>
      </c>
    </row>
    <row r="1211" spans="2:4">
      <c r="B1211">
        <v>100</v>
      </c>
      <c r="C1211" s="1">
        <f>hyperlink("https://hetutrechtsarchief.nl/collectie/2F3F5BACFB9B5C1BAD890F5787CD5892","Vermoeden van fraude in achttiende-eeuws Montfoort Kees Vossestein 152-160 1999")</f>
        <v>0</v>
      </c>
      <c r="D1211" s="1">
        <f>hyperlink("http://dspace.library.uu.nl/handle/1874/212797","Vermoeden van fraude in achttiende-eeuws Montfoort Kees Vossestein 152-160 1999")</f>
        <v>0</v>
      </c>
    </row>
    <row r="1212" spans="2:4">
      <c r="B1212">
        <v>100</v>
      </c>
      <c r="C1212" s="1">
        <f>hyperlink("https://hetutrechtsarchief.nl/collectie/253E893DBFC75018AC874EF25EA246F0","op het afnemen en vervoeren naar de galge van Hekendorp poging tot reconstructie van een merkwaardig sodomieproces in 1732 G A F Maatje 17-28 2000")</f>
        <v>0</v>
      </c>
      <c r="D1212" s="1">
        <f>hyperlink("http://dspace.library.uu.nl/handle/1874/212798","op het afnemen en vervoeren naar de galge van Hekendorp poging tot reconstructie van een merkwaardig sodomieproces in 1732 G A F Maatje 17-28 2000")</f>
        <v>0</v>
      </c>
    </row>
    <row r="1213" spans="2:4">
      <c r="B1213">
        <v>100</v>
      </c>
      <c r="C1213" s="1">
        <f>hyperlink("https://hetutrechtsarchief.nl/collectie/3856B6B48C8A51BD98F0F1EA4EFE062D","Woerdense tabakspijpenmakers in de 17e en 18e eeuw B van der Lingen 29-40 2000")</f>
        <v>0</v>
      </c>
      <c r="D1213" s="1">
        <f>hyperlink("http://dspace.library.uu.nl/handle/1874/212799","Woerdense tabakspijpenmakers in de 17e en 18e eeuw B van der Lingen 29-40 2000")</f>
        <v>0</v>
      </c>
    </row>
    <row r="1214" spans="2:4">
      <c r="B1214">
        <v>100</v>
      </c>
      <c r="C1214" s="1">
        <f>hyperlink("https://hetutrechtsarchief.nl/collectie/00874CA3BA0C582C903DD5E13FF37AC9","De eerste predikanten van Zegveld G Hamoen 65-72 2000")</f>
        <v>0</v>
      </c>
      <c r="D1214" s="1">
        <f>hyperlink("http://dspace.library.uu.nl/handle/1874/212800","De eerste predikanten van Zegveld G Hamoen 65-72 2000")</f>
        <v>0</v>
      </c>
    </row>
    <row r="1215" spans="2:4">
      <c r="B1215">
        <v>72</v>
      </c>
      <c r="C1215" s="1">
        <f>hyperlink("https://hetutrechtsarchief.nl/collectie/97224DF9681D5E49A10FED87017DC382","Stichting Hugo Kotestein 1975-2000 met bijdr van Koos van Zomeren et al fotogr tenzij anders vermeld Jackie Steggerda-Betting eindred Bert Bakker 85-132 2000")</f>
        <v>0</v>
      </c>
      <c r="D1215" s="1">
        <f>hyperlink("http://dspace.library.uu.nl/handle/1874/212801","Stichting Hugo Kotestein 1975-2000 Bert Zomeren Koos van Steggerda-Betting Jackie Bakker 85-132 2000")</f>
        <v>0</v>
      </c>
    </row>
    <row r="1216" spans="2:4">
      <c r="B1216">
        <v>100</v>
      </c>
      <c r="C1216" s="1">
        <f>hyperlink("https://hetutrechtsarchief.nl/collectie/0B870EAE4D175A77A7C5CECBF03AAC8E","De stadsplattegronden van Jacob van Deventer H P Deys 33-47 1998")</f>
        <v>0</v>
      </c>
      <c r="D1216" s="1">
        <f>hyperlink("http://dspace.library.uu.nl/handle/1874/212802","De stadsplattegronden van Jacob van Deventer H P Deys 33-47 1998")</f>
        <v>0</v>
      </c>
    </row>
    <row r="1217" spans="2:4">
      <c r="B1217">
        <v>100</v>
      </c>
      <c r="C1217" s="1">
        <f>hyperlink("https://hetutrechtsarchief.nl/collectie/90FAF4AA9CD05AB189CA665A060786FA","Linschoteng nger 1767-1829 F Schlingmann 48-60 1998")</f>
        <v>0</v>
      </c>
      <c r="D1217" s="1">
        <f>hyperlink("http://dspace.library.uu.nl/handle/1874/212803","Linschoteng nger 1767-1829 F Schlingmann 48-60 1998")</f>
        <v>0</v>
      </c>
    </row>
    <row r="1218" spans="2:4">
      <c r="B1218">
        <v>69</v>
      </c>
      <c r="C1218" s="1">
        <f>hyperlink("https://hetutrechtsarchief.nl/collectie/0BF5C6BE8F5F5298AC1FFE6BA570E624","Chantage in Woerden 1732 W R C Alkemade 41-45 1999")</f>
        <v>0</v>
      </c>
      <c r="D1218" s="1">
        <f>hyperlink("http://dspace.library.uu.nl/handle/1874/212804","De Woerdense kazerne W R C Alkemade 61-65 1998")</f>
        <v>0</v>
      </c>
    </row>
    <row r="1219" spans="2:4">
      <c r="B1219">
        <v>100</v>
      </c>
      <c r="C1219" s="1">
        <f>hyperlink("https://hetutrechtsarchief.nl/collectie/6B6714493FEA5806A1D4132DB1125B12","Een Linschotens schoolreisje anno 1905 J D A Modderman 68-70 1998")</f>
        <v>0</v>
      </c>
      <c r="D1219" s="1">
        <f>hyperlink("http://dspace.library.uu.nl/handle/1874/212805","Een Linschotens schoolreisje anno 1905 J D A Modderman 68-70 1998")</f>
        <v>0</v>
      </c>
    </row>
    <row r="1220" spans="2:4">
      <c r="B1220">
        <v>100</v>
      </c>
      <c r="C1220" s="1">
        <f>hyperlink("https://hetutrechtsarchief.nl/collectie/2DEA61F8E0AD5B668761680DA710E37A","Een overstroming in Kamerik en haar gevolgen H Nap 81-83 1998")</f>
        <v>0</v>
      </c>
      <c r="D1220" s="1">
        <f>hyperlink("http://dspace.library.uu.nl/handle/1874/212806","Een overstroming in Kamerik en haar gevolgen H Nap 81-83 1998")</f>
        <v>0</v>
      </c>
    </row>
    <row r="1221" spans="2:4">
      <c r="B1221">
        <v>100</v>
      </c>
      <c r="C1221" s="1">
        <f>hyperlink("https://hetutrechtsarchief.nl/collectie/E2BFFDCC91555973894D0676855E4651","Het gebied rond Woerdense Verlaat en de Oudendam in de middeleeuwen W J Eijs 84-89 1998")</f>
        <v>0</v>
      </c>
      <c r="D1221" s="1">
        <f>hyperlink("http://dspace.library.uu.nl/handle/1874/212807","Het gebied rond Woerdense Verlaat en de Oudendam in de middeleeuwen W J Eijs 84-89 1998")</f>
        <v>0</v>
      </c>
    </row>
    <row r="1222" spans="2:4">
      <c r="B1222">
        <v>100</v>
      </c>
      <c r="C1222" s="1">
        <f>hyperlink("https://hetutrechtsarchief.nl/collectie/82D04484D511509598E5A5C2005E99C1","Een Kameriks familie-epos uit de 18e eeuw C Timmerman 95-99 1998")</f>
        <v>0</v>
      </c>
      <c r="D1222" s="1">
        <f>hyperlink("http://dspace.library.uu.nl/handle/1874/212808","Een Kameriks familie-epos uit de 18e eeuw C Timmerman 95-99 1998")</f>
        <v>0</v>
      </c>
    </row>
    <row r="1223" spans="2:4">
      <c r="B1223">
        <v>100</v>
      </c>
      <c r="C1223" s="1">
        <f>hyperlink("https://hetutrechtsarchief.nl/collectie/E2DE2AD074725CCA92CA692194DECF26","De gemeenteraad van Oudewater tussen 1848 en 1870 P Minkjan 1-13 2000")</f>
        <v>0</v>
      </c>
      <c r="D1223" s="1">
        <f>hyperlink("http://dspace.library.uu.nl/handle/1874/212809","De gemeenteraad van Oudewater tussen 1848 en 1870 P Minkjan 1-13 2000")</f>
        <v>0</v>
      </c>
    </row>
    <row r="1224" spans="2:4">
      <c r="B1224">
        <v>100</v>
      </c>
      <c r="C1224" s="1">
        <f>hyperlink("https://hetutrechtsarchief.nl/collectie/1A4892D5B580537B91CE1FFA07E030BD","Huize Mari nberg te Harmelen J W C van Schaik 37-41 1999")</f>
        <v>0</v>
      </c>
      <c r="D1224" s="1">
        <f>hyperlink("http://dspace.library.uu.nl/handle/1874/212810","Huize Mari nberg te Harmelen J W C van Schaik 37-41 1999")</f>
        <v>0</v>
      </c>
    </row>
    <row r="1225" spans="2:4">
      <c r="B1225">
        <v>100</v>
      </c>
      <c r="C1225" s="1">
        <f>hyperlink("https://hetutrechtsarchief.nl/collectie/0BF5C6BE8F5F5298AC1FFE6BA570E624","Chantage in Woerden 1732 W R C Alkemade 41-45 1999")</f>
        <v>0</v>
      </c>
      <c r="D1225" s="1">
        <f>hyperlink("http://dspace.library.uu.nl/handle/1874/212811","Chantage in Woerden 1732 W R C Alkemade 41-45 1999")</f>
        <v>0</v>
      </c>
    </row>
    <row r="1226" spans="2:4">
      <c r="B1226">
        <v>97</v>
      </c>
      <c r="C1226" s="1">
        <f>hyperlink("https://hetutrechtsarchief.nl/collectie/D382CF2773CC5F4E826C1CDA9420EE14","De Gasfabriek te Montfoort 1911-1946 J F van Rooijen 46-56 ill 1999")</f>
        <v>0</v>
      </c>
      <c r="D1226" s="1">
        <f>hyperlink("http://dspace.library.uu.nl/handle/1874/212812","De gasfabriek te Montfoort 1911-1946 J F van Rooijen 46-56 1999")</f>
        <v>0</v>
      </c>
    </row>
    <row r="1227" spans="2:4">
      <c r="B1227">
        <v>57</v>
      </c>
      <c r="C1227" s="1">
        <f>hyperlink("https://hetutrechtsarchief.nl/collectie/B76A65A080515C1DA429438780879579","Het openbaar lager onderwijs te IJsselstein 1806-1888 deel 1 W R C Alkemade 1-18 2010")</f>
        <v>0</v>
      </c>
      <c r="D1227" s="1">
        <f>hyperlink("http://dspace.library.uu.nl/handle/1874/212814","Het openbaar onderwijs te Barwoutswaarder en Rietveld 1800-1929 G G Stolkwijk 41-63 2000")</f>
        <v>0</v>
      </c>
    </row>
    <row r="1228" spans="2:4">
      <c r="B1228">
        <v>53</v>
      </c>
      <c r="C1228" s="1">
        <f>hyperlink("https://hetutrechtsarchief.nl/collectie/A519DA023CA25E8EB22D6B869D923A5D","Sigillografie Toni Diederich et al 275-355 1993")</f>
        <v>0</v>
      </c>
      <c r="D1228" s="1">
        <f>hyperlink("http://dspace.library.uu.nl/handle/1874/212815","Bibliografie Eemnes 6-7 1979")</f>
        <v>0</v>
      </c>
    </row>
    <row r="1229" spans="2:4">
      <c r="B1229">
        <v>69</v>
      </c>
      <c r="C1229" s="1">
        <f>hyperlink("https://hetutrechtsarchief.nl/collectie/DBCAC5AB7C1E5281B1956CBD775AAADD","Het Eemnesser volkslied 203-210 2004")</f>
        <v>0</v>
      </c>
      <c r="D1229" s="1">
        <f>hyperlink("http://dspace.library.uu.nl/handle/1874/212816","Eemnesser volkslied 5-6 1979")</f>
        <v>0</v>
      </c>
    </row>
    <row r="1230" spans="2:4">
      <c r="B1230">
        <v>55</v>
      </c>
      <c r="C1230" s="1">
        <f>hyperlink("https://hetutrechtsarchief.nl/collectie/0BA301ACA34C522E89F56EC19FAC41F5","De Doleantie R Hagoort 5 -14 1927")</f>
        <v>0</v>
      </c>
      <c r="D1230" s="1">
        <f>hyperlink("http://dspace.library.uu.nl/handle/1874/212817","Eemnes 1960 H Hagen 7-14 1979")</f>
        <v>0</v>
      </c>
    </row>
    <row r="1231" spans="2:4">
      <c r="B1231">
        <v>57</v>
      </c>
      <c r="C1231" s="1">
        <f>hyperlink("https://hetutrechtsarchief.nl/collectie/A0507958EE8F521CACDA3471FAFD9F0E","De Berekuil een echte uitdaging Kaat Smulders 6-8 1999")</f>
        <v>0</v>
      </c>
      <c r="D1231" s="1">
        <f>hyperlink("http://dspace.library.uu.nl/handle/1874/212818","De eerste melkboer uit de scriptie van Karin Mulder Karin Mulder 6-9 1979")</f>
        <v>0</v>
      </c>
    </row>
    <row r="1232" spans="2:4">
      <c r="B1232">
        <v>53</v>
      </c>
      <c r="C1232" s="1">
        <f>hyperlink("https://hetutrechtsarchief.nl/collectie/689635E1852A51E9A619AEB9FB233E9D","Oude huizennamen in ere hersteld - E 70 1929")</f>
        <v>0</v>
      </c>
      <c r="D1232" s="1">
        <f>hyperlink("http://dspace.library.uu.nl/handle/1874/212819","Oude ervennamen voor het 3e deelplan Noordbuurt Jan Out 8 1979")</f>
        <v>0</v>
      </c>
    </row>
    <row r="1233" spans="2:4">
      <c r="B1233">
        <v>54</v>
      </c>
      <c r="C1233" s="1">
        <f>hyperlink("https://hetutrechtsarchief.nl/collectie/458077620BA550B182D67762D17D0F0E","Het voetgangersgebied in de binnenstad J C Janssen 13-14 ill 1972")</f>
        <v>0</v>
      </c>
      <c r="D1233" s="1">
        <f>hyperlink("http://dspace.library.uu.nl/handle/1874/212820","Sint Pieterskerk van Binnendijk H J Out J V M Jesse 1-4 1979")</f>
        <v>0</v>
      </c>
    </row>
    <row r="1234" spans="2:4">
      <c r="B1234">
        <v>58</v>
      </c>
      <c r="C1234" s="1">
        <f>hyperlink("https://hetutrechtsarchief.nl/collectie/C7BE4F836E595CC993531B90832D6F17","Bestrating in vroeger tijden S n 2-5 1948")</f>
        <v>0</v>
      </c>
      <c r="D1234" s="1">
        <f>hyperlink("http://dspace.library.uu.nl/handle/1874/212821","Sport in vroeger jaren wielerwedstrijden J V M Out 3-5 1979")</f>
        <v>0</v>
      </c>
    </row>
    <row r="1235" spans="2:4">
      <c r="B1235">
        <v>57</v>
      </c>
      <c r="C1235" s="1">
        <f>hyperlink("https://hetutrechtsarchief.nl/collectie/7688EF7B0F7C5921901E9C11E035330D","Koninklijk vernoemd Ineke van Schuppen 3-17 2012")</f>
        <v>0</v>
      </c>
      <c r="D1235" s="1">
        <f>hyperlink("http://dspace.library.uu.nl/handle/1874/212822","Koninklijk jachtrecht in Eemnes J V M Out 9-17 1979")</f>
        <v>0</v>
      </c>
    </row>
    <row r="1236" spans="2:4">
      <c r="B1236">
        <v>55</v>
      </c>
      <c r="C1236" s="1">
        <f>hyperlink("https://hetutrechtsarchief.nl/collectie/C973D724991951E78CB8F55FF842D1EF","Graven in het verleden van Baarn werkgroep Archeologie ARWE Jan Laan 38-41 2009")</f>
        <v>0</v>
      </c>
      <c r="D1236" s="1">
        <f>hyperlink("http://dspace.library.uu.nl/handle/1874/212823","Haven en scheepvaart Werkgroep Haven en scheepvaart 13-17 1980")</f>
        <v>0</v>
      </c>
    </row>
    <row r="1237" spans="2:4">
      <c r="B1237">
        <v>65</v>
      </c>
      <c r="C1237" s="1">
        <f>hyperlink("https://hetutrechtsarchief.nl/collectie/45AF48BDED4554D584DFB30CF3174647","Het Huis ter Heide P H Damst 62-64 ill 1971")</f>
        <v>0</v>
      </c>
      <c r="D1237" s="1">
        <f>hyperlink("http://dspace.library.uu.nl/handle/1874/212824","Het Huis ter Eem 2-3 1980")</f>
        <v>0</v>
      </c>
    </row>
    <row r="1238" spans="2:4">
      <c r="B1238">
        <v>72</v>
      </c>
      <c r="C1238" s="1">
        <f>hyperlink("https://hetutrechtsarchief.nl/collectie/174D34B93417543AB44F5082E81BCD52","De geschiedenis van deken Roes 10 - 11 1982")</f>
        <v>0</v>
      </c>
      <c r="D1238" s="1">
        <f>hyperlink("http://dspace.library.uu.nl/handle/1874/212825","Uit de geschiedenis van de Hervormde Kerk 13-14 1980")</f>
        <v>0</v>
      </c>
    </row>
    <row r="1239" spans="2:4">
      <c r="B1239">
        <v>50</v>
      </c>
      <c r="C1239" s="1">
        <f>hyperlink("https://hetutrechtsarchief.nl/collectie/1C4225DAC870558CB2EC936A7F7332AB","Bijdrage tot de genealogie van het geslacht van Bern te Wijk bij Duurstede H W M J Nieuwenkamp 143-146 1931")</f>
        <v>0</v>
      </c>
      <c r="D1239" s="1">
        <f>hyperlink("http://dspace.library.uu.nl/handle/1874/212826","Werkgroep Genealogie Bertie van Hees Henk van Fecken Wim Wijk-Blom 16-18 no 2 p 5-7 no 3 p 5-7 no 4 p 8-13 1980")</f>
        <v>0</v>
      </c>
    </row>
    <row r="1240" spans="2:4">
      <c r="B1240">
        <v>55</v>
      </c>
      <c r="C1240" s="1">
        <f>hyperlink("https://hetutrechtsarchief.nl/collectie/B1E3889DF37B590998BB1CDFE9B04B78","Utrechts waterhuishouding en de singeldemping 2 M van der Lugt 10-13 ill 1969")</f>
        <v>0</v>
      </c>
      <c r="D1240" s="1">
        <f>hyperlink("http://dspace.library.uu.nl/handle/1874/212827","Waterhuishouding Carel Jungerling 8-10 1980")</f>
        <v>0</v>
      </c>
    </row>
    <row r="1241" spans="2:4">
      <c r="B1241">
        <v>54</v>
      </c>
      <c r="C1241" s="1">
        <f>hyperlink("https://hetutrechtsarchief.nl/collectie/6B0D1A730D5850B7B5465E96D036C33A","De prijs is hoog maar de beloning ook Marlou Groot 16-19 1987")</f>
        <v>0</v>
      </c>
      <c r="D1241" s="1">
        <f>hyperlink("http://dspace.library.uu.nl/handle/1874/212828","De Eemnesser haven Hans Jungerling Karel Grootveld 9 1980")</f>
        <v>0</v>
      </c>
    </row>
    <row r="1242" spans="2:4">
      <c r="B1242">
        <v>65</v>
      </c>
      <c r="C1242" s="1">
        <f>hyperlink("https://hetutrechtsarchief.nl/collectie/64C7564F6EE3547D890DB706E5E161F0","Het ontstaan van Woudenberg P B Koekkoek 7-39 2016")</f>
        <v>0</v>
      </c>
      <c r="D1242" s="1">
        <f>hyperlink("http://dspace.library.uu.nl/handle/1874/212829","Het ontstaan van Eemnes A P de Klerk 4-6 1980")</f>
        <v>0</v>
      </c>
    </row>
    <row r="1243" spans="2:4">
      <c r="B1243">
        <v>63</v>
      </c>
      <c r="C1243" s="1">
        <f>hyperlink("https://hetutrechtsarchief.nl/collectie/9EA5AE9204795856A03461A27CC8C9CF","Mijdrecht Vinkeveen en Wilnis aan het begin van de 19e eeuw Jan Rouwenhorst 134-139 1999")</f>
        <v>0</v>
      </c>
      <c r="D1243" s="1">
        <f>hyperlink("http://dspace.library.uu.nl/handle/1874/212830","De beroepsbevolking van Eemnes in het begin van de vorige eeuw Jan Out 12-18 1980")</f>
        <v>0</v>
      </c>
    </row>
    <row r="1244" spans="2:4">
      <c r="B1244">
        <v>55</v>
      </c>
      <c r="C1244" s="1">
        <f>hyperlink("https://hetutrechtsarchief.nl/collectie/E8526279564458B8867866BD7F51D929","Katholiek onderwijs in De Meern 4 Jan Heesters 53-54 2007")</f>
        <v>0</v>
      </c>
      <c r="D1244" s="1">
        <f>hyperlink("http://dspace.library.uu.nl/handle/1874/212831","Bijna 100 jaar Christelijk Onderwijs in Eemnes Jan Out 3-7 1980")</f>
        <v>0</v>
      </c>
    </row>
    <row r="1245" spans="2:4">
      <c r="B1245">
        <v>59</v>
      </c>
      <c r="C1245" s="1">
        <f>hyperlink("https://hetutrechtsarchief.nl/collectie/82CA5DAA40D7C657E0534701000ABCFF","Palen op de Parkweg Jaap Kottman 16-17 2019")</f>
        <v>0</v>
      </c>
      <c r="D1245" s="1">
        <f>hyperlink("http://dspace.library.uu.nl/handle/1874/212832","Kozakken op de Braadkamp Jan Out 6-11 1980")</f>
        <v>0</v>
      </c>
    </row>
    <row r="1246" spans="2:4">
      <c r="B1246">
        <v>62</v>
      </c>
      <c r="C1246" s="1">
        <f>hyperlink("https://hetutrechtsarchief.nl/collectie/26A98A0D0ECE5050B761DB53BFFEF8F0","Een dakloze vertelt Wim van Noort 30 ill 1999")</f>
        <v>0</v>
      </c>
      <c r="D1246" s="1">
        <f>hyperlink("http://dspace.library.uu.nl/handle/1874/212833","Wat een dagboek vertelt J V M Out 2-4 1980")</f>
        <v>0</v>
      </c>
    </row>
    <row r="1247" spans="2:4">
      <c r="B1247">
        <v>59</v>
      </c>
      <c r="C1247" s="1">
        <f>hyperlink("https://hetutrechtsarchief.nl/collectie/9FDDEBFB73815B6C926E516CD4E3C870","Voor dertig jaren C J Gonnet 110-112 1918")</f>
        <v>0</v>
      </c>
      <c r="D1247" s="1">
        <f>hyperlink("http://dspace.library.uu.nl/handle/1874/212834","Zomertijd Jan Out 9-11 1980")</f>
        <v>0</v>
      </c>
    </row>
    <row r="1248" spans="2:4">
      <c r="B1248">
        <v>57</v>
      </c>
      <c r="C1248" s="1">
        <f>hyperlink("https://hetutrechtsarchief.nl/collectie/8F2FB865D7505C20BF4BDF83E40FBDED","Werkgroep Vrouwen van de Gemeente Utrecht Laura Grob 10-11 1987")</f>
        <v>0</v>
      </c>
      <c r="D1248" s="1">
        <f>hyperlink("http://dspace.library.uu.nl/handle/1874/212835","Werkgroep Klokken Eduard Snel Bert Dop 14-15 1980")</f>
        <v>0</v>
      </c>
    </row>
    <row r="1249" spans="2:4">
      <c r="B1249">
        <v>57</v>
      </c>
      <c r="C1249" s="1">
        <f>hyperlink("https://hetutrechtsarchief.nl/collectie/BBB2313A566AA897E0538F04000A8DA4","Jack Grondel - een bijzondere wereld Ren e Blom 6-7 2021")</f>
        <v>0</v>
      </c>
      <c r="D1249" s="1">
        <f>hyperlink("http://dspace.library.uu.nl/handle/1874/212874","Kasteel Groeneveld en zijn bewoners Bertie van Wijk-Blom 44-47 1982")</f>
        <v>0</v>
      </c>
    </row>
    <row r="1250" spans="2:4">
      <c r="B1250">
        <v>55</v>
      </c>
      <c r="C1250" s="1">
        <f>hyperlink("https://hetutrechtsarchief.nl/collectie/018F80E3212658DE88B1EAD43195FFB7","Een diefstal in Eemnes Jan Out 157-161 2010")</f>
        <v>0</v>
      </c>
      <c r="D1250" s="1">
        <f>hyperlink("http://dspace.library.uu.nl/handle/1874/212875","Kozakkendag in Eemnes Gerard Stoutenburg 59-60 1981")</f>
        <v>0</v>
      </c>
    </row>
    <row r="1251" spans="2:4">
      <c r="B1251">
        <v>69</v>
      </c>
      <c r="C1251" s="1">
        <f>hyperlink("https://hetutrechtsarchief.nl/collectie/AB9CD50254385928822A99A9207F749F","Herinneringen aan K W 14-18 ill 1991")</f>
        <v>0</v>
      </c>
      <c r="D1251" s="1">
        <f>hyperlink("http://dspace.library.uu.nl/handle/1874/212876","Herinneringen J H van Wegen 4 1981")</f>
        <v>0</v>
      </c>
    </row>
    <row r="1252" spans="2:4">
      <c r="B1252">
        <v>56</v>
      </c>
      <c r="C1252" s="1">
        <f>hyperlink("https://hetutrechtsarchief.nl/collectie/7988BC790CA153A287E307E1832ECA20","Uit de kerkgeschiedenis van de Hervormde Gemeente Eemnes-Buitendijk 1 Jan Out 109-116 2002")</f>
        <v>0</v>
      </c>
      <c r="D1252" s="1">
        <f>hyperlink("http://dspace.library.uu.nl/handle/1874/212877","Werkgroep Genealogie attestatie en lidmatenboek der Hervormde Gemeente te Eemnes-Buitendijk 1843 - 1875 Wergroep Genealogie 48-49 1981")</f>
        <v>0</v>
      </c>
    </row>
    <row r="1253" spans="2:4">
      <c r="B1253">
        <v>55</v>
      </c>
      <c r="C1253" s="1">
        <f>hyperlink("https://hetutrechtsarchief.nl/collectie/018F80E3212658DE88B1EAD43195FFB7","Een diefstal in Eemnes Jan Out 157-161 2010")</f>
        <v>0</v>
      </c>
      <c r="D1253" s="1">
        <f>hyperlink("http://dspace.library.uu.nl/handle/1874/212878","Een Hollandse strafexpeditie in Eemland dec 1481 Jan Out 80-84 1981")</f>
        <v>0</v>
      </c>
    </row>
    <row r="1254" spans="2:4">
      <c r="B1254">
        <v>54</v>
      </c>
      <c r="C1254" s="1">
        <f>hyperlink("https://hetutrechtsarchief.nl/collectie/A705AD39804B5AC09F6D320424FEDFDB","De Eemnesser boer vroeger en nu Rom van der Schaaf 171-188 2009")</f>
        <v>0</v>
      </c>
      <c r="D1254" s="1">
        <f>hyperlink("http://dspace.library.uu.nl/handle/1874/212880","Uitbreiding Eemnesser Vaarwater Werkgroep Haven en Scheepvaart 7-9 1981")</f>
        <v>0</v>
      </c>
    </row>
    <row r="1255" spans="2:4">
      <c r="B1255">
        <v>53</v>
      </c>
      <c r="C1255" s="1">
        <f>hyperlink("https://hetutrechtsarchief.nl/collectie/77270278F650E433E0534701000AB084","Open monumenten het waterleidingbedrijf W Klein 29-32 2018")</f>
        <v>0</v>
      </c>
      <c r="D1255" s="1">
        <f>hyperlink("http://dspace.library.uu.nl/handle/1874/212881","Werkgroep Monumenten Wakkerendijk 170 Livia Lankreijer 41 1981")</f>
        <v>0</v>
      </c>
    </row>
    <row r="1256" spans="2:4">
      <c r="B1256">
        <v>55</v>
      </c>
      <c r="C1256" s="1">
        <f>hyperlink("https://hetutrechtsarchief.nl/collectie/5ED1794A4A0655AF8045355B6E9D00E8","Twee zwervende beeldenparen van V D Jan Willem Arends 158-162 2016")</f>
        <v>0</v>
      </c>
      <c r="D1256" s="1">
        <f>hyperlink("http://dspace.library.uu.nl/handle/1874/212882","Was er een eerder Eemnes B van Vlamings G Wijk-Blom 15-16 1981")</f>
        <v>0</v>
      </c>
    </row>
    <row r="1257" spans="2:4">
      <c r="B1257">
        <v>65</v>
      </c>
      <c r="C1257" s="1">
        <f>hyperlink("https://hetutrechtsarchief.nl/collectie/69FAC87CFE0C5F7D9577B7EE36013392","De ramp Wim Fecken 40-43 2003")</f>
        <v>0</v>
      </c>
      <c r="D1257" s="1">
        <f>hyperlink("http://dspace.library.uu.nl/handle/1874/212883","Een bijnaam Wim Fecken 34-40 1981")</f>
        <v>0</v>
      </c>
    </row>
    <row r="1258" spans="2:4">
      <c r="B1258">
        <v>55</v>
      </c>
      <c r="C1258" s="1">
        <f>hyperlink("https://hetutrechtsarchief.nl/collectie/FD65EA6E743E509E8EA275D9A9EF72ED","De Watersnood van 1916 Henri tte Beuk 2-5 2016")</f>
        <v>0</v>
      </c>
      <c r="D1258" s="1">
        <f>hyperlink("http://dspace.library.uu.nl/handle/1874/212884","De watersnood Hans Grootveld 30-33 no 3 p 52-56 1981")</f>
        <v>0</v>
      </c>
    </row>
    <row r="1259" spans="2:4">
      <c r="B1259">
        <v>56</v>
      </c>
      <c r="C1259" s="1">
        <f>hyperlink("https://hetutrechtsarchief.nl/collectie/EF99F93DAA8D59AE991CCC0A245A302E","Oud en nieuw twee werfmuren - R 16-17 ill 1981")</f>
        <v>0</v>
      </c>
      <c r="D1259" s="1">
        <f>hyperlink("http://dspace.library.uu.nl/handle/1874/212885","Oude verhalen kunnen veel zeggen H Hagen 10-11 1981")</f>
        <v>0</v>
      </c>
    </row>
    <row r="1260" spans="2:4">
      <c r="B1260">
        <v>66</v>
      </c>
      <c r="C1260" s="1">
        <f>hyperlink("https://hetutrechtsarchief.nl/collectie/F562AD1C36E95B18B727B19DE249E2B3","Erfgooiers in Eemnes Henk van Hees 160-168 2017")</f>
        <v>0</v>
      </c>
      <c r="D1260" s="1">
        <f>hyperlink("http://dspace.library.uu.nl/handle/1874/212886","De herberg Het Rooie Kruis te Eemnes-Binnen Henk van Hees 61-65 1981")</f>
        <v>0</v>
      </c>
    </row>
    <row r="1261" spans="2:4">
      <c r="B1261">
        <v>92</v>
      </c>
      <c r="C1261" s="1">
        <f>hyperlink("https://hetutrechtsarchief.nl/collectie/A9FD9171C26B571FB5335652A47B86B9","Korte geschiedenis van de familie Van t Klooster Van Klooster in Eemnes Henk van Hees 175-203 2005")</f>
        <v>0</v>
      </c>
      <c r="D1261" s="1">
        <f>hyperlink("http://dspace.library.uu.nl/handle/1874/212887","Korte geschiedenis van de familie Van t Klooster Van Klooster in Eemnes Henk van Hees 72-79 1981")</f>
        <v>0</v>
      </c>
    </row>
    <row r="1262" spans="2:4">
      <c r="B1262">
        <v>61</v>
      </c>
      <c r="C1262" s="1">
        <f>hyperlink("https://hetutrechtsarchief.nl/collectie/91038779566BEB9FE0534701000AB972","De nalatenschap van Frederik Schenck van Toutenburg Jan Vos 3-5 2001")</f>
        <v>0</v>
      </c>
      <c r="D1262" s="1">
        <f>hyperlink("http://dspace.library.uu.nl/handle/1874/212888","Een familiere nie van de familie Van Stoutenburg Jan Out 56-60 1981")</f>
        <v>0</v>
      </c>
    </row>
    <row r="1263" spans="2:4">
      <c r="B1263">
        <v>55</v>
      </c>
      <c r="C1263" s="1">
        <f>hyperlink("https://hetutrechtsarchief.nl/collectie/6B13EA0E353056B7A7EF20A190E72368","De teloorgang van een kleine boer in Sterkenburg Gerard van Woudenberg 40-43 2015")</f>
        <v>0</v>
      </c>
      <c r="D1263" s="1">
        <f>hyperlink("http://dspace.library.uu.nl/handle/1874/212889","Kwajongensstreken Jan Stoutenburg Gerard van Out 4-6 1981")</f>
        <v>0</v>
      </c>
    </row>
    <row r="1264" spans="2:4">
      <c r="B1264">
        <v>62</v>
      </c>
      <c r="C1264" s="1">
        <f>hyperlink("https://hetutrechtsarchief.nl/collectie/21BC4804E50C5D2BBEC0FE4CABBB7E8A","Heeren en Vrouwen van Eemnes Jan Out 100-101 2006")</f>
        <v>0</v>
      </c>
      <c r="D1264" s="1">
        <f>hyperlink("http://dspace.library.uu.nl/handle/1874/212890","De oude doopboeken van Eemnes Jan Out 85-88 1981")</f>
        <v>0</v>
      </c>
    </row>
    <row r="1265" spans="2:4">
      <c r="B1265">
        <v>58</v>
      </c>
      <c r="C1265" s="1">
        <f>hyperlink("https://hetutrechtsarchief.nl/collectie/6005F13C803E52289E0F1413028B81B1","Telefonisch tolken biedt uitkomst Wiene Alma 24-27 1983")</f>
        <v>0</v>
      </c>
      <c r="D1265" s="1">
        <f>hyperlink("http://dspace.library.uu.nl/handle/1874/212891","Ontmoetingen met uilskuikens Rinke Tolman 24-29 1981")</f>
        <v>0</v>
      </c>
    </row>
    <row r="1266" spans="2:4">
      <c r="B1266">
        <v>55</v>
      </c>
      <c r="C1266" s="1">
        <f>hyperlink("https://hetutrechtsarchief.nl/collectie/ACC1F726629EA5DEE0534701000ADDD1","Kleermakers in Eemnes door de eeuwen heen deel 5 Henk van Hees Bertie van Wijk-Blom 119-132 2020")</f>
        <v>0</v>
      </c>
      <c r="D1266" s="1">
        <f>hyperlink("http://dspace.library.uu.nl/handle/1874/212892","Werkgroep Genealogie namen voorkomende in het r k parochieboek van Deken de Beer in 1859 B van Wijk-Blom 12-14 1981")</f>
        <v>0</v>
      </c>
    </row>
    <row r="1267" spans="2:4">
      <c r="B1267">
        <v>56</v>
      </c>
      <c r="C1267" s="1">
        <f>hyperlink("https://hetutrechtsarchief.nl/collectie/987DC103F7FA578B88DEABBC37600D44","Op de nostalgische toer 3-4 1987")</f>
        <v>0</v>
      </c>
      <c r="D1267" s="1">
        <f>hyperlink("http://dspace.library.uu.nl/handle/1874/212893","De fiets Piet Wouters 43-44 1981")</f>
        <v>0</v>
      </c>
    </row>
    <row r="1268" spans="2:4">
      <c r="B1268">
        <v>59</v>
      </c>
      <c r="C1268" s="1">
        <f>hyperlink("https://hetutrechtsarchief.nl/collectie/018F80E3212658DE88B1EAD43195FFB7","Een diefstal in Eemnes Jan Out 157-161 2010")</f>
        <v>0</v>
      </c>
      <c r="D1268" s="1">
        <f>hyperlink("http://dspace.library.uu.nl/handle/1874/212894","Wat gebeurde er in 1574 in Eemnes Jan Out 57-58 1982")</f>
        <v>0</v>
      </c>
    </row>
    <row r="1269" spans="2:4">
      <c r="B1269">
        <v>67</v>
      </c>
      <c r="C1269" s="1">
        <f>hyperlink("https://hetutrechtsarchief.nl/collectie/174D34B93417543AB44F5082E81BCD52","De geschiedenis van deken Roes 10 - 11 1982")</f>
        <v>0</v>
      </c>
      <c r="D1269" s="1">
        <f>hyperlink("http://dspace.library.uu.nl/handle/1874/212895","De laatste schipper van Eemnes H S 8-14 1982")</f>
        <v>0</v>
      </c>
    </row>
    <row r="1270" spans="2:4">
      <c r="B1270">
        <v>59</v>
      </c>
      <c r="C1270" s="1">
        <f>hyperlink("https://hetutrechtsarchief.nl/collectie/68EE1EBEFFB14C7AE0534701000A7881","Bakkers in Eemnes door de eeuwen heen deel 3 Henk van Hees 42-54 2018")</f>
        <v>0</v>
      </c>
      <c r="D1270" s="1">
        <f>hyperlink("http://dspace.library.uu.nl/handle/1874/212896","Ik ben van nette komaf of Hoe een boer kapelaan werd Henk van Hees 49-51 1982")</f>
        <v>0</v>
      </c>
    </row>
    <row r="1271" spans="2:4">
      <c r="B1271">
        <v>65</v>
      </c>
      <c r="C1271" s="1">
        <f>hyperlink("https://hetutrechtsarchief.nl/collectie/CD19060DD123573BA5AF39D3E4E00F34","Duitse families in Eemnes Henk van Hees 17-36 2015")</f>
        <v>0</v>
      </c>
      <c r="D1271" s="1">
        <f>hyperlink("http://dspace.library.uu.nl/handle/1874/212897","De oude doopboeken van Eemnes Henk van Hees 35-36 1982")</f>
        <v>0</v>
      </c>
    </row>
    <row r="1272" spans="2:4">
      <c r="B1272">
        <v>66</v>
      </c>
      <c r="C1272" s="1">
        <f>hyperlink("https://hetutrechtsarchief.nl/collectie/9207B5FC97065B639693957163BB8F84","Korte geschiedenis van het geslacht Hoofd in Eemnes Henk van Hees 163-180 2014")</f>
        <v>0</v>
      </c>
      <c r="D1272" s="1">
        <f>hyperlink("http://dspace.library.uu.nl/handle/1874/212898","Schets van de geschiedenis van het geslacht Blom in Eemnes Henk van Hees J Hees Henk van Manten 14-21 no 2 p 42-43 1982")</f>
        <v>0</v>
      </c>
    </row>
    <row r="1273" spans="2:4">
      <c r="B1273">
        <v>57</v>
      </c>
      <c r="C1273" s="1">
        <f>hyperlink("https://hetutrechtsarchief.nl/collectie/557A731A203C5BBCBFE97319A6BB6E11","Boerenwijsheid in Soest E Heupers 53-54 ill 1971")</f>
        <v>0</v>
      </c>
      <c r="D1273" s="1">
        <f>hyperlink("http://dspace.library.uu.nl/handle/1874/212899","Na de hooibouw het hooivet E Heupers 53-57 1982")</f>
        <v>0</v>
      </c>
    </row>
    <row r="1274" spans="2:4">
      <c r="B1274">
        <v>55</v>
      </c>
      <c r="C1274" s="1">
        <f>hyperlink("https://hetutrechtsarchief.nl/collectie/180E873B4B8E5203BE762444E425803D","Het Utrechts Monumentenfonds 25 jaar 29-31 1968")</f>
        <v>0</v>
      </c>
      <c r="D1274" s="1">
        <f>hyperlink("http://dspace.library.uu.nl/handle/1874/212900","Bezoek Monumentenpand Livia Lankreyer 22-28 1982")</f>
        <v>0</v>
      </c>
    </row>
    <row r="1275" spans="2:4">
      <c r="B1275">
        <v>55</v>
      </c>
      <c r="C1275" s="1">
        <f>hyperlink("https://hetutrechtsarchief.nl/collectie/59DF373383635C658817C1E452070C02","Wakkerendijk 160 Evert van Andel 179-189 2007")</f>
        <v>0</v>
      </c>
      <c r="D1275" s="1">
        <f>hyperlink("http://dspace.library.uu.nl/handle/1874/212901","Monumenten Wakkerendijk 166 Livia Lankreijer 6-8 1982")</f>
        <v>0</v>
      </c>
    </row>
    <row r="1276" spans="2:4">
      <c r="B1276">
        <v>63</v>
      </c>
      <c r="C1276" s="1">
        <f>hyperlink("https://hetutrechtsarchief.nl/collectie/21BC4804E50C5D2BBEC0FE4CABBB7E8A","Heeren en Vrouwen van Eemnes Jan Out 100-101 2006")</f>
        <v>0</v>
      </c>
      <c r="D1276" s="1">
        <f>hyperlink("http://dspace.library.uu.nl/handle/1874/212902","De oudste vermeldingen van Eemnes Jan Out 3-5 1982")</f>
        <v>0</v>
      </c>
    </row>
    <row r="1277" spans="2:4">
      <c r="B1277">
        <v>63</v>
      </c>
      <c r="C1277" s="1">
        <f>hyperlink("https://hetutrechtsarchief.nl/collectie/ACC1F726629EA5DEE0534701000ADDD1","Kleermakers in Eemnes door de eeuwen heen deel 5 Henk van Hees Bertie van Wijk-Blom 119-132 2020")</f>
        <v>0</v>
      </c>
      <c r="D1277" s="1">
        <f>hyperlink("http://dspace.library.uu.nl/handle/1874/212903","Het onderwijs door de eeuwen heen Bertie van Wijk-Blom 37-42 1982")</f>
        <v>0</v>
      </c>
    </row>
    <row r="1278" spans="2:4">
      <c r="B1278">
        <v>59</v>
      </c>
      <c r="C1278" s="1">
        <f>hyperlink("https://hetutrechtsarchief.nl/collectie/B9410CD23A266B7EE0534701000A2783","Van wie bin jie der een iets over de Werkgroep Genealogie Ton Hartman 32-44 2020")</f>
        <v>0</v>
      </c>
      <c r="D1278" s="1">
        <f>hyperlink("http://dspace.library.uu.nl/handle/1874/212987","Romantiek in oude archieven Werkgroep Genealogie 91-93 1982")</f>
        <v>0</v>
      </c>
    </row>
    <row r="1279" spans="2:4">
      <c r="B1279">
        <v>60</v>
      </c>
      <c r="C1279" s="1">
        <f>hyperlink("https://hetutrechtsarchief.nl/collectie/8A8A376BE3615E5B8B99D7238EC89097","De grenzen van Naarden Henk Schaftenaar 27-36 2002")</f>
        <v>0</v>
      </c>
      <c r="D1279" s="1">
        <f>hyperlink("http://dspace.library.uu.nl/handle/1874/212988","Recent verleden Henk Hagen 52-53 1982")</f>
        <v>0</v>
      </c>
    </row>
    <row r="1280" spans="2:4">
      <c r="B1280">
        <v>83</v>
      </c>
      <c r="C1280" s="1">
        <f>hyperlink("https://hetutrechtsarchief.nl/collectie/F5408E83CA1D5224829E4056E7C31829","Korte geschiedenis van de oudste familie Van den Berg in Eemnes Henk van Hees 219-242 1999")</f>
        <v>0</v>
      </c>
      <c r="D1280" s="1">
        <f>hyperlink("http://dspace.library.uu.nl/handle/1874/212989","Korte geschiedenis van de familie Van Wegen in Eemnes Henk van Hees 71-75 1982")</f>
        <v>0</v>
      </c>
    </row>
    <row r="1281" spans="2:4">
      <c r="B1281">
        <v>67</v>
      </c>
      <c r="C1281" s="1">
        <f>hyperlink("https://hetutrechtsarchief.nl/collectie/F562AD1C36E95B18B727B19DE249E2B3","Erfgooiers in Eemnes Henk van Hees 160-168 2017")</f>
        <v>0</v>
      </c>
      <c r="D1281" s="1">
        <f>hyperlink("http://dspace.library.uu.nl/handle/1874/212990","Korte kroegenhistorie van Eemnes Henk van Hees 96-98 1982")</f>
        <v>0</v>
      </c>
    </row>
    <row r="1282" spans="2:4">
      <c r="B1282">
        <v>71</v>
      </c>
      <c r="C1282" s="1">
        <f>hyperlink("https://hetutrechtsarchief.nl/collectie/AF3A0D08D66756358708E12B162E4D3C","Korte geschiedenis van het geslacht Riggeling in Eemnes Henk van Hees 160-178 1999")</f>
        <v>0</v>
      </c>
      <c r="D1282" s="1">
        <f>hyperlink("http://dspace.library.uu.nl/handle/1874/212991","Beknopte geschiedenis van het geslacht Van de Kuinder in Eemnes Henk van Kuinder-Hamer J W van de Hees 107-110 1982")</f>
        <v>0</v>
      </c>
    </row>
    <row r="1283" spans="2:4">
      <c r="B1283">
        <v>54</v>
      </c>
      <c r="C1283" s="1">
        <f>hyperlink("https://hetutrechtsarchief.nl/collectie/3EFFB5D9B0C85BB2A69F04F8FFEA83FA","Enkele mededeelingen betreffende den westbouw der St Nicolaaskerk W Stooker 42-47 ill 1938")</f>
        <v>0</v>
      </c>
      <c r="D1283" s="1">
        <f>hyperlink("http://dspace.library.uu.nl/handle/1874/212992","Enkele bouwkundige wetenswaardigheden betreffende Meentweg 19 Livia Lankreyer 99-101 1982")</f>
        <v>0</v>
      </c>
    </row>
    <row r="1284" spans="2:4">
      <c r="B1284">
        <v>65</v>
      </c>
      <c r="C1284" s="1">
        <f>hyperlink("https://hetutrechtsarchief.nl/collectie/68156BA414DF5494811B1AF3339822F2","Monumentenzorg in Utrecht 1989")</f>
        <v>0</v>
      </c>
      <c r="D1284" s="1">
        <f>hyperlink("http://dspace.library.uu.nl/handle/1874/212993","Monumentenzorg Livia Lankreyer 67-70 1982")</f>
        <v>0</v>
      </c>
    </row>
    <row r="1285" spans="2:4">
      <c r="B1285">
        <v>62</v>
      </c>
      <c r="C1285" s="1">
        <f>hyperlink("https://hetutrechtsarchief.nl/collectie/944FF27E683341AFE0534701000A07C3","Wakkerendijk 27 Evert van Andel 138-154 2019")</f>
        <v>0</v>
      </c>
      <c r="D1285" s="1">
        <f>hyperlink("http://dspace.library.uu.nl/handle/1874/212995","Wakkerendijk 202 204 Livia Lankreyer 102-106 1982")</f>
        <v>0</v>
      </c>
    </row>
    <row r="1286" spans="2:4">
      <c r="B1286">
        <v>58</v>
      </c>
      <c r="C1286" s="1">
        <f>hyperlink("https://hetutrechtsarchief.nl/collectie/D7E6F74DA218557EB267076016594884","Een aanbesteding in vroeger jaren 19-20 1998")</f>
        <v>0</v>
      </c>
      <c r="D1286" s="1">
        <f>hyperlink("http://dspace.library.uu.nl/handle/1874/212996","Prijzen van vroeger J Manten 65-66 1982")</f>
        <v>0</v>
      </c>
    </row>
    <row r="1287" spans="2:4">
      <c r="B1287">
        <v>61</v>
      </c>
      <c r="C1287" s="1">
        <f>hyperlink("https://hetutrechtsarchief.nl/collectie/01F118E379D45ABE8151DBA4EC2E2302","Verdwenen buitenplaatsen - K 89-90 1935")</f>
        <v>0</v>
      </c>
      <c r="D1287" s="1">
        <f>hyperlink("http://dspace.library.uu.nl/handle/1874/212998","Eemnesser buitenplaatsen 1 Eemlust Jan Out 78-85 1982")</f>
        <v>0</v>
      </c>
    </row>
    <row r="1288" spans="2:4">
      <c r="B1288">
        <v>61</v>
      </c>
      <c r="C1288" s="1">
        <f>hyperlink("https://hetutrechtsarchief.nl/collectie/D57591AB51613FC3E0538F04000AC8FF","Open Monumentendag Eemnes Jan Out 250-253 2021")</f>
        <v>0</v>
      </c>
      <c r="D1288" s="1">
        <f>hyperlink("http://dspace.library.uu.nl/handle/1874/212999","Een mengelmoes Jan Out 94-95 1982")</f>
        <v>0</v>
      </c>
    </row>
    <row r="1289" spans="2:4">
      <c r="B1289">
        <v>56</v>
      </c>
      <c r="C1289" s="1">
        <f>hyperlink("https://hetutrechtsarchief.nl/collectie/30FA62A503C858C683872111964ED69F","17e eeuwsche huizen - G v K Pz 69 1929")</f>
        <v>0</v>
      </c>
      <c r="D1289" s="1">
        <f>hyperlink("http://dspace.library.uu.nl/handle/1874/213000","Eemnes en Huissen 1944-1945 J H F Zweers 76 1982")</f>
        <v>0</v>
      </c>
    </row>
    <row r="1290" spans="2:4">
      <c r="B1290">
        <v>64</v>
      </c>
      <c r="C1290" s="1">
        <f>hyperlink("https://hetutrechtsarchief.nl/collectie/CA0B64C3959E5907B7C1557E8A491060","Nieuwe straatnamen in Loenen 23-27 2007")</f>
        <v>0</v>
      </c>
      <c r="D1290" s="1">
        <f>hyperlink("http://dspace.library.uu.nl/handle/1874/213001","Nieuwe straatnamen en huisnummering 61-63 1983")</f>
        <v>0</v>
      </c>
    </row>
    <row r="1291" spans="2:4">
      <c r="B1291">
        <v>53</v>
      </c>
      <c r="C1291" s="1">
        <f>hyperlink("https://hetutrechtsarchief.nl/collectie/20669AE810265075870F7ADF8D0B6F5D","De bomen in onze stad - v A 2-5 1973")</f>
        <v>0</v>
      </c>
      <c r="D1291" s="1">
        <f>hyperlink("http://dspace.library.uu.nl/handle/1874/213002","De koopmansrekeningen van 1845 Wim Bary 27-30 1983")</f>
        <v>0</v>
      </c>
    </row>
    <row r="1292" spans="2:4">
      <c r="B1292">
        <v>56</v>
      </c>
      <c r="C1292" s="1">
        <f>hyperlink("https://hetutrechtsarchief.nl/collectie/E841A62658375B2C8F139103E23AF31B","Chartreuse - W A F B 51-52 1930")</f>
        <v>0</v>
      </c>
      <c r="D1292" s="1">
        <f>hyperlink("http://dspace.library.uu.nl/handle/1874/213003","Matteus Bell Wim Fecken 5-12 1983")</f>
        <v>0</v>
      </c>
    </row>
    <row r="1293" spans="2:4">
      <c r="B1293">
        <v>58</v>
      </c>
      <c r="C1293" s="1">
        <f>hyperlink("https://hetutrechtsarchief.nl/collectie/88105E2BAAD553899A8C6D654B531373","Hreni M N Acket 6-7 1954")</f>
        <v>0</v>
      </c>
      <c r="D1293" s="1">
        <f>hyperlink("http://dspace.library.uu.nl/handle/1874/213004","Molenwiek Wim Fecken 67 1983")</f>
        <v>0</v>
      </c>
    </row>
    <row r="1294" spans="2:4">
      <c r="B1294">
        <v>62</v>
      </c>
      <c r="C1294" s="1">
        <f>hyperlink("https://hetutrechtsarchief.nl/collectie/4EA590BC6B985ECDB9B96D73295783F7","Smederijen in Eemnes Henk van Hees 28-41 2001")</f>
        <v>0</v>
      </c>
      <c r="D1294" s="1">
        <f>hyperlink("http://dspace.library.uu.nl/handle/1874/213005","Dr Bell en zijn nageslacht Henk van Hees 13-19 1983")</f>
        <v>0</v>
      </c>
    </row>
    <row r="1295" spans="2:4">
      <c r="B1295">
        <v>68</v>
      </c>
      <c r="C1295" s="1">
        <f>hyperlink("https://hetutrechtsarchief.nl/collectie/F562AD1C36E95B18B727B19DE249E2B3","Erfgooiers in Eemnes Henk van Hees 160-168 2017")</f>
        <v>0</v>
      </c>
      <c r="D1295" s="1">
        <f>hyperlink("http://dspace.library.uu.nl/handle/1874/213006","Huize Streefoord te Eemnes Henk van Hees 122-127 1983")</f>
        <v>0</v>
      </c>
    </row>
    <row r="1296" spans="2:4">
      <c r="B1296">
        <v>87</v>
      </c>
      <c r="C1296" s="1">
        <f>hyperlink("https://hetutrechtsarchief.nl/collectie/AF3A0D08D66756358708E12B162E4D3C","Korte geschiedenis van het geslacht Riggeling in Eemnes Henk van Hees 160-178 1999")</f>
        <v>0</v>
      </c>
      <c r="D1296" s="1">
        <f>hyperlink("http://dspace.library.uu.nl/handle/1874/213007","Korte geschiedenis van het geslacht Eek in Eemnes Henk van Hees 76-86 1983")</f>
        <v>0</v>
      </c>
    </row>
    <row r="1297" spans="2:4">
      <c r="B1297">
        <v>57</v>
      </c>
      <c r="C1297" s="1">
        <f>hyperlink("https://hetutrechtsarchief.nl/collectie/EB1BC10237C65BB4B8E1362EAFD14791","Kerkbrink 1 te Breukelen geschiedenis en archeologie Henk J van Es 103-118 2001")</f>
        <v>0</v>
      </c>
      <c r="D1297" s="1">
        <f>hyperlink("http://dspace.library.uu.nl/handle/1874/213008","Problemen rond t Oude Raadhuys de geschiedenis herhaalt zich Henk van Hees 73-76 1983")</f>
        <v>0</v>
      </c>
    </row>
    <row r="1298" spans="2:4">
      <c r="B1298">
        <v>58</v>
      </c>
      <c r="C1298" s="1">
        <f>hyperlink("https://hetutrechtsarchief.nl/collectie/944FF27E683341AFE0534701000A07C3","Wakkerendijk 27 Evert van Andel 138-154 2019")</f>
        <v>0</v>
      </c>
      <c r="D1298" s="1">
        <f>hyperlink("http://dspace.library.uu.nl/handle/1874/213009","Bakkerij Heek Livia Lankreyer 128-131 1983")</f>
        <v>0</v>
      </c>
    </row>
    <row r="1299" spans="2:4">
      <c r="B1299">
        <v>62</v>
      </c>
      <c r="C1299" s="1">
        <f>hyperlink("https://hetutrechtsarchief.nl/collectie/F0B8AB2E5A56587FB021593B9B2F731F","Het museum in de kerk 1-21 1984")</f>
        <v>0</v>
      </c>
      <c r="D1299" s="1">
        <f>hyperlink("http://dspace.library.uu.nl/handle/1874/213010","Het huis van Dr Bell Livia Lankreyer 19-21 1983")</f>
        <v>0</v>
      </c>
    </row>
    <row r="1300" spans="2:4">
      <c r="B1300">
        <v>59</v>
      </c>
      <c r="C1300" s="1">
        <f>hyperlink("https://hetutrechtsarchief.nl/collectie/20018E40D1A355F2A3D0463CE9184EF1","De watermolens van Eemnes deel 2 Evert van Andel 178-191 2015")</f>
        <v>0</v>
      </c>
      <c r="D1300" s="1">
        <f>hyperlink("http://dspace.library.uu.nl/handle/1874/213011","De molen aan de Eemnesser Vaart Livia Lankreyer 24-27 1983")</f>
        <v>0</v>
      </c>
    </row>
    <row r="1301" spans="2:4">
      <c r="B1301">
        <v>55</v>
      </c>
      <c r="C1301" s="1">
        <f>hyperlink("https://hetutrechtsarchief.nl/collectie/168118508E2A5B0CBF858564DBB1D0E9","Meentweg 83 Evert van Andel 35-44 2007")</f>
        <v>0</v>
      </c>
      <c r="D1301" s="1">
        <f>hyperlink("http://dspace.library.uu.nl/handle/1874/213012","Meentweg 43 Livia Lankreyer 53-58 1983")</f>
        <v>0</v>
      </c>
    </row>
    <row r="1302" spans="2:4">
      <c r="B1302">
        <v>63</v>
      </c>
      <c r="C1302" s="1">
        <f>hyperlink("https://hetutrechtsarchief.nl/collectie/FD65EA6E743E509E8EA275D9A9EF72ED","De Watersnood van 1916 Henri tte Beuk 2-5 2016")</f>
        <v>0</v>
      </c>
      <c r="D1302" s="1">
        <f>hyperlink("http://dspace.library.uu.nl/handle/1874/213013","Watersnood 1916 J Manten 2-5 1983")</f>
        <v>0</v>
      </c>
    </row>
    <row r="1303" spans="2:4">
      <c r="B1303">
        <v>51</v>
      </c>
      <c r="C1303" s="1">
        <f>hyperlink("https://hetutrechtsarchief.nl/collectie/374B3B0BC00A5930A96CC17D9CEA829A","De viering van de Unie van Utrecht 1579-1929 D P Snoep 192-213 ill 1978")</f>
        <v>0</v>
      </c>
      <c r="D1303" s="1">
        <f>hyperlink("http://dspace.library.uu.nl/handle/1874/213014","Tot educatie van de jeugt Jan Out 35-45 no 3 p 86-95 no 4 p 99-107 1983")</f>
        <v>0</v>
      </c>
    </row>
    <row r="1304" spans="2:4">
      <c r="B1304">
        <v>68</v>
      </c>
      <c r="C1304" s="1">
        <f>hyperlink("https://hetutrechtsarchief.nl/collectie/D110C70977260B4CE0538F04000ADC8E","De Oude Algemene Begraafplaats Amerongen 1 Ide van Wijk 4-6 2021")</f>
        <v>0</v>
      </c>
      <c r="D1304" s="1">
        <f>hyperlink("http://dspace.library.uu.nl/handle/1874/213015","De Algemene Begraafplaats aan de Laarderweg Bertie van Wijk-Blom 67-69 1983")</f>
        <v>0</v>
      </c>
    </row>
    <row r="1305" spans="2:4">
      <c r="B1305">
        <v>67</v>
      </c>
      <c r="C1305" s="1">
        <f>hyperlink("https://hetutrechtsarchief.nl/collectie/F5408E83CA1D5224829E4056E7C31829","Korte geschiedenis van de oudste familie Van den Berg in Eemnes Henk van Hees 219-242 1999")</f>
        <v>0</v>
      </c>
      <c r="D1305" s="1">
        <f>hyperlink("http://dspace.library.uu.nl/handle/1874/213017","Beknopte geschiedenis van de familie Roodhart in Eemnes Bertie van Wijk-Blom 45-52 1983")</f>
        <v>0</v>
      </c>
    </row>
    <row r="1306" spans="2:4">
      <c r="B1306">
        <v>62</v>
      </c>
      <c r="C1306" s="1">
        <f>hyperlink("https://hetutrechtsarchief.nl/collectie/1D3B89F3E028590FB6D23135B27E8339","De Spaanse Griep in Eemnes Wiebe van IJken 148-160 2013")</f>
        <v>0</v>
      </c>
      <c r="D1306" s="1">
        <f>hyperlink("http://dspace.library.uu.nl/handle/1874/213018","De familie Ruizendaal in Eemnes Bertie van Wijk-Blom 110-118 1983")</f>
        <v>0</v>
      </c>
    </row>
    <row r="1307" spans="2:4">
      <c r="B1307">
        <v>56</v>
      </c>
      <c r="C1307" s="1">
        <f>hyperlink("https://hetutrechtsarchief.nl/collectie/99BB2284184757429618CF89F253C21F","Kort levensberigt van P C Bor 211 -214 1835")</f>
        <v>0</v>
      </c>
      <c r="D1307" s="1">
        <f>hyperlink("http://dspace.library.uu.nl/handle/1874/213019","Kijk op Eemnes Bertie van Wijk-Blom 69-73 1983")</f>
        <v>0</v>
      </c>
    </row>
    <row r="1308" spans="2:4">
      <c r="B1308">
        <v>58</v>
      </c>
      <c r="C1308" s="1">
        <f>hyperlink("https://hetutrechtsarchief.nl/collectie/79A9AB94D9C65DC7AFC75618600946CD","Het topje van de ijsberg 16-18 1985")</f>
        <v>0</v>
      </c>
      <c r="D1308" s="1">
        <f>hyperlink("http://dspace.library.uu.nl/handle/1874/213020","Het luchtschip W van IJken 58-61 1983")</f>
        <v>0</v>
      </c>
    </row>
    <row r="1309" spans="2:4">
      <c r="B1309">
        <v>53</v>
      </c>
      <c r="C1309" s="1">
        <f>hyperlink("https://hetutrechtsarchief.nl/collectie/EFF51094B6615752ACFF65748C0694D2","Het relaas van een Eemnesser en zijn gezin betrokken bij de watersnoodramp van 1953 Henk van Hees 154-158 2003")</f>
        <v>0</v>
      </c>
      <c r="D1309" s="1">
        <f>hyperlink("http://dspace.library.uu.nl/handle/1874/213058","De watersnood van 1916 in Eemnes Henk van Hees krantenberichten over de watersnood verzameld door Wim Fecken Wim Hees Henk van Fecken 1-40 nr 3 p 102-103 1986")</f>
        <v>0</v>
      </c>
    </row>
    <row r="1310" spans="2:4">
      <c r="B1310">
        <v>57</v>
      </c>
      <c r="C1310" s="1">
        <f>hyperlink("https://hetutrechtsarchief.nl/collectie/AB271975818E5A7AA0246A512454EE70","Een museum in de Buurkerk Huub Blankenberg 28-29 ill 1988")</f>
        <v>0</v>
      </c>
      <c r="D1310" s="1">
        <f>hyperlink("http://dspace.library.uu.nl/handle/1874/213059","Een put in de Kerkstraat Livia Lankreijer 57-60 1986")</f>
        <v>0</v>
      </c>
    </row>
    <row r="1311" spans="2:4">
      <c r="B1311">
        <v>55</v>
      </c>
      <c r="C1311" s="1">
        <f>hyperlink("https://hetutrechtsarchief.nl/collectie/385ADCA19C73522AAB4811F8C9A03317","De hofstede Chatreuse J I Planjer 97-101 1938")</f>
        <v>0</v>
      </c>
      <c r="D1311" s="1">
        <f>hyperlink("http://dspace.library.uu.nl/handle/1874/213060","Wolfsstede wat zegt een naam Livia Lankreijer 88-94 1986")</f>
        <v>0</v>
      </c>
    </row>
    <row r="1312" spans="2:4">
      <c r="B1312">
        <v>62</v>
      </c>
      <c r="C1312" s="1">
        <f>hyperlink("https://hetutrechtsarchief.nl/collectie/8C0EFA17F81E96FDE0534701000A870E","Eemnesser Gymnastiek Vereniging EGV 50 jaar Jan Delfgou 74-82 2019")</f>
        <v>0</v>
      </c>
      <c r="D1312" s="1">
        <f>hyperlink("http://dspace.library.uu.nl/handle/1874/213061","Onze Eemnesser straatverlichting 100 jaar Jan Out 42-49 1986")</f>
        <v>0</v>
      </c>
    </row>
    <row r="1313" spans="2:4">
      <c r="B1313">
        <v>65</v>
      </c>
      <c r="C1313" s="1">
        <f>hyperlink("https://hetutrechtsarchief.nl/collectie/1D3B89F3E028590FB6D23135B27E8339","De Spaanse Griep in Eemnes Wiebe van IJken 148-160 2013")</f>
        <v>0</v>
      </c>
      <c r="D1313" s="1">
        <f>hyperlink("http://dspace.library.uu.nl/handle/1874/213062","De familie Dop in Eemnes W van IJken 35-47 1984")</f>
        <v>0</v>
      </c>
    </row>
    <row r="1314" spans="2:4">
      <c r="B1314">
        <v>63</v>
      </c>
      <c r="C1314" s="1">
        <f>hyperlink("https://hetutrechtsarchief.nl/collectie/7985DC59044658D48F0892BC247D9704","De familie Van Estvelt en Eemnes een rooms-katholieke Veluwse familie in Eemnes Henk van Hees 77-95 2013")</f>
        <v>0</v>
      </c>
      <c r="D1314" s="1">
        <f>hyperlink("http://dspace.library.uu.nl/handle/1874/213063","Het geslacht Van Eijden in Eemnes Ofwel de historie van een erfgooiersfamilie in Eemnes Henk van Hees 64-78 1984")</f>
        <v>0</v>
      </c>
    </row>
    <row r="1315" spans="2:4">
      <c r="B1315">
        <v>71</v>
      </c>
      <c r="C1315" s="1">
        <f>hyperlink("https://hetutrechtsarchief.nl/collectie/9207B5FC97065B639693957163BB8F84","Korte geschiedenis van het geslacht Hoofd in Eemnes Henk van Hees 163-180 2014")</f>
        <v>0</v>
      </c>
      <c r="D1315" s="1">
        <f>hyperlink("http://dspace.library.uu.nl/handle/1874/213064","Geschiedenis van het geslacht Heek in Eemnes Bertie van Wijk-Blom 95-104 1984")</f>
        <v>0</v>
      </c>
    </row>
    <row r="1316" spans="2:4">
      <c r="B1316">
        <v>61</v>
      </c>
      <c r="C1316" s="1">
        <f>hyperlink("https://hetutrechtsarchief.nl/collectie/DBEBB941F7FE5D7998A1EE82BE9D8F13","De familienaam Van Westerlaak Jan van den Boom 117-121 2002")</f>
        <v>0</v>
      </c>
      <c r="D1316" s="1">
        <f>hyperlink("http://dspace.library.uu.nl/handle/1874/213065","De familie Van Wijk in Eemnes Bertie van Wijk Jan van Wijk-Blom 7-16 1985")</f>
        <v>0</v>
      </c>
    </row>
    <row r="1317" spans="2:4">
      <c r="B1317">
        <v>64</v>
      </c>
      <c r="C1317" s="1">
        <f>hyperlink("https://hetutrechtsarchief.nl/collectie/B637BA4296505F50B9A3DFD3CBD49520","De familie Van Wickevoort deel 2 Wiebe van IJken 117-134 2011")</f>
        <v>0</v>
      </c>
      <c r="D1317" s="1">
        <f>hyperlink("http://dspace.library.uu.nl/handle/1874/213066","De familie Pas in Eemnes van korenmolenaars en timmerlui Wiebe van IJken 119-130 1985")</f>
        <v>0</v>
      </c>
    </row>
    <row r="1318" spans="2:4">
      <c r="B1318">
        <v>58</v>
      </c>
      <c r="C1318" s="1">
        <f>hyperlink("https://hetutrechtsarchief.nl/collectie/08392215670C5120BD51DE67CFDC8F94","Een ernstige overtreding Jan van der Heijden 28-31 2011")</f>
        <v>0</v>
      </c>
      <c r="D1318" s="1">
        <f>hyperlink("http://dspace.library.uu.nl/handle/1874/213067","Herdenking van veertig jaar bevrijding Jaap van der Woude 132-145 1985")</f>
        <v>0</v>
      </c>
    </row>
    <row r="1319" spans="2:4">
      <c r="B1319">
        <v>68</v>
      </c>
      <c r="C1319" s="1">
        <f>hyperlink("https://hetutrechtsarchief.nl/collectie/962F8E03C73454038A01C050850A6C1B","Korte geschiedenis van het geslacht Van Isselt in Eemnes samengesteld door Henk van Hees en Bertie van Wijk-Blom 81-108 1999")</f>
        <v>0</v>
      </c>
      <c r="D1319" s="1">
        <f>hyperlink("http://dspace.library.uu.nl/handle/1874/213068","Korte geschiedenis van het geslacht Van der Wardt in Eemnes Ria Hees Henk van Wardt Jan van der Stoutenburg-Vos 158-169 1985")</f>
        <v>0</v>
      </c>
    </row>
    <row r="1320" spans="2:4">
      <c r="B1320">
        <v>53</v>
      </c>
      <c r="C1320" s="1">
        <f>hyperlink("https://hetutrechtsarchief.nl/collectie/5FDE891ACCDC507EA33C4CDF8D28E417","De familie van Berck en Rijsenburg E J Demoed 147-148 1961")</f>
        <v>0</v>
      </c>
      <c r="D1320" s="1">
        <f>hyperlink("http://dspace.library.uu.nl/handle/1874/213069","De familie Scherpenzeel Dick Scherpenzeel 64-81 nr 3 p 104 1986")</f>
        <v>0</v>
      </c>
    </row>
    <row r="1321" spans="2:4">
      <c r="B1321">
        <v>60</v>
      </c>
      <c r="C1321" s="1">
        <f>hyperlink("https://hetutrechtsarchief.nl/collectie/78E77FDF9A0A5C4394C9ADFD74E4BA0C","Hinne Rode C C de Bruin 191-208 1981")</f>
        <v>0</v>
      </c>
      <c r="D1321" s="1">
        <f>hyperlink("http://dspace.library.uu.nl/handle/1874/213070","Misdaad in Eemnes rond 1700 Fred de Bruijn 98 1986")</f>
        <v>0</v>
      </c>
    </row>
    <row r="1322" spans="2:4">
      <c r="B1322">
        <v>54</v>
      </c>
      <c r="C1322" s="1">
        <f>hyperlink("https://hetutrechtsarchief.nl/collectie/9CD10BC336C95833B0E636EAA36D3F43","Opgravingen op het Domplein 19-20 1948")</f>
        <v>0</v>
      </c>
      <c r="D1322" s="1">
        <f>hyperlink("http://dspace.library.uu.nl/handle/1874/213071","Merkwaardigheden 1 Het paaltje Jan Out 101 1986")</f>
        <v>0</v>
      </c>
    </row>
    <row r="1323" spans="2:4">
      <c r="B1323">
        <v>70</v>
      </c>
      <c r="C1323" s="1">
        <f>hyperlink("https://hetutrechtsarchief.nl/collectie/AF3A0D08D66756358708E12B162E4D3C","Korte geschiedenis van het geslacht Riggeling in Eemnes Henk van Hees 160-178 1999")</f>
        <v>0</v>
      </c>
      <c r="D1323" s="1">
        <f>hyperlink("http://dspace.library.uu.nl/handle/1874/213072","Korte geschiedenis van het Eemnesser geslacht De Bruijn Henk van Bruijn Jan de Hees 104-119 1986")</f>
        <v>0</v>
      </c>
    </row>
    <row r="1324" spans="2:4">
      <c r="B1324">
        <v>64</v>
      </c>
      <c r="C1324" s="1">
        <f>hyperlink("https://hetutrechtsarchief.nl/collectie/8246D3AA629C5CDCB221FF0AB8D50E2E","De Willem Arntsz Stichting tijdens de Tweede Wereldoorlog samenvatting Mieke van der Ploeg 15-21 2005")</f>
        <v>0</v>
      </c>
      <c r="D1324" s="1">
        <f>hyperlink("http://dspace.library.uu.nl/handle/1874/213073","De illegale zender van Eemnes tijdens de tweede wereldoorlog Jaap van der Woude 58-64 1984")</f>
        <v>0</v>
      </c>
    </row>
    <row r="1325" spans="2:4">
      <c r="B1325">
        <v>60</v>
      </c>
      <c r="C1325" s="1">
        <f>hyperlink("https://hetutrechtsarchief.nl/collectie/D53AB4D224466DEDE0538F04000A9860","De Prinsche Laan Rob Herber en Jan van den Heuvel 105-115 2021")</f>
        <v>0</v>
      </c>
      <c r="D1325" s="1">
        <f>hyperlink("http://dspace.library.uu.nl/handle/1874/213074","Van huis en haard verdreven Jaap van der Woude 105-110 1984")</f>
        <v>0</v>
      </c>
    </row>
    <row r="1326" spans="2:4">
      <c r="B1326">
        <v>70</v>
      </c>
      <c r="C1326" s="1">
        <f>hyperlink("https://hetutrechtsarchief.nl/collectie/4EA590BC6B985ECDB9B96D73295783F7","Smederijen in Eemnes Henk van Hees 28-41 2001")</f>
        <v>0</v>
      </c>
      <c r="D1326" s="1">
        <f>hyperlink("http://dspace.library.uu.nl/handle/1874/213075","De eendenkooi van Eemnes Henk van Hees 82-84 1984")</f>
        <v>0</v>
      </c>
    </row>
    <row r="1327" spans="2:4">
      <c r="B1327">
        <v>54</v>
      </c>
      <c r="C1327" s="1">
        <f>hyperlink("https://hetutrechtsarchief.nl/collectie/C41C4FCB325D5F3C99C8017FBCB7F617","Een schoolmeestersaanstelling in 1631 P H Damst 29-30 1966")</f>
        <v>0</v>
      </c>
      <c r="D1327" s="1">
        <f>hyperlink("http://dspace.library.uu.nl/handle/1874/213076","De schoolmeester Jan Vos Wim Fecken 90-95 jg 8 1986 p 132-140 1984-1986")</f>
        <v>0</v>
      </c>
    </row>
    <row r="1328" spans="2:4">
      <c r="B1328">
        <v>57</v>
      </c>
      <c r="C1328" s="1">
        <f>hyperlink("https://hetutrechtsarchief.nl/collectie/D52B86F9EC245ACF99DA9A0D571D7D3C","De Rhenense ondergrondse Ton van Drunen 26-36 ill 1999")</f>
        <v>0</v>
      </c>
      <c r="D1328" s="1">
        <f>hyperlink("http://dspace.library.uu.nl/handle/1874/213077","Krijgsgevangen of bij de ondergrondse Jaap van der Woude 29-107 1985")</f>
        <v>0</v>
      </c>
    </row>
    <row r="1329" spans="2:4">
      <c r="B1329">
        <v>63</v>
      </c>
      <c r="C1329" s="1">
        <f>hyperlink("https://hetutrechtsarchief.nl/collectie/6D402123845E53409BDE212DDD57D91B","Het levensverhaal van de Vaart in Eemnes Henk van Hees 17-18 1999")</f>
        <v>0</v>
      </c>
      <c r="D1329" s="1">
        <f>hyperlink("http://dspace.library.uu.nl/handle/1874/213078","Het Eemnesser wapen verborgen in een Amsterdamse tuin Henk van Hees 149-151 1985")</f>
        <v>0</v>
      </c>
    </row>
    <row r="1330" spans="2:4">
      <c r="B1330">
        <v>61</v>
      </c>
      <c r="C1330" s="1">
        <f>hyperlink("https://hetutrechtsarchief.nl/collectie/C638A6F2BA4E5544819C99C22348CD25","Vaccinatie in de 19e eeuw in de provincie Utrecht Ton Meijs 22-32 1985")</f>
        <v>0</v>
      </c>
      <c r="D1330" s="1">
        <f>hyperlink("http://dspace.library.uu.nl/handle/1874/213079","Concept plan tot de generale wapening van de provincie Utrecht Wiebe van IJken 152-157 1985")</f>
        <v>0</v>
      </c>
    </row>
    <row r="1331" spans="2:4">
      <c r="B1331">
        <v>57</v>
      </c>
      <c r="C1331" s="1">
        <f>hyperlink("https://hetutrechtsarchief.nl/collectie/C63BF8A9CEE857A2943736F29C39DB7A","Lintjes knippen is maar een tiende van mijn werk 12-14 portr 1984")</f>
        <v>0</v>
      </c>
      <c r="D1331" s="1">
        <f>hyperlink("http://dspace.library.uu.nl/handle/1874/213080","Ik heb niets om aan te trekken Bertie van Wijk 34-35 1984")</f>
        <v>0</v>
      </c>
    </row>
    <row r="1332" spans="2:4">
      <c r="B1332">
        <v>73</v>
      </c>
      <c r="C1332" s="1">
        <f>hyperlink("https://hetutrechtsarchief.nl/collectie/68EE1EBEFFAF4C7AE0534701000A7881","Eemnesser Merklappen deel 5 Henk van Hees 25-31 2018")</f>
        <v>0</v>
      </c>
      <c r="D1332" s="1">
        <f>hyperlink("http://dspace.library.uu.nl/handle/1874/213081","Eemnesser emancipatie in de 17e eeuw Henk van Hees 30-31 1984")</f>
        <v>0</v>
      </c>
    </row>
    <row r="1333" spans="2:4">
      <c r="B1333">
        <v>60</v>
      </c>
      <c r="C1333" s="1">
        <f>hyperlink("https://hetutrechtsarchief.nl/collectie/74F3303D4FA6561DA4C118282005C201","Opgravingen in De Meern Clasina Isings en Cor A Kalee 35-39 1988")</f>
        <v>0</v>
      </c>
      <c r="D1333" s="1">
        <f>hyperlink("http://dspace.library.uu.nl/handle/1874/213082","Opgraving aan de Meentweg Livia Lankreijer 25-27 1984")</f>
        <v>0</v>
      </c>
    </row>
    <row r="1334" spans="2:4">
      <c r="B1334">
        <v>57</v>
      </c>
      <c r="C1334" s="1">
        <f>hyperlink("https://hetutrechtsarchief.nl/collectie/C80D12FFB4C75F1C8400D133D5CF4998","Pater Emidius Hilhorst op de scheurkalender Henk van Hees 48-49 2011")</f>
        <v>0</v>
      </c>
      <c r="D1334" s="1">
        <f>hyperlink("http://dspace.library.uu.nl/handle/1874/213083","Kee Hilhorst enthousiast gehuldigd Henk van Hees 22-24 nr 2 p 31-33 1984")</f>
        <v>0</v>
      </c>
    </row>
    <row r="1335" spans="2:4">
      <c r="B1335">
        <v>55</v>
      </c>
      <c r="C1335" s="1">
        <f>hyperlink("https://hetutrechtsarchief.nl/collectie/609C5C9B9E7F4642E0534701000A17FD","De molen en de molenaars Amerongen gezien door Henk van Lienden Henk van Lienden 18 2017")</f>
        <v>0</v>
      </c>
      <c r="D1335" s="1">
        <f>hyperlink("http://dspace.library.uu.nl/handle/1874/213084","De brand in de kerk van Eemnes-Binnen genoteerd door Wiebe van IJken Wiebe van Bruchem G D van Horst H IJken 108-109 1983")</f>
        <v>0</v>
      </c>
    </row>
    <row r="1336" spans="2:4">
      <c r="B1336">
        <v>67</v>
      </c>
      <c r="C1336" s="1">
        <f>hyperlink("https://hetutrechtsarchief.nl/collectie/6D402123845E53409BDE212DDD57D91B","Het levensverhaal van de Vaart in Eemnes Henk van Hees 17-18 1999")</f>
        <v>0</v>
      </c>
      <c r="D1336" s="1">
        <f>hyperlink("http://dspace.library.uu.nl/handle/1874/213085","Het geslacht Hilhorst in Eemnes Henk van Hees 9-22 1984")</f>
        <v>0</v>
      </c>
    </row>
    <row r="1337" spans="2:4">
      <c r="B1337">
        <v>54</v>
      </c>
      <c r="C1337" s="1">
        <f>hyperlink("https://hetutrechtsarchief.nl/collectie/5DD7FC9A6C87561488BDFF5F1BFD2823","Vinkeveen een gemeente in opbouw 2 Peter van Golen 164-168 2014")</f>
        <v>0</v>
      </c>
      <c r="D1337" s="1">
        <f>hyperlink("http://dspace.library.uu.nl/handle/1874/213086","Toevalstreffer een ge migreerde dominee Jan Out 6-8 1984")</f>
        <v>0</v>
      </c>
    </row>
    <row r="1338" spans="2:4">
      <c r="B1338">
        <v>62</v>
      </c>
      <c r="C1338" s="1">
        <f>hyperlink("https://hetutrechtsarchief.nl/collectie/21BC4804E50C5D2BBEC0FE4CABBB7E8A","Heeren en Vrouwen van Eemnes Jan Out 100-101 2006")</f>
        <v>0</v>
      </c>
      <c r="D1338" s="1">
        <f>hyperlink("http://dspace.library.uu.nl/handle/1874/213087","Het gemeentekaartje van Eemnes Jan Out 2-5 1984")</f>
        <v>0</v>
      </c>
    </row>
    <row r="1339" spans="2:4">
      <c r="B1339">
        <v>64</v>
      </c>
      <c r="C1339" s="1">
        <f>hyperlink("https://hetutrechtsarchief.nl/collectie/7982DE9DD5B90FC1E0534701000AB3D0","Belgische vluchtelingen in Eemnes in de periode 1914-1918 Henk van Hees 167-172 2018")</f>
        <v>0</v>
      </c>
      <c r="D1339" s="1">
        <f>hyperlink("http://dspace.library.uu.nl/handle/1874/213088","Globaal overzicht van de Zouaven-activiteiten in de periode 1861-1870 Henk van Hees 16-28 1985")</f>
        <v>0</v>
      </c>
    </row>
    <row r="1340" spans="2:4">
      <c r="B1340">
        <v>59</v>
      </c>
      <c r="C1340" s="1">
        <f>hyperlink("https://hetutrechtsarchief.nl/collectie/944FF27E683741AFE0534701000A07C3","Kleermakers in Eemnes door de eeuwen heen deel 2 Henk van Hees 191-195 2019")</f>
        <v>0</v>
      </c>
      <c r="D1340" s="1">
        <f>hyperlink("http://dspace.library.uu.nl/handle/1874/213089","100 jaar geleden grote brand in Eemnes begonnen in het huidige caf Staal Henk van Hees 109-115 1985")</f>
        <v>0</v>
      </c>
    </row>
    <row r="1341" spans="2:4">
      <c r="B1341">
        <v>56</v>
      </c>
      <c r="C1341" s="1">
        <f>hyperlink("https://hetutrechtsarchief.nl/collectie/40061249BF345DA4BE80AF27F484410A","Wij geven hem een luie baker 115-116 ill 1980")</f>
        <v>0</v>
      </c>
      <c r="D1341" s="1">
        <f>hyperlink("http://dspace.library.uu.nl/handle/1874/213090","Meentweg 45 Livia Lankreijer 115-119 1985")</f>
        <v>0</v>
      </c>
    </row>
    <row r="1342" spans="2:4">
      <c r="B1342">
        <v>58</v>
      </c>
      <c r="C1342" s="1">
        <f>hyperlink("https://hetutrechtsarchief.nl/collectie/42DBDEB73C2F5530B71D370C698264DF","Uit de oude doos sanering van Wijk C nadert voltooing 17 ill 1995")</f>
        <v>0</v>
      </c>
      <c r="D1342" s="1">
        <f>hyperlink("http://dspace.library.uu.nl/handle/1874/213091","Raadsbesluiten uit de oude doos Bertie van Wijk 5-6 nr 3 p 56-57 1984")</f>
        <v>0</v>
      </c>
    </row>
    <row r="1343" spans="2:4">
      <c r="B1343">
        <v>58</v>
      </c>
      <c r="C1343" s="1">
        <f>hyperlink("https://hetutrechtsarchief.nl/collectie/4259E663CA495FBAB2DD4BE10CEF23FD","De veilingman Jaap van Peperstraten 52 1984")</f>
        <v>0</v>
      </c>
      <c r="D1343" s="1">
        <f>hyperlink("http://dspace.library.uu.nl/handle/1874/213092","De Helling W van IJken 84-89 1984")</f>
        <v>0</v>
      </c>
    </row>
    <row r="1344" spans="2:4">
      <c r="B1344">
        <v>58</v>
      </c>
      <c r="C1344" s="1">
        <f>hyperlink("https://hetutrechtsarchief.nl/collectie/6381C7600D022AFBE0534701000A44F3","Herinneringen aan de Tweede Wereldoorlog Anton Roest 29-36 2017")</f>
        <v>0</v>
      </c>
      <c r="D1344" s="1">
        <f>hyperlink("http://dspace.library.uu.nl/handle/1874/213093","Het Vrijheidsmonument Werkgroep Tweede Wereldoorlog 61-64 1986")</f>
        <v>0</v>
      </c>
    </row>
    <row r="1345" spans="2:4">
      <c r="B1345">
        <v>53</v>
      </c>
      <c r="C1345" s="1">
        <f>hyperlink("https://hetutrechtsarchief.nl/collectie/9DB1B12EFB1F50AF938E4DC68886143C","Interview met R van Bruggen directeur van de Dienst Algemene Begraafplaatsen Cees van Dijk en J N van der Meulen 1-4 1983")</f>
        <v>0</v>
      </c>
      <c r="D1345" s="1">
        <f>hyperlink("http://dspace.library.uu.nl/handle/1874/213169","De oudste grafstenen op de Algemene Begraafplaats te Eemnes Wiebe van IJken 142-157 jg 9 1987 nr 2 p 42-47 jg 15 1993 nr 1 p 22-46 1986-1993")</f>
        <v>0</v>
      </c>
    </row>
    <row r="1346" spans="2:4">
      <c r="B1346">
        <v>61</v>
      </c>
      <c r="C1346" s="1">
        <f>hyperlink("https://hetutrechtsarchief.nl/collectie/CB3EB7298DB758CCA7A13D1028201B3A","Gein en wee in het oude Wijk C Jan van der Molen 11-13 1986")</f>
        <v>0</v>
      </c>
      <c r="D1346" s="1">
        <f>hyperlink("http://dspace.library.uu.nl/handle/1874/213170","Een van de onderduikers in Eemnes Jaap van der Woude 111-113 1987")</f>
        <v>0</v>
      </c>
    </row>
    <row r="1347" spans="2:4">
      <c r="B1347">
        <v>56</v>
      </c>
      <c r="C1347" s="1">
        <f>hyperlink("https://hetutrechtsarchief.nl/collectie/B67DFF7C23575406A8CE6C646526C78F","Bunschoter verzet tijdens de Tweede Wereldoorlog Derk de Graaf 6-16 2017")</f>
        <v>0</v>
      </c>
      <c r="D1347" s="1">
        <f>hyperlink("http://dspace.library.uu.nl/handle/1874/213171","De sokkel voor het Vrijheidsmonument Werkgroep Tweede Wereldoorlog 123-126 1986")</f>
        <v>0</v>
      </c>
    </row>
    <row r="1348" spans="2:4">
      <c r="B1348">
        <v>71</v>
      </c>
      <c r="C1348" s="1">
        <f>hyperlink("https://hetutrechtsarchief.nl/collectie/0DFDA0830BA85E0A91A1344A5ABDDC9F","75 Jaar KPJ-Eemnes Henk van Hees 117-139 2008")</f>
        <v>0</v>
      </c>
      <c r="D1348" s="1">
        <f>hyperlink("http://dspace.library.uu.nl/handle/1874/213172","Loflied op Eemnes Henk van Hees 127 1986")</f>
        <v>0</v>
      </c>
    </row>
    <row r="1349" spans="2:4">
      <c r="B1349">
        <v>56</v>
      </c>
      <c r="C1349" s="1">
        <f>hyperlink("https://hetutrechtsarchief.nl/collectie/4EE8767A87BD5B30B6FC7B28B83719CD","Werkplan aan de slag Ad Tourn 4-5 22 1986")</f>
        <v>0</v>
      </c>
      <c r="D1349" s="1">
        <f>hyperlink("http://dspace.library.uu.nl/handle/1874/213173","Merkwaardigheden 2 De plank Jan Out 141 1986")</f>
        <v>0</v>
      </c>
    </row>
    <row r="1350" spans="2:4">
      <c r="B1350">
        <v>64</v>
      </c>
      <c r="C1350" s="1">
        <f>hyperlink("https://hetutrechtsarchief.nl/collectie/79A9AB94D9C65DC7AFC75618600946CD","Het topje van de ijsberg 16-18 1985")</f>
        <v>0</v>
      </c>
      <c r="D1350" s="1">
        <f>hyperlink("http://dspace.library.uu.nl/handle/1874/213174","Het grootje van Eemnes E J Potgieter 167-168 1986")</f>
        <v>0</v>
      </c>
    </row>
    <row r="1351" spans="2:4">
      <c r="B1351">
        <v>59</v>
      </c>
      <c r="C1351" s="1">
        <f>hyperlink("https://hetutrechtsarchief.nl/collectie/E41191E509575093AD3D928DFD92D225","Bij het ambtsjubileum van de burgemeester J C Janssen 2-4 portr 1961")</f>
        <v>0</v>
      </c>
      <c r="D1351" s="1">
        <f>hyperlink("http://dspace.library.uu.nl/handle/1874/213175","Feestlied bij het 25-jarig ambtsjubileum van burgemeester Rutgers van Rozenburg Henk van Hees 3-4 1987")</f>
        <v>0</v>
      </c>
    </row>
    <row r="1352" spans="2:4">
      <c r="B1352">
        <v>57</v>
      </c>
      <c r="C1352" s="1">
        <f>hyperlink("https://hetutrechtsarchief.nl/collectie/F71207AAF1205324A978D7117C3768FD","Merkwaardige besluiten van Utrecht K D Koning 52-54 1940")</f>
        <v>0</v>
      </c>
      <c r="D1352" s="1">
        <f>hyperlink("http://dspace.library.uu.nl/handle/1874/213176","Merkwaardigheden 3 Uurwerken Jan Out 5 1987")</f>
        <v>0</v>
      </c>
    </row>
    <row r="1353" spans="2:4">
      <c r="B1353">
        <v>73</v>
      </c>
      <c r="C1353" s="1">
        <f>hyperlink("https://hetutrechtsarchief.nl/collectie/AF3A0D08D66756358708E12B162E4D3C","Korte geschiedenis van het geslacht Riggeling in Eemnes Henk van Hees 160-178 1999")</f>
        <v>0</v>
      </c>
      <c r="D1353" s="1">
        <f>hyperlink("http://dspace.library.uu.nl/handle/1874/213177","Korte geschiedenis van het geslacht Stoutenburg Ria Hees Henk van Stoutenburg-Vos 9-31 1987")</f>
        <v>0</v>
      </c>
    </row>
    <row r="1354" spans="2:4">
      <c r="B1354">
        <v>64</v>
      </c>
      <c r="C1354" s="1">
        <f>hyperlink("https://hetutrechtsarchief.nl/collectie/69FAC87CFE0C5F7D9577B7EE36013392","De ramp Wim Fecken 40-43 2003")</f>
        <v>0</v>
      </c>
      <c r="D1354" s="1">
        <f>hyperlink("http://dspace.library.uu.nl/handle/1874/213178","Honds Wim Fecken 40-42 1987")</f>
        <v>0</v>
      </c>
    </row>
    <row r="1355" spans="2:4">
      <c r="B1355">
        <v>57</v>
      </c>
      <c r="C1355" s="1">
        <f>hyperlink("https://hetutrechtsarchief.nl/collectie/75596AA4C1BB5AA1A86439B95EAAB07E","Bij het afscheid van Mr J W Puttenstein 2-12 ill portr 1980")</f>
        <v>0</v>
      </c>
      <c r="D1355" s="1">
        <f>hyperlink("http://dspace.library.uu.nl/handle/1874/213179","Lied bij het afscheid van ds J C G Gobius du Sart 1891-1897 Jan Out 48-50 1987")</f>
        <v>0</v>
      </c>
    </row>
    <row r="1356" spans="2:4">
      <c r="B1356">
        <v>61</v>
      </c>
      <c r="C1356" s="1">
        <f>hyperlink("https://hetutrechtsarchief.nl/collectie/C6A940EE843B5DF3A60A271721B1482D","Smedenfamilies in Eemnes Henk van Hees 42-68 2001")</f>
        <v>0</v>
      </c>
      <c r="D1356" s="1">
        <f>hyperlink("http://dspace.library.uu.nl/handle/1874/213180","Een familie Hagen in Eemnes Bertie van Wijk-Blom 52-69 1987")</f>
        <v>0</v>
      </c>
    </row>
    <row r="1357" spans="2:4">
      <c r="B1357">
        <v>65</v>
      </c>
      <c r="C1357" s="1">
        <f>hyperlink("https://hetutrechtsarchief.nl/collectie/F5408E83CA1D5224829E4056E7C31829","Korte geschiedenis van de oudste familie Van den Berg in Eemnes Henk van Hees 219-242 1999")</f>
        <v>0</v>
      </c>
      <c r="D1357" s="1">
        <f>hyperlink("http://dspace.library.uu.nl/handle/1874/213181","Korte geschiedenis van de Eemnesser familie Wortel en de daarbij behorende Larense voorouders Henk van Wortel Toon Hees 92-109 1987")</f>
        <v>0</v>
      </c>
    </row>
    <row r="1358" spans="2:4">
      <c r="B1358">
        <v>51</v>
      </c>
      <c r="C1358" s="1">
        <f>hyperlink("https://hetutrechtsarchief.nl/collectie/B0BE0E09FDF1512D9DA7D8F6FD3AF484","Levensschets van Mr Gerardus Dornseiffen - G 131-139 1859")</f>
        <v>0</v>
      </c>
      <c r="D1358" s="1">
        <f>hyperlink("http://dspace.library.uu.nl/handle/1874/213203","Eemnes gedurende de Franse tijd Wim Fecken 129-131 jg 10 1988 p 134-139 1987-1988")</f>
        <v>0</v>
      </c>
    </row>
    <row r="1359" spans="2:4">
      <c r="B1359">
        <v>51</v>
      </c>
      <c r="C1359" s="1">
        <f>hyperlink("https://hetutrechtsarchief.nl/collectie/7AD9F1E1292D50C793E03C5DC1E9A7F5","Omstandig verhaal van den inval der Pruisische Troepen in ons land in de maand September van den jare 1787 C W Maan 19-54 ill 1971")</f>
        <v>0</v>
      </c>
      <c r="D1359" s="1">
        <f>hyperlink("http://dspace.library.uu.nl/handle/1874/213204","Historisch verhaal der overstroomingen in de Nederlanden byzonder op den 14 en 15 van slagtmaand des jaars 1775 voorgevallen Wiebe van IJken 158-167 1987")</f>
        <v>0</v>
      </c>
    </row>
    <row r="1360" spans="2:4">
      <c r="B1360">
        <v>57</v>
      </c>
      <c r="C1360" s="1">
        <f>hyperlink("https://hetutrechtsarchief.nl/collectie/CC097323A16D528CA0CA4E1599C36494","De gulden keten - W M 411-412 1870")</f>
        <v>0</v>
      </c>
      <c r="D1360" s="1">
        <f>hyperlink("http://dspace.library.uu.nl/handle/1874/213205","De weegbrug van Eemnes Toon Wortel 119-126 1987")</f>
        <v>0</v>
      </c>
    </row>
    <row r="1361" spans="2:4">
      <c r="B1361">
        <v>64</v>
      </c>
      <c r="C1361" s="1">
        <f>hyperlink("https://hetutrechtsarchief.nl/collectie/944FF27E683441AFE0534701000A07C3","Eemnes en de Eerste Wereldoorlog deel 4 Wiebe van IJken 156-169 2019")</f>
        <v>0</v>
      </c>
      <c r="D1361" s="1">
        <f>hyperlink("http://dspace.library.uu.nl/handle/1874/213206","Eemnes op een kaart uit 1472 Wiebe van IJken 160-167 1988")</f>
        <v>0</v>
      </c>
    </row>
    <row r="1362" spans="2:4">
      <c r="B1362">
        <v>57</v>
      </c>
      <c r="C1362" s="1">
        <f>hyperlink("https://hetutrechtsarchief.nl/collectie/250F29C3A28251B2BF14B22664C779C2","Op zoek naar het Kerkenpad bij Eemnes-Binnen Rom van der Schaaf 5-11 2008")</f>
        <v>0</v>
      </c>
      <c r="D1362" s="1">
        <f>hyperlink("http://dspace.library.uu.nl/handle/1874/213207","Op zoek naar schatten nieuwe feiten over een oude kerk Jan Out 8-11 1989")</f>
        <v>0</v>
      </c>
    </row>
    <row r="1363" spans="2:4">
      <c r="B1363">
        <v>61</v>
      </c>
      <c r="C1363" s="1">
        <f>hyperlink("https://hetutrechtsarchief.nl/collectie/E45A8BCBFFA25C69995910457396BB0F","Een nasleep uit de Franse tijd T L Korporaal 57-62 ill 1998")</f>
        <v>0</v>
      </c>
      <c r="D1363" s="1">
        <f>hyperlink("http://dspace.library.uu.nl/handle/1874/213208","Eemnes in de Franse tijd Wim Fecken 17-21 1989")</f>
        <v>0</v>
      </c>
    </row>
    <row r="1364" spans="2:4">
      <c r="B1364">
        <v>67</v>
      </c>
      <c r="C1364" s="1">
        <f>hyperlink("https://hetutrechtsarchief.nl/collectie/92154EA6D8495E249E0D642E31C24A90","Klederdracht uit Gooi- en Eemland in Baarn Karin de Harder 14-16 2002")</f>
        <v>0</v>
      </c>
      <c r="D1364" s="1">
        <f>hyperlink("http://dspace.library.uu.nl/handle/1874/213209","De klederdracht van Gooi- en Eemland Livia Klap Alie Lankreijer 41-47 1989")</f>
        <v>0</v>
      </c>
    </row>
    <row r="1365" spans="2:4">
      <c r="B1365">
        <v>68</v>
      </c>
      <c r="C1365" s="1">
        <f>hyperlink("https://hetutrechtsarchief.nl/collectie/F5408E83CA1D5224829E4056E7C31829","Korte geschiedenis van de oudste familie Van den Berg in Eemnes Henk van Hees 219-242 1999")</f>
        <v>0</v>
      </c>
      <c r="D1365" s="1">
        <f>hyperlink("http://dspace.library.uu.nl/handle/1874/213211","Korte geschiedenis van de Eemnesser familie Mol Bertie van Hees Henk van Wijk-Blom 136-156 1987")</f>
        <v>0</v>
      </c>
    </row>
    <row r="1366" spans="2:4">
      <c r="B1366">
        <v>55</v>
      </c>
      <c r="C1366" s="1">
        <f>hyperlink("https://hetutrechtsarchief.nl/collectie/02CEDB7D1DCD531C9E58A3C13CD287DC","Hendrik komt er aan G van Baaren 31 1978")</f>
        <v>0</v>
      </c>
      <c r="D1366" s="1">
        <f>hyperlink("http://dspace.library.uu.nl/handle/1874/213212","Hendrikus G C A Zanoli 19-22 1988")</f>
        <v>0</v>
      </c>
    </row>
    <row r="1367" spans="2:4">
      <c r="B1367">
        <v>61</v>
      </c>
      <c r="C1367" s="1">
        <f>hyperlink("https://hetutrechtsarchief.nl/collectie/1F4165DE184359B1870CC2CF563150C5","Korte geschiedenis van het geslacht Jongerden in Eemnes en Huizen samengesteld door Henk van Hees en Bertie van Wijk-Blom 9-33 ill portr tab 1999")</f>
        <v>0</v>
      </c>
      <c r="D1367" s="1">
        <f>hyperlink("http://dspace.library.uu.nl/handle/1874/213213","Korte geschiedenis van het Eemnesser geslacht Hoogeboom een familie van bakkers en boeren Wim Hees Henk van Wijk-Blom Bertie van Hoogeboom 23-47 nr 2 p 64-66 1988")</f>
        <v>0</v>
      </c>
    </row>
    <row r="1368" spans="2:4">
      <c r="B1368">
        <v>64</v>
      </c>
      <c r="C1368" s="1">
        <f>hyperlink("https://hetutrechtsarchief.nl/collectie/ACAA9AFBA9295E5BA4FE8754B76F741F","Korte geschiedenis van een derde familie Hagen in Eemnes samengesteld door Henk van Hees en Bertie van Wijk-Blom 164-184 ill portr tab 1998")</f>
        <v>0</v>
      </c>
      <c r="D1368" s="1">
        <f>hyperlink("http://dspace.library.uu.nl/handle/1874/213214","Korte geschiedenis van de Eemnesser familie Bos die van oorsprong uit Huizen afkomstig is Bertie van Hees Henk van Wijk-Blom 68-84 1988")</f>
        <v>0</v>
      </c>
    </row>
    <row r="1369" spans="2:4">
      <c r="B1369">
        <v>53</v>
      </c>
      <c r="C1369" s="1">
        <f>hyperlink("https://hetutrechtsarchief.nl/collectie/0DFDA0830BA85E0A91A1344A5ABDDC9F","75 Jaar KPJ-Eemnes Henk van Hees 117-139 2008")</f>
        <v>0</v>
      </c>
      <c r="D1369" s="1">
        <f>hyperlink("http://dspace.library.uu.nl/handle/1874/213215","Kaascursus Eemnes Henk van Hees 59 nr 3 p 100-104 jg 11 1989 nr 1 p 4-7 1988")</f>
        <v>0</v>
      </c>
    </row>
    <row r="1370" spans="2:4">
      <c r="B1370">
        <v>63</v>
      </c>
      <c r="C1370" s="1">
        <f>hyperlink("https://hetutrechtsarchief.nl/collectie/B14FADE7C4AA5EAD8587A36406066483","Een tweede familie van t Klooster in Eemnes de schildersfamilie Henk van Hees en Bertie van Wijk-Blom 30-50 ill portr tab 1998")</f>
        <v>0</v>
      </c>
      <c r="D1370" s="1">
        <f>hyperlink("http://dspace.library.uu.nl/handle/1874/213216","Een tweede familie Hagen in Eemnes Bertie van Hees Henk van Wijk 104-117 1988")</f>
        <v>0</v>
      </c>
    </row>
    <row r="1371" spans="2:4">
      <c r="B1371">
        <v>56</v>
      </c>
      <c r="C1371" s="1">
        <f>hyperlink("https://hetutrechtsarchief.nl/collectie/D57591AB51613FC3E0538F04000AC8FF","Open Monumentendag Eemnes Jan Out 250-253 2021")</f>
        <v>0</v>
      </c>
      <c r="D1371" s="1">
        <f>hyperlink("http://dspace.library.uu.nl/handle/1874/213217","Zegel wapen gemeente Eemnes Jan Maris A J Out 121-123 nr 4 p 130 1988")</f>
        <v>0</v>
      </c>
    </row>
    <row r="1372" spans="2:4">
      <c r="B1372">
        <v>55</v>
      </c>
      <c r="C1372" s="1">
        <f>hyperlink("https://hetutrechtsarchief.nl/collectie/AB6D5DD1EABD548DA01DB48A9A1A4B89","Veearts Jan van Eijden een bekende Nederlander uit Eemnes Henk van Hees 219-224 2015")</f>
        <v>0</v>
      </c>
      <c r="D1372" s="1">
        <f>hyperlink("http://dspace.library.uu.nl/handle/1874/213218","21 februari 1949 40 jaar geleden sneuvelde De Eemnesser Lindeboom Henk van Hees 130-134 1988")</f>
        <v>0</v>
      </c>
    </row>
    <row r="1373" spans="2:4">
      <c r="B1373">
        <v>67</v>
      </c>
      <c r="C1373" s="1">
        <f>hyperlink("https://hetutrechtsarchief.nl/collectie/9207B5FC97065B639693957163BB8F84","Korte geschiedenis van het geslacht Hoofd in Eemnes Henk van Hees 163-180 2014")</f>
        <v>0</v>
      </c>
      <c r="D1373" s="1">
        <f>hyperlink("http://dspace.library.uu.nl/handle/1874/213219","Korte geschiedenis van het Eemnesser geslacht Van Essen Henk van Wijk-Blom Bertie van Hees 141-153 1988")</f>
        <v>0</v>
      </c>
    </row>
    <row r="1374" spans="2:4">
      <c r="B1374">
        <v>56</v>
      </c>
      <c r="C1374" s="1">
        <f>hyperlink("https://hetutrechtsarchief.nl/collectie/449030C8A9BB5C04AB7C3178DEF846FF","Oude Eemnesser Geitenfokvereniging Lang Gewenscht Henriet Liscaljet 70-78 1999")</f>
        <v>0</v>
      </c>
      <c r="D1374" s="1">
        <f>hyperlink("http://dspace.library.uu.nl/handle/1874/213220","Van boerderij tje tot t meest geliefde winkeltje van Eemnes Henri tte Liscaljet 153-157 1988")</f>
        <v>0</v>
      </c>
    </row>
    <row r="1375" spans="2:4">
      <c r="B1375">
        <v>64</v>
      </c>
      <c r="C1375" s="1">
        <f>hyperlink("https://hetutrechtsarchief.nl/collectie/946C8C43A64F5C64A7923F456E03B79A","Eene school met den Bijbel 3 Rob Haars 11-18 2002")</f>
        <v>0</v>
      </c>
      <c r="D1375" s="1">
        <f>hyperlink("http://dspace.library.uu.nl/handle/1874/213221","Groepsfoto school met den Bijbel Henk van Hees 11-13 1989")</f>
        <v>0</v>
      </c>
    </row>
    <row r="1376" spans="2:4">
      <c r="B1376">
        <v>50</v>
      </c>
      <c r="C1376" s="1">
        <f>hyperlink("https://hetutrechtsarchief.nl/collectie/077B8366ED6C5D0ABADB3F509172156B","Monumentenzorg in de provincie Utrecht in de jaren 1985-1988 R Apell 104-132 ill 1989")</f>
        <v>0</v>
      </c>
      <c r="D1376" s="1">
        <f>hyperlink("http://dspace.library.uu.nl/handle/1874/213222","Opvallende trouwerij in Eemnes Wim Fecken 95 jg 11 1989 nr 1 p 14-15 1988-1989")</f>
        <v>0</v>
      </c>
    </row>
    <row r="1377" spans="2:4">
      <c r="B1377">
        <v>73</v>
      </c>
      <c r="C1377" s="1">
        <f>hyperlink("https://hetutrechtsarchief.nl/collectie/F5408E83CA1D5224829E4056E7C31829","Korte geschiedenis van de oudste familie Van den Berg in Eemnes Henk van Hees 219-242 1999")</f>
        <v>0</v>
      </c>
      <c r="D1377" s="1">
        <f>hyperlink("http://dspace.library.uu.nl/handle/1874/213223","Korte geschiedenis van de familie Groen in Eemnes Harry van der Voort 21-36 1989")</f>
        <v>0</v>
      </c>
    </row>
    <row r="1378" spans="2:4">
      <c r="B1378">
        <v>59</v>
      </c>
      <c r="C1378" s="1">
        <f>hyperlink("https://hetutrechtsarchief.nl/collectie/449030C8A9BB5C04AB7C3178DEF846FF","Oude Eemnesser Geitenfokvereniging Lang Gewenscht Henriet Liscaljet 70-78 1999")</f>
        <v>0</v>
      </c>
      <c r="D1378" s="1">
        <f>hyperlink("http://dspace.library.uu.nl/handle/1874/213224","Oude Eemnesser winkeltjes Mevrouw P C Raven-van t Klooster vertelt Henri tte Liscaljet 36-40 1989")</f>
        <v>0</v>
      </c>
    </row>
    <row r="1379" spans="2:4">
      <c r="B1379">
        <v>62</v>
      </c>
      <c r="C1379" s="1">
        <f>hyperlink("https://hetutrechtsarchief.nl/collectie/449030C8A9BB5C04AB7C3178DEF846FF","Oude Eemnesser Geitenfokvereniging Lang Gewenscht Henriet Liscaljet 70-78 1999")</f>
        <v>0</v>
      </c>
      <c r="D1379" s="1">
        <f>hyperlink("http://dspace.library.uu.nl/handle/1874/213225","Oude Eemnesser winkeltjes De heer H C Eek vertelt Henri tte Liscajet 62-70 1989")</f>
        <v>0</v>
      </c>
    </row>
    <row r="1380" spans="2:4">
      <c r="B1380">
        <v>58</v>
      </c>
      <c r="C1380" s="1">
        <f>hyperlink("https://hetutrechtsarchief.nl/collectie/BAE931E07D9B8781E0538F04000AE77F","De polito van kleermaker Hendrik van Hees Henk van Hees 248-249 2020")</f>
        <v>0</v>
      </c>
      <c r="D1380" s="1">
        <f>hyperlink("http://dspace.library.uu.nl/handle/1874/213488","Landlust Wakkerendijk 90 Livia Hees Henk van Lankreijer 91-102 1989")</f>
        <v>0</v>
      </c>
    </row>
    <row r="1381" spans="2:4">
      <c r="B1381">
        <v>54</v>
      </c>
      <c r="C1381" s="1">
        <f>hyperlink("https://hetutrechtsarchief.nl/collectie/5BDC5B7D7EE657089FF6D8D09AD11BF0","De beide Eemnessen in 1811 naar n gemeente Jan Out 72-76 2011")</f>
        <v>0</v>
      </c>
      <c r="D1381" s="1">
        <f>hyperlink("http://dspace.library.uu.nl/handle/1874/213489","Hoe de Eemnessers aan hun wapen gekomen zijn Wim Gouw J E ter Fecken 156-158 1989")</f>
        <v>0</v>
      </c>
    </row>
    <row r="1382" spans="2:4">
      <c r="B1382">
        <v>55</v>
      </c>
      <c r="C1382" s="1">
        <f>hyperlink("https://hetutrechtsarchief.nl/collectie/F9345E91C1015945ADAADF0D498B3B86","De bouwmeester van het huis te Amerongen Aleid W van de Bunt 68-70 1952")</f>
        <v>0</v>
      </c>
      <c r="D1382" s="1">
        <f>hyperlink("http://dspace.library.uu.nl/handle/1874/213490","Eemlust opnieuw een stukje van het raadsel onthuld Jan Out 3-7 1991")</f>
        <v>0</v>
      </c>
    </row>
    <row r="1383" spans="2:4">
      <c r="B1383">
        <v>57</v>
      </c>
      <c r="C1383" s="1">
        <f>hyperlink("https://hetutrechtsarchief.nl/collectie/3125CB604AE15782BDCA3D06395C1C7F","Het Carmelieten-klooster te Utrecht C de Boer 72-105 1912")</f>
        <v>0</v>
      </c>
      <c r="D1383" s="1">
        <f>hyperlink("http://dspace.library.uu.nl/handle/1874/213491","Het waarom van een klederdracht Livia Lankreijer 7-10 1991")</f>
        <v>0</v>
      </c>
    </row>
    <row r="1384" spans="2:4">
      <c r="B1384">
        <v>53</v>
      </c>
      <c r="C1384" s="1">
        <f>hyperlink("https://hetutrechtsarchief.nl/collectie/58D8D633A44D578B8F669B1A3A15A493","Alfons Damen kerkelijk kunstschilder 1882-1967 het resultaat van een speurtocht Jan Out 123-128 2013")</f>
        <v>0</v>
      </c>
      <c r="D1384" s="1">
        <f>hyperlink("http://dspace.library.uu.nl/handle/1874/213492","Willem van Radelant 1538-1612 een vooraanstaand Eemnesser Jan Out 13-17 1991")</f>
        <v>0</v>
      </c>
    </row>
    <row r="1385" spans="2:4">
      <c r="B1385">
        <v>58</v>
      </c>
      <c r="C1385" s="1">
        <f>hyperlink("https://hetutrechtsarchief.nl/collectie/21BC4804E50C5D2BBEC0FE4CABBB7E8A","Heeren en Vrouwen van Eemnes Jan Out 100-101 2006")</f>
        <v>0</v>
      </c>
      <c r="D1385" s="1">
        <f>hyperlink("http://dspace.library.uu.nl/handle/1874/213493","De relikwie n van de H Nicolaasparochie van Eemnes Jan Out 9-15 1990")</f>
        <v>0</v>
      </c>
    </row>
    <row r="1386" spans="2:4">
      <c r="B1386">
        <v>63</v>
      </c>
      <c r="C1386" s="1">
        <f>hyperlink("https://hetutrechtsarchief.nl/collectie/FF2570A1C87F5FBD9FC57A5D771E8C80","Eemnesser Koeien Trofee 1999 157-160 1999")</f>
        <v>0</v>
      </c>
      <c r="D1386" s="1">
        <f>hyperlink("http://dspace.library.uu.nl/handle/1874/213494","Eemnesser Klopjes Jan Out 111-113 1990")</f>
        <v>0</v>
      </c>
    </row>
    <row r="1387" spans="2:4">
      <c r="B1387">
        <v>53</v>
      </c>
      <c r="C1387" s="1">
        <f>hyperlink("https://hetutrechtsarchief.nl/collectie/A0507958EE8F521CACDA3471FAFD9F0E","De Berekuil een echte uitdaging Kaat Smulders 6-8 1999")</f>
        <v>0</v>
      </c>
      <c r="D1387" s="1">
        <f>hyperlink("http://dspace.library.uu.nl/handle/1874/213495","Aardewerk uit een Eemnesser huishouding Thomas J Cleij 172-179 1990")</f>
        <v>0</v>
      </c>
    </row>
    <row r="1388" spans="2:4">
      <c r="B1388">
        <v>70</v>
      </c>
      <c r="C1388" s="1">
        <f>hyperlink("https://hetutrechtsarchief.nl/collectie/F5408E83CA1D5224829E4056E7C31829","Korte geschiedenis van de oudste familie Van den Berg in Eemnes Henk van Hees 219-242 1999")</f>
        <v>0</v>
      </c>
      <c r="D1388" s="1">
        <f>hyperlink("http://dspace.library.uu.nl/handle/1874/213496","Beknopte geschiedenis van de familie Perier in Eemnes Henk van Wijk-Blom Bertie van Hees 74-95 1990")</f>
        <v>0</v>
      </c>
    </row>
    <row r="1389" spans="2:4">
      <c r="B1389">
        <v>64</v>
      </c>
      <c r="C1389" s="1">
        <f>hyperlink("https://hetutrechtsarchief.nl/collectie/E68775B074545C6A9F11ED1ABEA5297A","De familie De Ruijter van de Baarnse muisjesfabriek oorspronkelijk afkomstig uit Eemnes Henk van Hees 13-23 2008")</f>
        <v>0</v>
      </c>
      <c r="D1389" s="1">
        <f>hyperlink("http://dspace.library.uu.nl/handle/1874/213497","De familie Perier II boekhandelaren uit Parijs met nakomelingen in Eemnes Henk van Hees 186-207 1990")</f>
        <v>0</v>
      </c>
    </row>
    <row r="1390" spans="2:4">
      <c r="B1390">
        <v>66</v>
      </c>
      <c r="C1390" s="1">
        <f>hyperlink("https://hetutrechtsarchief.nl/collectie/5AF8486203125916B9145A36BE7FBA15","Oude Eemnesser Henriet Liscaljet 152-159 ill 1998")</f>
        <v>0</v>
      </c>
      <c r="D1390" s="1">
        <f>hyperlink("http://dspace.library.uu.nl/handle/1874/213498","Oude Eemnesser winkeltjes bakker Bart Post Henri t Liscaljet 125-131 1990")</f>
        <v>0</v>
      </c>
    </row>
    <row r="1391" spans="2:4">
      <c r="B1391">
        <v>62</v>
      </c>
      <c r="C1391" s="1">
        <f>hyperlink("https://hetutrechtsarchief.nl/collectie/1D3B89F3E028590FB6D23135B27E8339","De Spaanse Griep in Eemnes Wiebe van IJken 148-160 2013")</f>
        <v>0</v>
      </c>
      <c r="D1391" s="1">
        <f>hyperlink("http://dspace.library.uu.nl/handle/1874/213499","Het geslacht Van IJken een schippersfamilie in Eemnes Wiebe van IJken 70-91 1989")</f>
        <v>0</v>
      </c>
    </row>
    <row r="1392" spans="2:4">
      <c r="B1392">
        <v>58</v>
      </c>
      <c r="C1392" s="1">
        <f>hyperlink("https://hetutrechtsarchief.nl/collectie/D18BA1BFA9D85114B3015E29DDCFD63B","De stamboom van de muizenfamilie De Ruijter Henk van Hees 19-23 2008")</f>
        <v>0</v>
      </c>
      <c r="D1392" s="1">
        <f>hyperlink("http://dspace.library.uu.nl/handle/1874/213500","Waardevolle foto s voor de H K E de familie De Bruin op huize Ruimzicht Henk van Hees 109-115 1989")</f>
        <v>0</v>
      </c>
    </row>
    <row r="1393" spans="2:4">
      <c r="B1393">
        <v>58</v>
      </c>
      <c r="C1393" s="1">
        <f>hyperlink("https://hetutrechtsarchief.nl/collectie/449030C8A9BB5C04AB7C3178DEF846FF","Oude Eemnesser Geitenfokvereniging Lang Gewenscht Henriet Liscaljet 70-78 1999")</f>
        <v>0</v>
      </c>
      <c r="D1393" s="1">
        <f>hyperlink("http://dspace.library.uu.nl/handle/1874/213501","Eemnesser oude winkeltjes de kruidenierswinkel van Elders H Liscaljet 116-124 1989")</f>
        <v>0</v>
      </c>
    </row>
    <row r="1394" spans="2:4">
      <c r="B1394">
        <v>67</v>
      </c>
      <c r="C1394" s="1">
        <f>hyperlink("https://hetutrechtsarchief.nl/collectie/F5408E83CA1D5224829E4056E7C31829","Korte geschiedenis van de oudste familie Van den Berg in Eemnes Henk van Hees 219-242 1999")</f>
        <v>0</v>
      </c>
      <c r="D1394" s="1">
        <f>hyperlink("http://dspace.library.uu.nl/handle/1874/213502","Beknopte geschiedenis van de familie Elders in Eemnes B van Boer G L de Wijk-Blom 124-146 1989")</f>
        <v>0</v>
      </c>
    </row>
    <row r="1395" spans="2:4">
      <c r="B1395">
        <v>64</v>
      </c>
      <c r="C1395" s="1">
        <f>hyperlink("https://hetutrechtsarchief.nl/collectie/449030C8A9BB5C04AB7C3178DEF846FF","Oude Eemnesser Geitenfokvereniging Lang Gewenscht Henriet Liscaljet 70-78 1999")</f>
        <v>0</v>
      </c>
      <c r="D1395" s="1">
        <f>hyperlink("http://dspace.library.uu.nl/handle/1874/213503","Oude Eemnesser winkeltjes het winkeltje van Soek Henri t Liscaljet 158-164 1989")</f>
        <v>0</v>
      </c>
    </row>
    <row r="1396" spans="2:4">
      <c r="B1396">
        <v>58</v>
      </c>
      <c r="C1396" s="1">
        <f>hyperlink("https://hetutrechtsarchief.nl/collectie/92E99CA51A7E5F3883F4992BE04F1F74","Belangrijke restauratie A N L Otten 53-55 1950")</f>
        <v>0</v>
      </c>
      <c r="D1396" s="1">
        <f>hyperlink("http://dspace.library.uu.nl/handle/1874/213504","De Hannekemaaiers Jan Out 3-5 1990")</f>
        <v>0</v>
      </c>
    </row>
    <row r="1397" spans="2:4">
      <c r="B1397">
        <v>67</v>
      </c>
      <c r="C1397" s="1">
        <f>hyperlink("https://hetutrechtsarchief.nl/collectie/5AF8486203125916B9145A36BE7FBA15","Oude Eemnesser Henriet Liscaljet 152-159 ill 1998")</f>
        <v>0</v>
      </c>
      <c r="D1397" s="1">
        <f>hyperlink("http://dspace.library.uu.nl/handle/1874/213505","Oude Eemnesser winkeltjes dokter Smit Henri tte Liscaljet 15-22 1990")</f>
        <v>0</v>
      </c>
    </row>
    <row r="1398" spans="2:4">
      <c r="B1398">
        <v>71</v>
      </c>
      <c r="C1398" s="1">
        <f>hyperlink("https://hetutrechtsarchief.nl/collectie/962F8E03C73454038A01C050850A6C1B","Korte geschiedenis van het geslacht Van Isselt in Eemnes samengesteld door Henk van Hees en Bertie van Wijk-Blom 81-108 1999")</f>
        <v>0</v>
      </c>
      <c r="D1398" s="1">
        <f>hyperlink("http://dspace.library.uu.nl/handle/1874/213506","Korte geschiedenis van het geslacht Stalenhoef Bertie van Hees Henk van Wijk-Blom 22-49 1990")</f>
        <v>0</v>
      </c>
    </row>
    <row r="1399" spans="2:4">
      <c r="B1399">
        <v>60</v>
      </c>
      <c r="C1399" s="1">
        <f>hyperlink("https://hetutrechtsarchief.nl/collectie/E24560EA736D55EEA386CF7D3D9608CC","60 jaar stadsverwarming 5-6 1983")</f>
        <v>0</v>
      </c>
      <c r="D1399" s="1">
        <f>hyperlink("http://dspace.library.uu.nl/handle/1874/213507","400 jaar Eemnesser Vaart 57-60 1990")</f>
        <v>0</v>
      </c>
    </row>
    <row r="1400" spans="2:4">
      <c r="B1400">
        <v>58</v>
      </c>
      <c r="C1400" s="1">
        <f>hyperlink("https://hetutrechtsarchief.nl/collectie/449030C8A9BB5C04AB7C3178DEF846FF","Oude Eemnesser Geitenfokvereniging Lang Gewenscht Henriet Liscaljet 70-78 1999")</f>
        <v>0</v>
      </c>
      <c r="D1400" s="1">
        <f>hyperlink("http://dspace.library.uu.nl/handle/1874/213508","Oude Eemnesser winkeltjes wagenmaker Gerrit Elders H Grob-Elders W Liscaljet 95-106 1990")</f>
        <v>0</v>
      </c>
    </row>
    <row r="1401" spans="2:4">
      <c r="B1401">
        <v>61</v>
      </c>
      <c r="C1401" s="1">
        <f>hyperlink("https://hetutrechtsarchief.nl/collectie/018F80E3212658DE88B1EAD43195FFB7","Een diefstal in Eemnes Jan Out 157-161 2010")</f>
        <v>0</v>
      </c>
      <c r="D1401" s="1">
        <f>hyperlink("http://dspace.library.uu.nl/handle/1874/213509","Nieuwe hooiberg in Eemnes Frank Maas 115-118 1990")</f>
        <v>0</v>
      </c>
    </row>
    <row r="1402" spans="2:4">
      <c r="B1402">
        <v>55</v>
      </c>
      <c r="C1402" s="1">
        <f>hyperlink("https://hetutrechtsarchief.nl/collectie/61F3AB52DEB45FC0BFD9B9364DEE3C8E","De Leersumse Uilentoren Jan Meijer 18-20 2011")</f>
        <v>0</v>
      </c>
      <c r="D1402" s="1">
        <f>hyperlink("http://dspace.library.uu.nl/handle/1874/213510","Uit een Hilversumse dorpskroniek Jan Out 118-120 1990")</f>
        <v>0</v>
      </c>
    </row>
    <row r="1403" spans="2:4">
      <c r="B1403">
        <v>55</v>
      </c>
      <c r="C1403" s="1">
        <f>hyperlink("https://hetutrechtsarchief.nl/collectie/95D7A25616B75DDDB3304D0FC80D48B3","Afscheid van de oude gasfabriek J C Janssen 2-5 ill 1959")</f>
        <v>0</v>
      </c>
      <c r="D1403" s="1">
        <f>hyperlink("http://dspace.library.uu.nl/handle/1874/213511","Pastoor Scheerder en de Oud-Katholieken Jan Out 122-125 1990")</f>
        <v>0</v>
      </c>
    </row>
    <row r="1404" spans="2:4">
      <c r="B1404">
        <v>61</v>
      </c>
      <c r="C1404" s="1">
        <f>hyperlink("https://hetutrechtsarchief.nl/collectie/CB0654750E8D5EBCA67040E565D56A0E","Het geslacht Testas H H Ro ll 101-104 1900")</f>
        <v>0</v>
      </c>
      <c r="D1404" s="1">
        <f>hyperlink("http://dspace.library.uu.nl/handle/1874/213512","Het geslacht Fecken Wim Fecken 131-164 1990")</f>
        <v>0</v>
      </c>
    </row>
    <row r="1405" spans="2:4">
      <c r="B1405">
        <v>58</v>
      </c>
      <c r="C1405" s="1">
        <f>hyperlink("https://hetutrechtsarchief.nl/collectie/92AAA7306EF586D0E0534701000A1E21","Oorlogsherinneringen van en Renswoudenaar 1 Evert Jan Vermeulen 20-34 2019")</f>
        <v>0</v>
      </c>
      <c r="D1405" s="1">
        <f>hyperlink("http://dspace.library.uu.nl/handle/1874/213824","Jeugdherinneringen van Gerard van Stoutenburg geb 1907 Gerard van Stoutenburg 34-40 1991")</f>
        <v>0</v>
      </c>
    </row>
    <row r="1406" spans="2:4">
      <c r="B1406">
        <v>76</v>
      </c>
      <c r="C1406" s="1">
        <f>hyperlink("https://hetutrechtsarchief.nl/collectie/BAE931E07D9B8781E0538F04000AE77F","De polito van kleermaker Hendrik van Hees Henk van Hees 248-249 2020")</f>
        <v>0</v>
      </c>
      <c r="D1406" s="1">
        <f>hyperlink("http://dspace.library.uu.nl/handle/1874/213825","Kapper en kleermaker Hendrik van Hees Henk van Hees 117-129 1991")</f>
        <v>0</v>
      </c>
    </row>
    <row r="1407" spans="2:4">
      <c r="B1407">
        <v>60</v>
      </c>
      <c r="C1407" s="1">
        <f>hyperlink("https://hetutrechtsarchief.nl/collectie/69FAC87CFE0C5F7D9577B7EE36013392","De ramp Wim Fecken 40-43 2003")</f>
        <v>0</v>
      </c>
      <c r="D1407" s="1">
        <f>hyperlink("http://dspace.library.uu.nl/handle/1874/213826","De Franse tijd Wim Fecken 135-144 1991")</f>
        <v>0</v>
      </c>
    </row>
    <row r="1408" spans="2:4">
      <c r="B1408">
        <v>60</v>
      </c>
      <c r="C1408" s="1">
        <f>hyperlink("https://hetutrechtsarchief.nl/collectie/A78F2BF666C45A80E0534701000A6526","De kleding van Maria Kuijer Livia van Eijle 16-19 2020")</f>
        <v>0</v>
      </c>
      <c r="D1408" s="1">
        <f>hyperlink("http://dspace.library.uu.nl/handle/1874/213827","De kleding van Elbartje Blom Livia Eggenkamp Jos Lankreijer 162-164 1991")</f>
        <v>0</v>
      </c>
    </row>
    <row r="1409" spans="2:4">
      <c r="B1409">
        <v>62</v>
      </c>
      <c r="C1409" s="1">
        <f>hyperlink("https://hetutrechtsarchief.nl/collectie/0DFDA0830BA85E0A91A1344A5ABDDC9F","75 Jaar KPJ-Eemnes Henk van Hees 117-139 2008")</f>
        <v>0</v>
      </c>
      <c r="D1409" s="1">
        <f>hyperlink("http://dspace.library.uu.nl/handle/1874/213828","60 jaar De Witte Bergen Henk van Hees 51-63 1991")</f>
        <v>0</v>
      </c>
    </row>
    <row r="1410" spans="2:4">
      <c r="B1410">
        <v>63</v>
      </c>
      <c r="C1410" s="1">
        <f>hyperlink("https://hetutrechtsarchief.nl/collectie/F4AB428E1ED753A48B51CA2782939747","Symposium over middeleeuwse kerken J van Staveren 127-128 1978")</f>
        <v>0</v>
      </c>
      <c r="D1410" s="1">
        <f>hyperlink("http://dspace.library.uu.nl/handle/1874/213829","De Middeleeuwse banier van Eemnes C van Kalveen 97-102 1991")</f>
        <v>0</v>
      </c>
    </row>
    <row r="1411" spans="2:4">
      <c r="B1411">
        <v>54</v>
      </c>
      <c r="C1411" s="1">
        <f>hyperlink("https://hetutrechtsarchief.nl/collectie/CA8F77AE55F85D1A99E7DAE8C1C29624","Huur tot den eersten brande toe te Amersfoort W van Iterson 101-121 1951")</f>
        <v>0</v>
      </c>
      <c r="D1411" s="1">
        <f>hyperlink("http://dspace.library.uu.nl/handle/1874/213830","Hoe Barbara Otten weer boven water kwam Livia Hees Henk van Lankreijer 103-111 1991")</f>
        <v>0</v>
      </c>
    </row>
    <row r="1412" spans="2:4">
      <c r="B1412">
        <v>54</v>
      </c>
      <c r="C1412" s="1">
        <f>hyperlink("https://hetutrechtsarchief.nl/collectie/C227268CC5BD5816BB0F15F375B04297","De schuit gedicht Gerard van Klinkenberg 386 1981")</f>
        <v>0</v>
      </c>
      <c r="D1412" s="1">
        <f>hyperlink("http://dspace.library.uu.nl/handle/1874/213831","Over Cultuur in Eemnes Gerard van Stoutenburg 220-225 1991")</f>
        <v>0</v>
      </c>
    </row>
    <row r="1413" spans="2:4">
      <c r="B1413">
        <v>57</v>
      </c>
      <c r="C1413" s="1">
        <f>hyperlink("https://hetutrechtsarchief.nl/collectie/59DF373383635C658817C1E452070C02","Wakkerendijk 160 Evert van Andel 179-189 2007")</f>
        <v>0</v>
      </c>
      <c r="D1413" s="1">
        <f>hyperlink("http://dspace.library.uu.nl/handle/1874/213832","Wakkerendijk 194a de boerderij van Van Wegen Livia Lankreijer 5-11 1992")</f>
        <v>0</v>
      </c>
    </row>
    <row r="1414" spans="2:4">
      <c r="B1414">
        <v>76</v>
      </c>
      <c r="C1414" s="1">
        <f>hyperlink("https://hetutrechtsarchief.nl/collectie/5AF8486203125916B9145A36BE7FBA15","Oude Eemnesser Henriet Liscaljet 152-159 ill 1998")</f>
        <v>0</v>
      </c>
      <c r="D1414" s="1">
        <f>hyperlink("http://dspace.library.uu.nl/handle/1874/213833","Oude Eemnesser Paul Keet Henri t Liscaljet 11-20 1992")</f>
        <v>0</v>
      </c>
    </row>
    <row r="1415" spans="2:4">
      <c r="B1415">
        <v>54</v>
      </c>
      <c r="C1415" s="1">
        <f>hyperlink("https://hetutrechtsarchief.nl/collectie/ACF96E36E88A58C38ADEE03B01013F4B","De zaak van de stomme zonde Joop Frankenhuizen 22-26 ill 1999")</f>
        <v>0</v>
      </c>
      <c r="D1415" s="1">
        <f>hyperlink("http://dspace.library.uu.nl/handle/1874/213834","De staartkappen van de gezusters Stoutenburg Livia Eggenkamp Jos Lankreijer 22-24 1992")</f>
        <v>0</v>
      </c>
    </row>
    <row r="1416" spans="2:4">
      <c r="B1416">
        <v>69</v>
      </c>
      <c r="C1416" s="1">
        <f>hyperlink("https://hetutrechtsarchief.nl/collectie/C49CE696276B5C348A5514136017B402","Korte geschiedenis van het geslacht Harskamp Henk van Hees 24-38 2000")</f>
        <v>0</v>
      </c>
      <c r="D1416" s="1">
        <f>hyperlink("http://dspace.library.uu.nl/handle/1874/213835","De geschiedenis van het geslacht Kroeskamp Bertie van Hees Henk van Wijk-Blom 25-52 1992")</f>
        <v>0</v>
      </c>
    </row>
    <row r="1417" spans="2:4">
      <c r="B1417">
        <v>56</v>
      </c>
      <c r="C1417" s="1">
        <f>hyperlink("https://hetutrechtsarchief.nl/collectie/69F786002D8A59DEB8C7DD8B9FB33586","Het tegeltableau van de boerderij t Misverstand R van der Mark 38-40 1998")</f>
        <v>0</v>
      </c>
      <c r="D1417" s="1">
        <f>hyperlink("http://dspace.library.uu.nl/handle/1874/213836","Het Veurhuus van de boerderij Wakkerendijk 116 Henk van Stoutenburg Gerard van Hees 54-60 1992")</f>
        <v>0</v>
      </c>
    </row>
    <row r="1418" spans="2:4">
      <c r="B1418">
        <v>57</v>
      </c>
      <c r="C1418" s="1">
        <f>hyperlink("https://hetutrechtsarchief.nl/collectie/CD19060DD123573BA5AF39D3E4E00F34","Duitse families in Eemnes Henk van Hees 17-36 2015")</f>
        <v>0</v>
      </c>
      <c r="D1418" s="1">
        <f>hyperlink("http://dspace.library.uu.nl/handle/1874/213837","De Lindeboom Livia Hees Henk van Lankreijer 69-136 1992")</f>
        <v>0</v>
      </c>
    </row>
    <row r="1419" spans="2:4">
      <c r="B1419">
        <v>63</v>
      </c>
      <c r="C1419" s="1">
        <f>hyperlink("https://hetutrechtsarchief.nl/collectie/A78F2BF666C45A80E0534701000A6526","De kleding van Maria Kuijer Livia van Eijle 16-19 2020")</f>
        <v>0</v>
      </c>
      <c r="D1419" s="1">
        <f>hyperlink("http://dspace.library.uu.nl/handle/1874/213838","De kleding van Maria Perier-Ruizendaal Livia Eggendijk Jos Lankreijer 93-94 1992")</f>
        <v>0</v>
      </c>
    </row>
    <row r="1420" spans="2:4">
      <c r="B1420">
        <v>74</v>
      </c>
      <c r="C1420" s="1">
        <f>hyperlink("https://hetutrechtsarchief.nl/collectie/962F8E03C73454038A01C050850A6C1B","Korte geschiedenis van het geslacht Van Isselt in Eemnes samengesteld door Henk van Hees en Bertie van Wijk-Blom 81-108 1999")</f>
        <v>0</v>
      </c>
      <c r="D1420" s="1">
        <f>hyperlink("http://dspace.library.uu.nl/handle/1874/213839","Korte geschiedenis van het geslacht Van Beijeren Bertie van Hees Henk van Wijk-Blom 77-97 1991")</f>
        <v>0</v>
      </c>
    </row>
    <row r="1421" spans="2:4">
      <c r="B1421">
        <v>63</v>
      </c>
      <c r="C1421" s="1">
        <f>hyperlink("https://hetutrechtsarchief.nl/collectie/449030C8A9BB5C04AB7C3178DEF846FF","Oude Eemnesser Geitenfokvereniging Lang Gewenscht Henriet Liscaljet 70-78 1999")</f>
        <v>0</v>
      </c>
      <c r="D1421" s="1">
        <f>hyperlink("http://dspace.library.uu.nl/handle/1874/213840","Oude Eemnesser winkeltjes Hannes Wiggerts Henri t Liscaljet 17-19 nr 4 p 225-235 1991")</f>
        <v>0</v>
      </c>
    </row>
    <row r="1422" spans="2:4">
      <c r="B1422">
        <v>68</v>
      </c>
      <c r="C1422" s="1">
        <f>hyperlink("https://hetutrechtsarchief.nl/collectie/962F8E03C73454038A01C050850A6C1B","Korte geschiedenis van het geslacht Van Isselt in Eemnes samengesteld door Henk van Hees en Bertie van Wijk-Blom 81-108 1999")</f>
        <v>0</v>
      </c>
      <c r="D1422" s="1">
        <f>hyperlink("http://dspace.library.uu.nl/handle/1874/213841","Beknopte geschiedenis van het Eemnesser geslacht Snel Bertie van Hees Henk van Wijk-Blom 19-34 1991")</f>
        <v>0</v>
      </c>
    </row>
    <row r="1423" spans="2:4">
      <c r="B1423">
        <v>60</v>
      </c>
      <c r="C1423" s="1">
        <f>hyperlink("https://hetutrechtsarchief.nl/collectie/39D36BC785D059D980DC19CC4850BE62","Zeevliet E van Oosterom 71-74 1969")</f>
        <v>0</v>
      </c>
      <c r="D1423" s="1">
        <f>hyperlink("http://dspace.library.uu.nl/handle/1874/213842","Loflied op Eemnes A van Klooster 40-43 1991")</f>
        <v>0</v>
      </c>
    </row>
    <row r="1424" spans="2:4">
      <c r="B1424">
        <v>67</v>
      </c>
      <c r="C1424" s="1">
        <f>hyperlink("https://hetutrechtsarchief.nl/collectie/5AF8486203125916B9145A36BE7FBA15","Oude Eemnesser Henriet Liscaljet 152-159 ill 1998")</f>
        <v>0</v>
      </c>
      <c r="D1424" s="1">
        <f>hyperlink("http://dspace.library.uu.nl/handle/1874/213843","Oude Eemnesser postbode Kees Hensbergen Henri t Liscaljet 129-134 1991")</f>
        <v>0</v>
      </c>
    </row>
    <row r="1425" spans="2:4">
      <c r="B1425">
        <v>74</v>
      </c>
      <c r="C1425" s="1">
        <f>hyperlink("https://hetutrechtsarchief.nl/collectie/AF3A0D08D66756358708E12B162E4D3C","Korte geschiedenis van het geslacht Riggeling in Eemnes Henk van Hees 160-178 1999")</f>
        <v>0</v>
      </c>
      <c r="D1425" s="1">
        <f>hyperlink("http://dspace.library.uu.nl/handle/1874/213844","Korte geschiedenis van het geslacht Rozenberg Bertie van Hees Henk van Wijk-Blom 145-162 1991")</f>
        <v>0</v>
      </c>
    </row>
    <row r="1426" spans="2:4">
      <c r="B1426">
        <v>58</v>
      </c>
      <c r="C1426" s="1">
        <f>hyperlink("https://hetutrechtsarchief.nl/collectie/1784EC837B445DD79DCBF8BFCEBF71DB","De plek een altaarsteen in Woerden Nettie Stoppelenburg 114-115 ill 1997")</f>
        <v>0</v>
      </c>
      <c r="D1426" s="1">
        <f>hyperlink("http://dspace.library.uu.nl/handle/1874/213845","Scheeren en haarsnijden Gerard van Stoutenburg 164-167 1991")</f>
        <v>0</v>
      </c>
    </row>
    <row r="1427" spans="2:4">
      <c r="B1427">
        <v>60</v>
      </c>
      <c r="C1427" s="1">
        <f>hyperlink("https://hetutrechtsarchief.nl/collectie/56ED92FA6AA4509CB340C666792CF009","Belangrijk advies voor vrouwen en meisjes Cees van der Wens 16-19 2017")</f>
        <v>0</v>
      </c>
      <c r="D1427" s="1">
        <f>hyperlink("http://dspace.library.uu.nl/handle/1874/213846","Belangrijk nieuws voor de Eemnesser Sluis 179-185 1991")</f>
        <v>0</v>
      </c>
    </row>
    <row r="1428" spans="2:4">
      <c r="B1428">
        <v>53</v>
      </c>
      <c r="C1428" s="1">
        <f>hyperlink("https://hetutrechtsarchief.nl/collectie/DE132AE7A5945FECBFC7E328CF2E79D2","De Oude Gracht en de Vaartsche Rijn M N Acket 18-21 1951")</f>
        <v>0</v>
      </c>
      <c r="D1428" s="1">
        <f>hyperlink("http://dspace.library.uu.nl/handle/1874/213847","Klederdrachten Jos Lankreijer Livia Eggenkamp 186-189 1991")</f>
        <v>0</v>
      </c>
    </row>
    <row r="1429" spans="2:4">
      <c r="B1429">
        <v>76</v>
      </c>
      <c r="C1429" s="1">
        <f>hyperlink("https://hetutrechtsarchief.nl/collectie/AA75D0D016E55824810BAA1426130D45","Korte geschiedenis van het geslacht Gieskens in Eemnes samengesteld door Henk van Hees en Bertie van Wijk-Blom 135-168 2000")</f>
        <v>0</v>
      </c>
      <c r="D1429" s="1">
        <f>hyperlink("http://dspace.library.uu.nl/handle/1874/213848","Korte geschiedenis van het geslacht Koppen in Eemnes Bertie van Hees Henk van Wijk-Blom 198-220 1991")</f>
        <v>0</v>
      </c>
    </row>
    <row r="1430" spans="2:4">
      <c r="B1430">
        <v>61</v>
      </c>
      <c r="C1430" s="1">
        <f>hyperlink("https://hetutrechtsarchief.nl/collectie/36DE1686C28154CAB7756135A5E6E553","Oude paasgebruiken Ren Beyest 1-14 2008")</f>
        <v>0</v>
      </c>
      <c r="D1430" s="1">
        <f>hyperlink("http://dspace.library.uu.nl/handle/1874/213849","Oude traankruik Henk van Hees 21-22 1992")</f>
        <v>0</v>
      </c>
    </row>
    <row r="1431" spans="2:4">
      <c r="B1431">
        <v>64</v>
      </c>
      <c r="C1431" s="1">
        <f>hyperlink("https://hetutrechtsarchief.nl/collectie/21BC4804E50C5D2BBEC0FE4CABBB7E8A","Heeren en Vrouwen van Eemnes Jan Out 100-101 2006")</f>
        <v>0</v>
      </c>
      <c r="D1431" s="1">
        <f>hyperlink("http://dspace.library.uu.nl/handle/1874/213902","De tuinen van Eemlust Jan Out 140-144 1992")</f>
        <v>0</v>
      </c>
    </row>
    <row r="1432" spans="2:4">
      <c r="B1432">
        <v>59</v>
      </c>
      <c r="C1432" s="1">
        <f>hyperlink("https://hetutrechtsarchief.nl/collectie/A6E4E05536B35EBC8F6A5252765AF814","De Eem Amersfoorts levensader M Mijnssen-Dutilh 4-6 2003")</f>
        <v>0</v>
      </c>
      <c r="D1432" s="1">
        <f>hyperlink("http://dspace.library.uu.nl/handle/1874/213903","Eemnes Binnen- en Buitendijks M Mijnssen-Dutilh 148-165 1992")</f>
        <v>0</v>
      </c>
    </row>
    <row r="1433" spans="2:4">
      <c r="B1433">
        <v>59</v>
      </c>
      <c r="C1433" s="1">
        <f>hyperlink("https://hetutrechtsarchief.nl/collectie/88367CB1F47459B691F3F40F8BFD54CD","Het geslacht Sark in Nederland s Patriciaat W F Hartman 211-216 1920")</f>
        <v>0</v>
      </c>
      <c r="D1433" s="1">
        <f>hyperlink("http://dspace.library.uu.nl/handle/1874/213904","Het geslacht Wiggerts in Eemnes Bertus Wiggerts 167-186 1992")</f>
        <v>0</v>
      </c>
    </row>
    <row r="1434" spans="2:4">
      <c r="B1434">
        <v>74</v>
      </c>
      <c r="C1434" s="1">
        <f>hyperlink("https://hetutrechtsarchief.nl/collectie/5AF8486203125916B9145A36BE7FBA15","Oude Eemnesser Henriet Liscaljet 152-159 ill 1998")</f>
        <v>0</v>
      </c>
      <c r="D1434" s="1">
        <f>hyperlink("http://dspace.library.uu.nl/handle/1874/213905","Oude Eemnesser Bep de Bruijn Henri t Liscaljet 188-197 1992")</f>
        <v>0</v>
      </c>
    </row>
    <row r="1435" spans="2:4">
      <c r="B1435">
        <v>70</v>
      </c>
      <c r="C1435" s="1">
        <f>hyperlink("https://hetutrechtsarchief.nl/collectie/5AF8486203125916B9145A36BE7FBA15","Oude Eemnesser Henriet Liscaljet 152-159 ill 1998")</f>
        <v>0</v>
      </c>
      <c r="D1435" s="1">
        <f>hyperlink("http://dspace.library.uu.nl/handle/1874/213906","Oude Eemnesser Hendrik Scherpenzeel Henri t Liscaljet 208-217 1992")</f>
        <v>0</v>
      </c>
    </row>
    <row r="1436" spans="2:4">
      <c r="B1436">
        <v>74</v>
      </c>
      <c r="C1436" s="1">
        <f>hyperlink("https://hetutrechtsarchief.nl/collectie/AF3A0D08D66756358708E12B162E4D3C","Korte geschiedenis van het geslacht Riggeling in Eemnes Henk van Hees 160-178 1999")</f>
        <v>0</v>
      </c>
      <c r="D1436" s="1">
        <f>hyperlink("http://dspace.library.uu.nl/handle/1874/213907","Korte geschiedenis van het geslacht Frantsen Bertie van Hees Henk van Wijk-Blom 220-238 1992")</f>
        <v>0</v>
      </c>
    </row>
    <row r="1437" spans="2:4">
      <c r="B1437">
        <v>59</v>
      </c>
      <c r="C1437" s="1">
        <f>hyperlink("https://hetutrechtsarchief.nl/collectie/D588B9A0B39D50159AC01B0ABAEA050D","Ons eerste lustrum album - G v R 25-27 1928")</f>
        <v>0</v>
      </c>
      <c r="D1437" s="1">
        <f>hyperlink("http://dspace.library.uu.nl/handle/1874/213908","Onze eerste kerstboom G van Stoutenburg 239-242 1992")</f>
        <v>0</v>
      </c>
    </row>
    <row r="1438" spans="2:4">
      <c r="B1438">
        <v>51</v>
      </c>
      <c r="C1438" s="1">
        <f>hyperlink("https://hetutrechtsarchief.nl/collectie/80004C9CB6C8507C87520E4FAD61E01F","Leersum anno 1954 rooskleurig bezien slot Jan Meijer 4-7 2016")</f>
        <v>0</v>
      </c>
      <c r="D1438" s="1">
        <f>hyperlink("http://dspace.library.uu.nl/handle/1874/213909","Twee zussen Van Beijeren 1910 en 1954 Livia Eggenkamp Jos Lankreijer 4-7 1993")</f>
        <v>0</v>
      </c>
    </row>
    <row r="1439" spans="2:4">
      <c r="B1439">
        <v>68</v>
      </c>
      <c r="C1439" s="1">
        <f>hyperlink("https://hetutrechtsarchief.nl/collectie/449030C8A9BB5C04AB7C3178DEF846FF","Oude Eemnesser Geitenfokvereniging Lang Gewenscht Henriet Liscaljet 70-78 1999")</f>
        <v>0</v>
      </c>
      <c r="D1439" s="1">
        <f>hyperlink("http://dspace.library.uu.nl/handle/1874/213910","Oude Eemnesser Wiebe van de Kuinder Henri t Liscaljet 7-14 1993")</f>
        <v>0</v>
      </c>
    </row>
    <row r="1440" spans="2:4">
      <c r="B1440">
        <v>59</v>
      </c>
      <c r="C1440" s="1">
        <f>hyperlink("https://hetutrechtsarchief.nl/collectie/492C715B385C58BDB2ADC476BAC0D3DF","De barre winter van 1962-1963 Henk van Hees 241-248 2013")</f>
        <v>0</v>
      </c>
      <c r="D1440" s="1">
        <f>hyperlink("http://dspace.library.uu.nl/handle/1874/213911","Winter 1962-1963 Bep de Boer 19-22 1993")</f>
        <v>0</v>
      </c>
    </row>
    <row r="1441" spans="2:4">
      <c r="B1441">
        <v>71</v>
      </c>
      <c r="C1441" s="1">
        <f>hyperlink("https://hetutrechtsarchief.nl/collectie/5AF8486203125916B9145A36BE7FBA15","Oude Eemnesser Henriet Liscaljet 152-159 ill 1998")</f>
        <v>0</v>
      </c>
      <c r="D1441" s="1">
        <f>hyperlink("http://dspace.library.uu.nl/handle/1874/213912","Oude Eemnesser G van Stoutenburg Henriet Liscaljet 46-52 1993")</f>
        <v>0</v>
      </c>
    </row>
    <row r="1442" spans="2:4">
      <c r="B1442">
        <v>54</v>
      </c>
      <c r="C1442" s="1">
        <f>hyperlink("https://hetutrechtsarchief.nl/collectie/A78F2BF666C45A80E0534701000A6526","De kleding van Maria Kuijer Livia van Eijle 16-19 2020")</f>
        <v>0</v>
      </c>
      <c r="D1442" s="1">
        <f>hyperlink("http://dspace.library.uu.nl/handle/1874/213913","De kleding van Jannetje Ruizendaal-Snel en haar man Gijsbert Livia Eggenkamp Jos Lankreijer 66-67 1993")</f>
        <v>0</v>
      </c>
    </row>
    <row r="1443" spans="2:4">
      <c r="B1443">
        <v>57</v>
      </c>
      <c r="C1443" s="1">
        <f>hyperlink("https://hetutrechtsarchief.nl/collectie/F3515C7C715B5DF3A2E7EC85AFC530E3","Herinneringen aan Stadwijk Ada van Valkengoed 212-218 1999")</f>
        <v>0</v>
      </c>
      <c r="D1443" s="1">
        <f>hyperlink("http://dspace.library.uu.nl/handle/1874/213914","Over tering en Spaanse griep Gerard van Stoutenburg 71-72 1993")</f>
        <v>0</v>
      </c>
    </row>
    <row r="1444" spans="2:4">
      <c r="B1444">
        <v>75</v>
      </c>
      <c r="C1444" s="1">
        <f>hyperlink("https://hetutrechtsarchief.nl/collectie/5AF8486203125916B9145A36BE7FBA15","Oude Eemnesser Henriet Liscaljet 152-159 ill 1998")</f>
        <v>0</v>
      </c>
      <c r="D1444" s="1">
        <f>hyperlink("http://dspace.library.uu.nl/handle/1874/213915","Oude Eemnesser Toon Koppen Henriet Liscaljet 74-79 1993")</f>
        <v>0</v>
      </c>
    </row>
    <row r="1445" spans="2:4">
      <c r="B1445">
        <v>59</v>
      </c>
      <c r="C1445" s="1">
        <f>hyperlink("https://hetutrechtsarchief.nl/collectie/FE7CB1381DA855B3A91FE486C5ECD3B1","Bakkers in Eemnes door de eeuwen heen deel 1 Henk van Hees 140-159 2017")</f>
        <v>0</v>
      </c>
      <c r="D1445" s="1">
        <f>hyperlink("http://dspace.library.uu.nl/handle/1874/213916","Branden in Eemnes Bep de Hees Henk van Fecker Wim Boer 109-204 1993")</f>
        <v>0</v>
      </c>
    </row>
    <row r="1446" spans="2:4">
      <c r="B1446">
        <v>63</v>
      </c>
      <c r="C1446" s="1">
        <f>hyperlink("https://hetutrechtsarchief.nl/collectie/CD19060DD123573BA5AF39D3E4E00F34","Duitse families in Eemnes Henk van Hees 17-36 2015")</f>
        <v>0</v>
      </c>
      <c r="D1446" s="1">
        <f>hyperlink("http://dspace.library.uu.nl/handle/1874/213917","De familie Keizer uit Eemnes Henk van Wijk Bertie van Hees 83-103 1993")</f>
        <v>0</v>
      </c>
    </row>
    <row r="1447" spans="2:4">
      <c r="B1447">
        <v>55</v>
      </c>
      <c r="C1447" s="1">
        <f>hyperlink("https://hetutrechtsarchief.nl/collectie/BB4AD977A25F5884AECF357548B5C03C","Professor Dr C A Pekelharing M A van Herwerden 220-223 1919")</f>
        <v>0</v>
      </c>
      <c r="D1447" s="1">
        <f>hyperlink("http://dspace.library.uu.nl/handle/1874/213918","De naam Mr P C Hasselaer Dirk F K van der Linde 209-212 1993")</f>
        <v>0</v>
      </c>
    </row>
    <row r="1448" spans="2:4">
      <c r="B1448">
        <v>51</v>
      </c>
      <c r="C1448" s="1">
        <f>hyperlink("https://hetutrechtsarchief.nl/collectie/B470CAE829CE5DCEBDA8A6950A513EDF","De Kennemers in het Sticht van Utrecht 1268-1270 41 -58 145 -155 1837")</f>
        <v>0</v>
      </c>
      <c r="D1448" s="1">
        <f>hyperlink("http://dspace.library.uu.nl/handle/1874/213919","Die goeie ouwe school Jan Out 212-217 jg 16 1994 no 1 p 54-58 1993-1994")</f>
        <v>0</v>
      </c>
    </row>
    <row r="1449" spans="2:4">
      <c r="B1449">
        <v>65</v>
      </c>
      <c r="C1449" s="1">
        <f>hyperlink("https://hetutrechtsarchief.nl/collectie/5AF8486203125916B9145A36BE7FBA15","Oude Eemnesser Henriet Liscaljet 152-159 ill 1998")</f>
        <v>0</v>
      </c>
      <c r="D1449" s="1">
        <f>hyperlink("http://dspace.library.uu.nl/handle/1874/213920","Oude Eemnesser Jaap Elders Henriet Wieren Sarah van Liscaljet 218-226 1993")</f>
        <v>0</v>
      </c>
    </row>
    <row r="1450" spans="2:4">
      <c r="B1450">
        <v>62</v>
      </c>
      <c r="C1450" s="1">
        <f>hyperlink("https://hetutrechtsarchief.nl/collectie/353ED022BEC65B8AA245275CEECF4814","Het kerkhof der gemeente Eemnes Wiebe van IJken 77-87 2003")</f>
        <v>0</v>
      </c>
      <c r="D1450" s="1">
        <f>hyperlink("http://dspace.library.uu.nl/handle/1874/213922","Het geslacht Breunesse Wiebe van IJken 227-247 1993")</f>
        <v>0</v>
      </c>
    </row>
    <row r="1451" spans="2:4">
      <c r="B1451">
        <v>54</v>
      </c>
      <c r="C1451" s="1">
        <f>hyperlink("https://hetutrechtsarchief.nl/collectie/7C2F543BA5BB501CE0534701000A2DB2","Boerderij Keulen en zijn bewoners Een middeleeuwse boerenplaats Cees van Loen 86-97 2018")</f>
        <v>0</v>
      </c>
      <c r="D1451" s="1">
        <f>hyperlink("http://dspace.library.uu.nl/handle/1874/213923","Drakenburg en zijn bewoners van ridderhofstad tot buitenhuis Jan Out 4-12 1994")</f>
        <v>0</v>
      </c>
    </row>
    <row r="1452" spans="2:4">
      <c r="B1452">
        <v>72</v>
      </c>
      <c r="C1452" s="1">
        <f>hyperlink("https://hetutrechtsarchief.nl/collectie/5AF8486203125916B9145A36BE7FBA15","Oude Eemnesser Henriet Liscaljet 152-159 ill 1998")</f>
        <v>0</v>
      </c>
      <c r="D1452" s="1">
        <f>hyperlink("http://dspace.library.uu.nl/handle/1874/213924","Oude Eemnessers Wim Westerhuis Henriet Liscaljet 16-24 1994")</f>
        <v>0</v>
      </c>
    </row>
    <row r="1453" spans="2:4">
      <c r="B1453">
        <v>65</v>
      </c>
      <c r="C1453" s="1">
        <f>hyperlink("https://hetutrechtsarchief.nl/collectie/40D34F2F76035A12ABAF3D6B9810FF98","Duitse families in Eemnes - deel 3 Henk van Hees 225-241 2015")</f>
        <v>0</v>
      </c>
      <c r="D1453" s="1">
        <f>hyperlink("http://dspace.library.uu.nl/handle/1874/213926","De familie Makker in Eemnes B van Hees Henk van Wijk-Blom 25-54 1994")</f>
        <v>0</v>
      </c>
    </row>
    <row r="1454" spans="2:4">
      <c r="B1454">
        <v>56</v>
      </c>
      <c r="C1454" s="1">
        <f>hyperlink("https://hetutrechtsarchief.nl/collectie/CFF636395855552DBCEEA58838F733A7","Grepen uit de archieven een geval van dieverij J van der Meulen 76 1979")</f>
        <v>0</v>
      </c>
      <c r="D1454" s="1">
        <f>hyperlink("http://dspace.library.uu.nl/handle/1874/213927","Over een ruzi nde bisschop en een reizende dichter Jan Out 67-70 1994")</f>
        <v>0</v>
      </c>
    </row>
    <row r="1455" spans="2:4">
      <c r="B1455">
        <v>62</v>
      </c>
      <c r="C1455" s="1">
        <f>hyperlink("https://hetutrechtsarchief.nl/collectie/449030C8A9BB5C04AB7C3178DEF846FF","Oude Eemnesser Geitenfokvereniging Lang Gewenscht Henriet Liscaljet 70-78 1999")</f>
        <v>0</v>
      </c>
      <c r="D1455" s="1">
        <f>hyperlink("http://dspace.library.uu.nl/handle/1874/213928","Oude Eemnesser mevr C J Schuurman Henriet Schuurman Caroline Liscaljet 71-83 1994")</f>
        <v>0</v>
      </c>
    </row>
    <row r="1456" spans="2:4">
      <c r="B1456">
        <v>70</v>
      </c>
      <c r="C1456" s="1">
        <f>hyperlink("https://hetutrechtsarchief.nl/collectie/F205EC34D3FE5025B913C12A35B7E7FB","Korte geschiedenis van de familie Van der Pol Henk van Hees 7-19 2007")</f>
        <v>0</v>
      </c>
      <c r="D1456" s="1">
        <f>hyperlink("http://dspace.library.uu.nl/handle/1874/213929","Korte historie van de familie Laan Henk van Hees 83-102 1994")</f>
        <v>0</v>
      </c>
    </row>
    <row r="1457" spans="2:4">
      <c r="B1457">
        <v>56</v>
      </c>
      <c r="C1457" s="1">
        <f>hyperlink("https://hetutrechtsarchief.nl/collectie/E7F5C634D7C150219E96EE2EED2C5811","Het debacle van een dorpspredikant 3 Vincent Erdin en Herman Schuitema 2-7 2014")</f>
        <v>0</v>
      </c>
      <c r="D1457" s="1">
        <f>hyperlink("http://dspace.library.uu.nl/handle/1874/213930","Johannes Jacobus van Oosterzee predikant te Eemnes-Binnen Jan Out 102-107 1994")</f>
        <v>0</v>
      </c>
    </row>
    <row r="1458" spans="2:4">
      <c r="B1458">
        <v>56</v>
      </c>
      <c r="C1458" s="1">
        <f>hyperlink("https://hetutrechtsarchief.nl/collectie/F5F53548EEDE5826913113B7268FDFDE","Het geslacht Van Drielenburg I en II L J Malherbe 1-42 82-114 1992")</f>
        <v>0</v>
      </c>
      <c r="D1458" s="1">
        <f>hyperlink("http://dspace.library.uu.nl/handle/1874/213932","De architect P C van Uchelen Bertie van Wijk-Blom 111-114 1992")</f>
        <v>0</v>
      </c>
    </row>
    <row r="1459" spans="2:4">
      <c r="B1459">
        <v>67</v>
      </c>
      <c r="C1459" s="1">
        <f>hyperlink("https://hetutrechtsarchief.nl/collectie/EE3FC8CFD05F53838F2B413282DEB666","Interview met mevrouw Eugenie van Ogtrop-Barones van Voorst tot Voorst Marga van Kleinwee 137-152 2003")</f>
        <v>0</v>
      </c>
      <c r="D1459" s="1">
        <f>hyperlink("http://dspace.library.uu.nl/handle/1874/213933","Oude Eemnesser mevrouw E A M van Ogtrop barones van Voorst tot Voorst Henri t Liscaljet 114-118 1992")</f>
        <v>0</v>
      </c>
    </row>
    <row r="1460" spans="2:4">
      <c r="B1460">
        <v>57</v>
      </c>
      <c r="C1460" s="1">
        <f>hyperlink("https://hetutrechtsarchief.nl/collectie/A78F2BF666C45A80E0534701000A6526","De kleding van Maria Kuijer Livia van Eijle 16-19 2020")</f>
        <v>0</v>
      </c>
      <c r="D1460" s="1">
        <f>hyperlink("http://dspace.library.uu.nl/handle/1874/213934","De muts van mevrouw Suijk Livia Klap Alie Lankreijer 146-147 1992")</f>
        <v>0</v>
      </c>
    </row>
    <row r="1461" spans="2:4">
      <c r="B1461">
        <v>56</v>
      </c>
      <c r="C1461" s="1">
        <f>hyperlink("https://hetutrechtsarchief.nl/collectie/21BC4804E50C5D2BBEC0FE4CABBB7E8A","Heeren en Vrouwen van Eemnes Jan Out 100-101 2006")</f>
        <v>0</v>
      </c>
      <c r="D1461" s="1">
        <f>hyperlink("http://dspace.library.uu.nl/handle/1874/213935","Inspecteur Wijnbeek bezoekt Eemnes Jan Out 186-188 1992")</f>
        <v>0</v>
      </c>
    </row>
    <row r="1462" spans="2:4">
      <c r="B1462">
        <v>73</v>
      </c>
      <c r="C1462" s="1">
        <f>hyperlink("https://hetutrechtsarchief.nl/collectie/7982DE9DD5B90FC1E0534701000AB3D0","Belgische vluchtelingen in Eemnes in de periode 1914-1918 Henk van Hees 167-172 2018")</f>
        <v>0</v>
      </c>
      <c r="D1462" s="1">
        <f>hyperlink("http://dspace.library.uu.nl/handle/1874/213936","Belgische vluchtelingen in Eemnes Henk van Hees 64-66 1993")</f>
        <v>0</v>
      </c>
    </row>
    <row r="1463" spans="2:4">
      <c r="B1463">
        <v>53</v>
      </c>
      <c r="C1463" s="1">
        <f>hyperlink("https://hetutrechtsarchief.nl/collectie/449030C8A9BB5C04AB7C3178DEF846FF","Oude Eemnesser Geitenfokvereniging Lang Gewenscht Henriet Liscaljet 70-78 1999")</f>
        <v>0</v>
      </c>
      <c r="D1463" s="1">
        <f>hyperlink("http://dspace.library.uu.nl/handle/1874/213937","De brand bij de familie Fokken Laarderweg 4 t m 10 Henri tte Fokken W Liscaljet 171-174 1993")</f>
        <v>0</v>
      </c>
    </row>
    <row r="1464" spans="2:4">
      <c r="B1464">
        <v>73</v>
      </c>
      <c r="C1464" s="1">
        <f>hyperlink("https://hetutrechtsarchief.nl/collectie/8A98BCD9C8E054ABAA19850984F6EC17","Interview met Marie van t Klooster-Gieskens Henk van Hees 274-287 2016")</f>
        <v>0</v>
      </c>
      <c r="D1464" s="1">
        <f>hyperlink("http://dspace.library.uu.nl/handle/1874/213938","Interview met Arent Jongerden Henk van Hees 174-182 1993")</f>
        <v>0</v>
      </c>
    </row>
    <row r="1465" spans="2:4">
      <c r="B1465">
        <v>67</v>
      </c>
      <c r="C1465" s="1">
        <f>hyperlink("https://hetutrechtsarchief.nl/collectie/9F5652FEAE50593CB6F470821D82BDD4","Interview Arie Rigter Henk van Hees 185-195 2010")</f>
        <v>0</v>
      </c>
      <c r="D1465" s="1">
        <f>hyperlink("http://dspace.library.uu.nl/handle/1874/213939","Interview met Wim Westerhuis geboren 1910 Henk van Hees 183-190 1993")</f>
        <v>0</v>
      </c>
    </row>
    <row r="1466" spans="2:4">
      <c r="B1466">
        <v>57</v>
      </c>
      <c r="C1466" s="1">
        <f>hyperlink("https://hetutrechtsarchief.nl/collectie/84A718A0413D516EB503D16B1DF14CF4","De Achterkerkstraat herinneringen van een oud-bewoner 2 Teus van Beek 41-51 2010")</f>
        <v>0</v>
      </c>
      <c r="D1466" s="1">
        <f>hyperlink("http://dspace.library.uu.nl/handle/1874/213940","Brandweerherinneringen van Kees Hoogeboom 1889-1992 Henk van Hees 190-191 1993")</f>
        <v>0</v>
      </c>
    </row>
    <row r="1467" spans="2:4">
      <c r="B1467">
        <v>61</v>
      </c>
      <c r="C1467" s="1">
        <f>hyperlink("https://hetutrechtsarchief.nl/collectie/8A98BCD9C8E054ABAA19850984F6EC17","Interview met Marie van t Klooster-Gieskens Henk van Hees 274-287 2016")</f>
        <v>0</v>
      </c>
      <c r="D1467" s="1">
        <f>hyperlink("http://dspace.library.uu.nl/handle/1874/213941","Interview met brandweercommandant Gerard Wortel geboren 1948 Henk van Hees 192-198 1993")</f>
        <v>0</v>
      </c>
    </row>
    <row r="1468" spans="2:4">
      <c r="B1468">
        <v>53</v>
      </c>
      <c r="C1468" s="1">
        <f>hyperlink("https://hetutrechtsarchief.nl/collectie/C9208043FF3E43D9E0538F04000AACA0","Wilhelmina van Essen arts in oorlogstijd Ankie Keijzer 18-22 2021")</f>
        <v>0</v>
      </c>
      <c r="D1468" s="1">
        <f>hyperlink("http://dspace.library.uu.nl/handle/1874/213942","Maria Wilhelmina Makker in vol ornaat Livia Eggenkamp Jos Lankreijer 14-16 1994")</f>
        <v>0</v>
      </c>
    </row>
    <row r="1469" spans="2:4">
      <c r="B1469">
        <v>60</v>
      </c>
      <c r="C1469" s="1">
        <f>hyperlink("https://hetutrechtsarchief.nl/collectie/F4AD47C61032594087BE86721739BC63","Emigrante naar Suriname Evert Jan van Beek 81 2014")</f>
        <v>0</v>
      </c>
      <c r="D1469" s="1">
        <f>hyperlink("http://dspace.library.uu.nl/handle/1874/213976","Emigranten uit Eemnes Bep de Hees Henk van Boer 165-232 1994")</f>
        <v>0</v>
      </c>
    </row>
    <row r="1470" spans="2:4">
      <c r="B1470">
        <v>57</v>
      </c>
      <c r="C1470" s="1">
        <f>hyperlink("https://hetutrechtsarchief.nl/collectie/2DDDE6EB978E5606868E2A56A32487CD","Iets over toovenaars en heksen A J van der Weyde 155-169 1927")</f>
        <v>0</v>
      </c>
      <c r="D1470" s="1">
        <f>hyperlink("http://dspace.library.uu.nl/handle/1874/213977","Victor Alfred van Swieten Jaap van der Woude 3-29 1995")</f>
        <v>0</v>
      </c>
    </row>
    <row r="1471" spans="2:4">
      <c r="B1471">
        <v>67</v>
      </c>
      <c r="C1471" s="1">
        <f>hyperlink("https://hetutrechtsarchief.nl/collectie/449030C8A9BB5C04AB7C3178DEF846FF","Oude Eemnesser Geitenfokvereniging Lang Gewenscht Henriet Liscaljet 70-78 1999")</f>
        <v>0</v>
      </c>
      <c r="D1471" s="1">
        <f>hyperlink("http://dspace.library.uu.nl/handle/1874/213978","Oude Eemnessers Marinus Maria van der Zwaan Henriet Liscaljet 29-41 1995")</f>
        <v>0</v>
      </c>
    </row>
    <row r="1472" spans="2:4">
      <c r="B1472">
        <v>56</v>
      </c>
      <c r="C1472" s="1">
        <f>hyperlink("https://hetutrechtsarchief.nl/collectie/B1599CA5FEA05E62B358D84156C9226F","De R K Armenhuisjes aan de Eemstraat G J M Derks 1-8 ill 1998")</f>
        <v>0</v>
      </c>
      <c r="D1472" s="1">
        <f>hyperlink("http://dspace.library.uu.nl/handle/1874/213979","Een brug tussen Huissen en Eemnes Hugo A J Vermaas 41-51 1995")</f>
        <v>0</v>
      </c>
    </row>
    <row r="1473" spans="2:4">
      <c r="B1473">
        <v>75</v>
      </c>
      <c r="C1473" s="1">
        <f>hyperlink("https://hetutrechtsarchief.nl/collectie/5AF8486203125916B9145A36BE7FBA15","Oude Eemnesser Henriet Liscaljet 152-159 ill 1998")</f>
        <v>0</v>
      </c>
      <c r="D1473" s="1">
        <f>hyperlink("http://dspace.library.uu.nl/handle/1874/213980","Oude Eemnessers R Ruizendaal Henriet Liscaljet 53-57 1995")</f>
        <v>0</v>
      </c>
    </row>
    <row r="1474" spans="2:4">
      <c r="B1474">
        <v>72</v>
      </c>
      <c r="C1474" s="1">
        <f>hyperlink("https://hetutrechtsarchief.nl/collectie/5AF8486203125916B9145A36BE7FBA15","Oude Eemnesser Henriet Liscaljet 152-159 ill 1998")</f>
        <v>0</v>
      </c>
      <c r="D1474" s="1">
        <f>hyperlink("http://dspace.library.uu.nl/handle/1874/213981","Oude Eemnessers Arie Looman Henriet Liscaljet 67-76 1995")</f>
        <v>0</v>
      </c>
    </row>
    <row r="1475" spans="2:4">
      <c r="B1475">
        <v>69</v>
      </c>
      <c r="C1475" s="1">
        <f>hyperlink("https://hetutrechtsarchief.nl/collectie/962F8E03C73454038A01C050850A6C1B","Korte geschiedenis van het geslacht Van Isselt in Eemnes samengesteld door Henk van Hees en Bertie van Wijk-Blom 81-108 1999")</f>
        <v>0</v>
      </c>
      <c r="D1475" s="1">
        <f>hyperlink("http://dspace.library.uu.nl/handle/1874/213982","Korte geschiedenis van het geslacht Pen in Baarn en Eemnes een familie van boeren notarissen en burgemeesters Bertie van Hees Henk van Wijk-Blom 82-106 1995")</f>
        <v>0</v>
      </c>
    </row>
    <row r="1476" spans="2:4">
      <c r="B1476">
        <v>70</v>
      </c>
      <c r="C1476" s="1">
        <f>hyperlink("https://hetutrechtsarchief.nl/collectie/5AF8486203125916B9145A36BE7FBA15","Oude Eemnesser Henriet Liscaljet 152-159 ill 1998")</f>
        <v>0</v>
      </c>
      <c r="D1476" s="1">
        <f>hyperlink("http://dspace.library.uu.nl/handle/1874/213984","Oude Eemnessers Elbertus Johannes Tak Henriet Liscaljet 120-128 1995")</f>
        <v>0</v>
      </c>
    </row>
    <row r="1477" spans="2:4">
      <c r="B1477">
        <v>70</v>
      </c>
      <c r="C1477" s="1">
        <f>hyperlink("https://hetutrechtsarchief.nl/collectie/962F8E03C73454038A01C050850A6C1B","Korte geschiedenis van het geslacht Van Isselt in Eemnes samengesteld door Henk van Hees en Bertie van Wijk-Blom 81-108 1999")</f>
        <v>0</v>
      </c>
      <c r="D1477" s="1">
        <f>hyperlink("http://dspace.library.uu.nl/handle/1874/213985","Korte geschiedenis van de familie Seldenrijk in Eemnes Bertie van Hees Henk van Wijk-Blom 132-150 1995")</f>
        <v>0</v>
      </c>
    </row>
    <row r="1478" spans="2:4">
      <c r="B1478">
        <v>75</v>
      </c>
      <c r="C1478" s="1">
        <f>hyperlink("https://hetutrechtsarchief.nl/collectie/5AF8486203125916B9145A36BE7FBA15","Oude Eemnesser Henriet Liscaljet 152-159 ill 1998")</f>
        <v>0</v>
      </c>
      <c r="D1478" s="1">
        <f>hyperlink("http://dspace.library.uu.nl/handle/1874/213987","Oude Eemnessers Jan Heijnen H Liscaljet 168-185 1995")</f>
        <v>0</v>
      </c>
    </row>
    <row r="1479" spans="2:4">
      <c r="B1479">
        <v>55</v>
      </c>
      <c r="C1479" s="1">
        <f>hyperlink("https://hetutrechtsarchief.nl/collectie/60BF9B1124025A7C94219604B3CEBE8F","Weer een theorie over het ontstaan van de werven langs de Utrechtse grachten M E H Schouten 59-61 1989")</f>
        <v>0</v>
      </c>
      <c r="D1479" s="1">
        <f>hyperlink("http://dspace.library.uu.nl/handle/1874/213988","Over winkeliers en handelaren die langs de deur kwamen H Ruizendaal-Schotsman 185-188 1995")</f>
        <v>0</v>
      </c>
    </row>
    <row r="1480" spans="2:4">
      <c r="B1480">
        <v>71</v>
      </c>
      <c r="C1480" s="1">
        <f>hyperlink("https://hetutrechtsarchief.nl/collectie/ACAA9AFBA9295E5BA4FE8754B76F741F","Korte geschiedenis van een derde familie Hagen in Eemnes samengesteld door Henk van Hees en Bertie van Wijk-Blom 164-184 ill portr tab 1998")</f>
        <v>0</v>
      </c>
      <c r="D1480" s="1">
        <f>hyperlink("http://dspace.library.uu.nl/handle/1874/213989","Korte geschiedenis van de familie Schouten in Eemnes Bertie van Hees Henk van Wijk-Blom 188-219 1995")</f>
        <v>0</v>
      </c>
    </row>
    <row r="1481" spans="2:4">
      <c r="B1481">
        <v>62</v>
      </c>
      <c r="C1481" s="1">
        <f>hyperlink("https://hetutrechtsarchief.nl/collectie/4D5AEBC83F9F5A5B92A3CD559E20184A","Oorlogsherinneringen van Jan van den Brink Jan D H van den Brink 21-23 2011")</f>
        <v>0</v>
      </c>
      <c r="D1481" s="1">
        <f>hyperlink("http://dspace.library.uu.nl/handle/1874/213990","Oorlogsherinneringen van Joke Pot-van den Hurk geboren in 1916 genoteerd in 1996 Joke Pot-van den Hurk 68-70 1997")</f>
        <v>0</v>
      </c>
    </row>
    <row r="1482" spans="2:4">
      <c r="B1482">
        <v>76</v>
      </c>
      <c r="C1482" s="1">
        <f>hyperlink("https://hetutrechtsarchief.nl/collectie/5AF8486203125916B9145A36BE7FBA15","Oude Eemnesser Henriet Liscaljet 152-159 ill 1998")</f>
        <v>0</v>
      </c>
      <c r="D1482" s="1">
        <f>hyperlink("http://dspace.library.uu.nl/handle/1874/213992","Oude Eemnesser Joop Blom Henriet Liscaljet 70-79 1997")</f>
        <v>0</v>
      </c>
    </row>
    <row r="1483" spans="2:4">
      <c r="B1483">
        <v>73</v>
      </c>
      <c r="C1483" s="1">
        <f>hyperlink("https://hetutrechtsarchief.nl/collectie/962F8E03C73454038A01C050850A6C1B","Korte geschiedenis van het geslacht Van Isselt in Eemnes samengesteld door Henk van Hees en Bertie van Wijk-Blom 81-108 1999")</f>
        <v>0</v>
      </c>
      <c r="D1483" s="1">
        <f>hyperlink("http://dspace.library.uu.nl/handle/1874/213993","Korte geschiedenis van het geslacht Van Oostrum Bertie van Hees Henk van Wijk-Blom 79-121 1997")</f>
        <v>0</v>
      </c>
    </row>
    <row r="1484" spans="2:4">
      <c r="B1484">
        <v>68</v>
      </c>
      <c r="C1484" s="1">
        <f>hyperlink("https://hetutrechtsarchief.nl/collectie/962F8E03C73454038A01C050850A6C1B","Korte geschiedenis van het geslacht Van Isselt in Eemnes samengesteld door Henk van Hees en Bertie van Wijk-Blom 81-108 1999")</f>
        <v>0</v>
      </c>
      <c r="D1484" s="1">
        <f>hyperlink("http://dspace.library.uu.nl/handle/1874/213994","Korte geschiedenis van de families Koelewijn en Manten in Eemnes Bertie van Hees Henk van Wijk-Blom 13-50 1997")</f>
        <v>0</v>
      </c>
    </row>
    <row r="1485" spans="2:4">
      <c r="B1485">
        <v>72</v>
      </c>
      <c r="C1485" s="1">
        <f>hyperlink("https://hetutrechtsarchief.nl/collectie/F5408E83CA1D5224829E4056E7C31829","Korte geschiedenis van de oudste familie Van den Berg in Eemnes Henk van Hees 219-242 1999")</f>
        <v>0</v>
      </c>
      <c r="D1485" s="1">
        <f>hyperlink("http://dspace.library.uu.nl/handle/1874/213995","Een korte geschiedenis van de familie Bieshaar in Eemnes Harry van der Voort 199-230 1996")</f>
        <v>0</v>
      </c>
    </row>
    <row r="1486" spans="2:4">
      <c r="B1486">
        <v>75</v>
      </c>
      <c r="C1486" s="1">
        <f>hyperlink("https://hetutrechtsarchief.nl/collectie/5AF8486203125916B9145A36BE7FBA15","Oude Eemnesser Henriet Liscaljet 152-159 ill 1998")</f>
        <v>0</v>
      </c>
      <c r="D1486" s="1">
        <f>hyperlink("http://dspace.library.uu.nl/handle/1874/213996","Oude Eemnesser Kees Tijken Henriet Liscaljet 231-237 1996")</f>
        <v>0</v>
      </c>
    </row>
    <row r="1487" spans="2:4">
      <c r="B1487">
        <v>58</v>
      </c>
      <c r="C1487" s="1">
        <f>hyperlink("https://hetutrechtsarchief.nl/collectie/BBFD6E210D465C8E87C560AAA0D448AD","Dalmatieken van bisschop David van Bourgondi A J van de Ven 13-14 ill 1970")</f>
        <v>0</v>
      </c>
      <c r="D1487" s="1">
        <f>hyperlink("http://dspace.library.uu.nl/handle/1874/213997","De Eemnesser torens schaakstukken in het politieke spel van bisschop David van Bourgondi of niet Bauwien van der Meer 177-197 1996")</f>
        <v>0</v>
      </c>
    </row>
    <row r="1488" spans="2:4">
      <c r="B1488">
        <v>59</v>
      </c>
      <c r="C1488" s="1">
        <f>hyperlink("https://hetutrechtsarchief.nl/collectie/4B420BC2EEBA5BF6930148A99D8AC086","Gegevens betreffende het geslacht Sarcerius W A Wijburg 231-236 1991")</f>
        <v>0</v>
      </c>
      <c r="D1488" s="1">
        <f>hyperlink("http://dspace.library.uu.nl/handle/1874/213998","Perikelen betreffende de gerechtskamer Wim Fecken 51-55 1997")</f>
        <v>0</v>
      </c>
    </row>
    <row r="1489" spans="2:4">
      <c r="B1489">
        <v>70</v>
      </c>
      <c r="C1489" s="1">
        <f>hyperlink("https://hetutrechtsarchief.nl/collectie/9B8D235A2C894C34E0534701000AD4EB","Eemnes en de Eerste Wereldoorlog deel 5 Wiebe van IJken 247-251 2019")</f>
        <v>0</v>
      </c>
      <c r="D1489" s="1">
        <f>hyperlink("http://dspace.library.uu.nl/handle/1874/213999","Eemnes en de Koude Oorlog E G van IJken 4-14 1996")</f>
        <v>0</v>
      </c>
    </row>
    <row r="1490" spans="2:4">
      <c r="B1490">
        <v>75</v>
      </c>
      <c r="C1490" s="1">
        <f>hyperlink("https://hetutrechtsarchief.nl/collectie/5AF8486203125916B9145A36BE7FBA15","Oude Eemnesser Henriet Liscaljet 152-159 ill 1998")</f>
        <v>0</v>
      </c>
      <c r="D1490" s="1">
        <f>hyperlink("http://dspace.library.uu.nl/handle/1874/214000","Oude Eemnessers A G van Hees Henriet Liscaljet 18-31 1996")</f>
        <v>0</v>
      </c>
    </row>
    <row r="1491" spans="2:4">
      <c r="B1491">
        <v>66</v>
      </c>
      <c r="C1491" s="1">
        <f>hyperlink("https://hetutrechtsarchief.nl/collectie/353ED022BEC65B8AA245275CEECF4814","Het kerkhof der gemeente Eemnes Wiebe van IJken 77-87 2003")</f>
        <v>0</v>
      </c>
      <c r="D1491" s="1">
        <f>hyperlink("http://dspace.library.uu.nl/handle/1874/214001","Oude graven op het R K Kerkhof te Eemnes Wiebe van IJken 37-64 1996")</f>
        <v>0</v>
      </c>
    </row>
    <row r="1492" spans="2:4">
      <c r="B1492">
        <v>60</v>
      </c>
      <c r="C1492" s="1">
        <f>hyperlink("https://hetutrechtsarchief.nl/collectie/CD19060DD123573BA5AF39D3E4E00F34","Duitse families in Eemnes Henk van Hees 17-36 2015")</f>
        <v>0</v>
      </c>
      <c r="D1492" s="1">
        <f>hyperlink("http://dspace.library.uu.nl/handle/1874/214002","De familie Horst Henk W van Arnhem 91-114 1996")</f>
        <v>0</v>
      </c>
    </row>
    <row r="1493" spans="2:4">
      <c r="B1493">
        <v>64</v>
      </c>
      <c r="C1493" s="1">
        <f>hyperlink("https://hetutrechtsarchief.nl/collectie/449030C8A9BB5C04AB7C3178DEF846FF","Oude Eemnesser Geitenfokvereniging Lang Gewenscht Henriet Liscaljet 70-78 1999")</f>
        <v>0</v>
      </c>
      <c r="D1493" s="1">
        <f>hyperlink("http://dspace.library.uu.nl/handle/1874/214003","Belegen Eemnessers Nel Zwanikken-Hilhorst Henriet Liscaljet 72-85 1996")</f>
        <v>0</v>
      </c>
    </row>
    <row r="1494" spans="2:4">
      <c r="B1494">
        <v>63</v>
      </c>
      <c r="C1494" s="1">
        <f>hyperlink("https://hetutrechtsarchief.nl/collectie/68CA4294CBA6545F8216E4235752B5F6","De Drakenburg Bep de Boer 193-197 1999")</f>
        <v>0</v>
      </c>
      <c r="D1494" s="1">
        <f>hyperlink("http://dspace.library.uu.nl/handle/1874/214004","Mevrouw Wortel 100 jaar Bep de Boer 134-137 1996")</f>
        <v>0</v>
      </c>
    </row>
    <row r="1495" spans="2:4">
      <c r="B1495">
        <v>60</v>
      </c>
      <c r="C1495" s="1">
        <f>hyperlink("https://hetutrechtsarchief.nl/collectie/6CC4353333F8541FBC17745656A02B29","Een Eemnesser familie Ruijter die in Blaricum terechtkwam Henk van Hees 24-29 2008")</f>
        <v>0</v>
      </c>
      <c r="D1495" s="1">
        <f>hyperlink("http://dspace.library.uu.nl/handle/1874/214005","Oude Eemnessers familie Van Duijne Henk van Liscaljet Henriet Hees 124-134 1996")</f>
        <v>0</v>
      </c>
    </row>
    <row r="1496" spans="2:4">
      <c r="B1496">
        <v>76</v>
      </c>
      <c r="C1496" s="1">
        <f>hyperlink("https://hetutrechtsarchief.nl/collectie/962F8E03C73454038A01C050850A6C1B","Korte geschiedenis van het geslacht Van Isselt in Eemnes samengesteld door Henk van Hees en Bertie van Wijk-Blom 81-108 1999")</f>
        <v>0</v>
      </c>
      <c r="D1496" s="1">
        <f>hyperlink("http://dspace.library.uu.nl/handle/1874/214006","Korte geschiedenis van het geslacht De Bruin in Eemnes Bertie van Hees Henk van Wijk-Blom 142-159 1996")</f>
        <v>0</v>
      </c>
    </row>
    <row r="1497" spans="2:4">
      <c r="B1497">
        <v>56</v>
      </c>
      <c r="C1497" s="1">
        <f>hyperlink("https://hetutrechtsarchief.nl/collectie/CBF49AB635ACCEC3E0538F04000AEB03","Kleermakers in Eemnes door de eeuwen heen deel 10 Henk van Hees 163-170 2021")</f>
        <v>0</v>
      </c>
      <c r="D1497" s="1">
        <f>hyperlink("http://dspace.library.uu.nl/handle/1874/214008","Wilhelmina Arends-Bruinekool ze overleefde een ernstig ongeluk en werd 101 jaar Henk van Hees 160-166 1996")</f>
        <v>0</v>
      </c>
    </row>
    <row r="1498" spans="2:4">
      <c r="B1498">
        <v>79</v>
      </c>
      <c r="C1498" s="1">
        <f>hyperlink("https://hetutrechtsarchief.nl/collectie/5AF8486203125916B9145A36BE7FBA15","Oude Eemnesser Henriet Liscaljet 152-159 ill 1998")</f>
        <v>0</v>
      </c>
      <c r="D1498" s="1">
        <f>hyperlink("http://dspace.library.uu.nl/handle/1874/214009","Oude Eemnesser Wim Hilhorst Henriet Liscaljet 153-156 1994")</f>
        <v>0</v>
      </c>
    </row>
    <row r="1499" spans="2:4">
      <c r="B1499">
        <v>58</v>
      </c>
      <c r="C1499" s="1">
        <f>hyperlink("https://hetutrechtsarchief.nl/collectie/B01970048985572F8A630D496BA4D77D","Herinneringen Kruidenier Jan Roothart Chris Roothart 68-70 1999")</f>
        <v>0</v>
      </c>
      <c r="D1499" s="1">
        <f>hyperlink("http://dspace.library.uu.nl/handle/1874/214010","Idylle te Eemnes-Binnen kerkstrijd te Amsterdam Chris Roothart 165-167 1995")</f>
        <v>0</v>
      </c>
    </row>
    <row r="1500" spans="2:4">
      <c r="B1500">
        <v>64</v>
      </c>
      <c r="C1500" s="1">
        <f>hyperlink("https://hetutrechtsarchief.nl/collectie/298DE4A8FAB756C1A9914F273133C748","Oudegein 15-16 1949")</f>
        <v>0</v>
      </c>
      <c r="D1500" s="1">
        <f>hyperlink("http://dspace.library.uu.nl/handle/1874/214011","De SV-Eemnes 135-146 1997")</f>
        <v>0</v>
      </c>
    </row>
    <row r="1501" spans="2:4">
      <c r="B1501">
        <v>60</v>
      </c>
      <c r="C1501" s="1">
        <f>hyperlink("https://hetutrechtsarchief.nl/collectie/E38BEDC63A835EAE83C98F0FD9F26DB3","Schippers en spoorwegen 1837 - v C 21-23 1965")</f>
        <v>0</v>
      </c>
      <c r="D1501" s="1">
        <f>hyperlink("http://dspace.library.uu.nl/handle/1874/214012","Schippers in Eemnes 146-152 1997")</f>
        <v>0</v>
      </c>
    </row>
    <row r="1502" spans="2:4">
      <c r="B1502">
        <v>56</v>
      </c>
      <c r="C1502" s="1">
        <f>hyperlink("https://hetutrechtsarchief.nl/collectie/C6A940EE843B5DF3A60A271721B1482D","Smedenfamilies in Eemnes Henk van Hees 42-68 2001")</f>
        <v>0</v>
      </c>
      <c r="D1502" s="1">
        <f>hyperlink("http://dspace.library.uu.nl/handle/1874/214013","Schippersfamilies in Eemnes 152-199 1997")</f>
        <v>0</v>
      </c>
    </row>
    <row r="1503" spans="2:4">
      <c r="B1503">
        <v>67</v>
      </c>
      <c r="C1503" s="1">
        <f>hyperlink("https://hetutrechtsarchief.nl/collectie/6887F4585F052D24E0534701000A2F23","Een Vleutenaar en de Watersnoodramp van 1953 Arthur van der Leij 40-42 2018")</f>
        <v>0</v>
      </c>
      <c r="D1503" s="1">
        <f>hyperlink("http://dspace.library.uu.nl/handle/1874/214014","De familie Kuiper en de watersnoodramp van 1916 Henk van Hees 201-203 1997")</f>
        <v>0</v>
      </c>
    </row>
    <row r="1504" spans="2:4">
      <c r="B1504">
        <v>71</v>
      </c>
      <c r="C1504" s="1">
        <f>hyperlink("https://hetutrechtsarchief.nl/collectie/F562AD1C36E95B18B727B19DE249E2B3","Erfgooiers in Eemnes Henk van Hees 160-168 2017")</f>
        <v>0</v>
      </c>
      <c r="D1504" s="1">
        <f>hyperlink("http://dspace.library.uu.nl/handle/1874/214015","Roland Holst in Eemnes Henk van Hees 217-222 1997")</f>
        <v>0</v>
      </c>
    </row>
    <row r="1505" spans="2:4">
      <c r="B1505">
        <v>71</v>
      </c>
      <c r="C1505" s="1">
        <f>hyperlink("https://hetutrechtsarchief.nl/collectie/AF3A0D08D66756358708E12B162E4D3C","Korte geschiedenis van het geslacht Riggeling in Eemnes Henk van Hees 160-178 1999")</f>
        <v>0</v>
      </c>
      <c r="D1505" s="1">
        <f>hyperlink("http://dspace.library.uu.nl/handle/1874/214016","Korte geschiedenis van het geslacht Eggenkamp Wim Eggenkamp 225-265 1997")</f>
        <v>0</v>
      </c>
    </row>
    <row r="1506" spans="2:4">
      <c r="B1506">
        <v>92</v>
      </c>
      <c r="C1506" s="1">
        <f>hyperlink("https://hetutrechtsarchief.nl/collectie/BC2E40FB31A25BE19AE661C1CF58A048","Herinneringen Jan Klein Chris Roothart 5-8 ill 1998")</f>
        <v>0</v>
      </c>
      <c r="D1506" s="1">
        <f>hyperlink("http://dspace.library.uu.nl/handle/1874/214158","Herinneringen aan Jan Klein Chris Roothart 5-8 1998")</f>
        <v>0</v>
      </c>
    </row>
    <row r="1507" spans="2:4">
      <c r="B1507">
        <v>97</v>
      </c>
      <c r="C1507" s="1">
        <f>hyperlink("https://hetutrechtsarchief.nl/collectie/9189B435A91B55E0B8D0D15DD189E6FC","Rond Tomatuva in de Tweede Wereldoorlog J Pot-van den Hurk 16-21 ill 1998")</f>
        <v>0</v>
      </c>
      <c r="D1507" s="1">
        <f>hyperlink("http://dspace.library.uu.nl/handle/1874/214159","Rond Tomatuva in de Tweede Wereldoorlog J Pot-van den Hurk 16-21 1998")</f>
        <v>0</v>
      </c>
    </row>
    <row r="1508" spans="2:4">
      <c r="B1508">
        <v>94</v>
      </c>
      <c r="C1508" s="1">
        <f>hyperlink("https://hetutrechtsarchief.nl/collectie/15397985A12A5CD3B500789C6FE77C97","Wat vroegere landmeters ons nog vertellen Jan Out 21-30 ill krt 1998")</f>
        <v>0</v>
      </c>
      <c r="D1508" s="1">
        <f>hyperlink("http://dspace.library.uu.nl/handle/1874/214160","Wat vroegere landmeters ons nog vertellen Jan Out 21-30 1998")</f>
        <v>0</v>
      </c>
    </row>
    <row r="1509" spans="2:4">
      <c r="B1509">
        <v>87</v>
      </c>
      <c r="C1509" s="1">
        <f>hyperlink("https://hetutrechtsarchief.nl/collectie/B14FADE7C4AA5EAD8587A36406066483","Een tweede familie van t Klooster in Eemnes de schildersfamilie Henk van Hees en Bertie van Wijk-Blom 30-50 ill portr tab 1998")</f>
        <v>0</v>
      </c>
      <c r="D1509" s="1">
        <f>hyperlink("http://dspace.library.uu.nl/handle/1874/214161","Een tweede familie Van t Klooster in Eemnes de schildersfamilie Bertie van Hees Henk van Wijk-Blom 30-50 1998")</f>
        <v>0</v>
      </c>
    </row>
    <row r="1510" spans="2:4">
      <c r="B1510">
        <v>94</v>
      </c>
      <c r="C1510" s="1">
        <f>hyperlink("https://hetutrechtsarchief.nl/collectie/C9F036B3E94D5036A99AB84704479FC9","Een uit velen het verhaal van Captain Richard M Scott Jaap van der Woude 53-65 ill portr 1998")</f>
        <v>0</v>
      </c>
      <c r="D1510" s="1">
        <f>hyperlink("http://dspace.library.uu.nl/handle/1874/214162","Een uit velen het verhaal van Captain Richard M Scott Jaap van der Woude 53-65 1998")</f>
        <v>0</v>
      </c>
    </row>
    <row r="1511" spans="2:4">
      <c r="B1511">
        <v>92</v>
      </c>
      <c r="C1511" s="1">
        <f>hyperlink("https://hetutrechtsarchief.nl/collectie/54331F13F1665B2683A4DBD1E85E9014","Interview met Chris Roothart Marga van Kleinwee 65-76 ill portr 1998")</f>
        <v>0</v>
      </c>
      <c r="D1511" s="1">
        <f>hyperlink("http://dspace.library.uu.nl/handle/1874/214163","Interview met Chris Roothart Marga van Kleinwee 65-76 1998")</f>
        <v>0</v>
      </c>
    </row>
    <row r="1512" spans="2:4">
      <c r="B1512">
        <v>76</v>
      </c>
      <c r="C1512" s="1">
        <f>hyperlink("https://hetutrechtsarchief.nl/collectie/B01970048985572F8A630D496BA4D77D","Herinneringen Kruidenier Jan Roothart Chris Roothart 68-70 1999")</f>
        <v>0</v>
      </c>
      <c r="D1512" s="1">
        <f>hyperlink("http://dspace.library.uu.nl/handle/1874/214164","Herinneringen aan Teunis Roothart Chris Roothart 132-134 1997")</f>
        <v>0</v>
      </c>
    </row>
    <row r="1513" spans="2:4">
      <c r="B1513">
        <v>74</v>
      </c>
      <c r="C1513" s="1">
        <f>hyperlink("https://hetutrechtsarchief.nl/collectie/9052851B00635A7FA5390DA50B04A5D7","Op bezoek bij de familie Zeldenrijk Marijcke Beel en Rom van der Schaaf 126-140 ill plgr portr 1998")</f>
        <v>0</v>
      </c>
      <c r="D1513" s="1">
        <f>hyperlink("http://dspace.library.uu.nl/handle/1874/214165","Op bezoek bij de familie Zeldenrijk Rom van der Beel Marijcke Schaaf 127-140 1998")</f>
        <v>0</v>
      </c>
    </row>
    <row r="1514" spans="2:4">
      <c r="B1514">
        <v>80</v>
      </c>
      <c r="C1514" s="1">
        <f>hyperlink("https://hetutrechtsarchief.nl/collectie/E55E87C04E46575992E8B5D623A5665A","Herinneringen aan Van Velzen Chris Roothart 140-143 1999")</f>
        <v>0</v>
      </c>
      <c r="D1514" s="1">
        <f>hyperlink("http://dspace.library.uu.nl/handle/1874/214166","Herinneringen aan de evacu s in Eemnes Chris Roothart 148-151 1998")</f>
        <v>0</v>
      </c>
    </row>
    <row r="1515" spans="2:4">
      <c r="B1515">
        <v>62</v>
      </c>
      <c r="C1515" s="1">
        <f>hyperlink("https://hetutrechtsarchief.nl/collectie/F637DE804E155756AC014073C1D00A47","Oud-Eemnessers Mieke Pijnappel en Myriam Wijgman 115-125 ill portr 1998")</f>
        <v>0</v>
      </c>
      <c r="D1515" s="1">
        <f>hyperlink("http://dspace.library.uu.nl/handle/1874/214167","Oud Eemnessers Clementina Maria Mengs van der Wardt-Makker Myriam Pijnappel Mieke Wijgman 115-125 1998")</f>
        <v>0</v>
      </c>
    </row>
    <row r="1516" spans="2:4">
      <c r="B1516">
        <v>80</v>
      </c>
      <c r="C1516" s="1">
        <f>hyperlink("https://hetutrechtsarchief.nl/collectie/5AF8486203125916B9145A36BE7FBA15","Oude Eemnesser Henriet Liscaljet 152-159 ill 1998")</f>
        <v>0</v>
      </c>
      <c r="D1516" s="1">
        <f>hyperlink("http://dspace.library.uu.nl/handle/1874/214168","Oude Eemnesser Mart Scherpenzeel Henriet Liscaljet 152-159 1998")</f>
        <v>0</v>
      </c>
    </row>
    <row r="1517" spans="2:4">
      <c r="B1517">
        <v>79</v>
      </c>
      <c r="C1517" s="1">
        <f>hyperlink("https://hetutrechtsarchief.nl/collectie/ACAA9AFBA9295E5BA4FE8754B76F741F","Korte geschiedenis van een derde familie Hagen in Eemnes samengesteld door Henk van Hees en Bertie van Wijk-Blom 164-184 ill portr tab 1998")</f>
        <v>0</v>
      </c>
      <c r="D1517" s="1">
        <f>hyperlink("http://dspace.library.uu.nl/handle/1874/214169","Korte geschiedenis van de derde familie Hagen in Eemnes Bertie van Hees Henk van Wijk-Blom 164-181 1998")</f>
        <v>0</v>
      </c>
    </row>
    <row r="1518" spans="2:4">
      <c r="B1518">
        <v>79</v>
      </c>
      <c r="C1518" s="1">
        <f>hyperlink("https://hetutrechtsarchief.nl/collectie/89A5274521085A5FA2923A407A390B1C","Wakkerendijk 268 en de familie Van Schie Marijcke Beel en Rom van der Schaaf 185-200 ill plgr 1998")</f>
        <v>0</v>
      </c>
      <c r="D1518" s="1">
        <f>hyperlink("http://dspace.library.uu.nl/handle/1874/214171","Wakkerendijk 268 en de familie Van Schie Rom van der Beel Marijcke Schaaf 185-200 1998")</f>
        <v>0</v>
      </c>
    </row>
    <row r="1519" spans="2:4">
      <c r="B1519">
        <v>73</v>
      </c>
      <c r="C1519" s="1">
        <f>hyperlink("https://hetutrechtsarchief.nl/collectie/E55E87C04E46575992E8B5D623A5665A","Herinneringen aan Van Velzen Chris Roothart 140-143 1999")</f>
        <v>0</v>
      </c>
      <c r="D1519" s="1">
        <f>hyperlink("http://dspace.library.uu.nl/handle/1874/214172","Herinneringen aan de Eemnesser polder Chris Roothart 208-228 1998")</f>
        <v>0</v>
      </c>
    </row>
    <row r="1520" spans="2:4">
      <c r="B1520">
        <v>93</v>
      </c>
      <c r="C1520" s="1">
        <f>hyperlink("https://hetutrechtsarchief.nl/collectie/BCE441B640FA5ED48CB2080C9273E113","Interview met de heer J E van den Hoven Marga van Kleinwee 210-228 ill portr 1998")</f>
        <v>0</v>
      </c>
      <c r="D1520" s="1">
        <f>hyperlink("http://dspace.library.uu.nl/handle/1874/214173","Interview met de heer J E van den Hoven Marga van Kleinwee 210-228 1998")</f>
        <v>0</v>
      </c>
    </row>
    <row r="1521" spans="2:4">
      <c r="B1521">
        <v>93</v>
      </c>
      <c r="C1521" s="1">
        <f>hyperlink("https://hetutrechtsarchief.nl/collectie/18BDE9907A0D5396816CFE5D770885D2","Korte geschiedenis van een geslacht Brouwer in Eemnes en Hilversum Henk van Hees 230-255 ill portr tab 1998")</f>
        <v>0</v>
      </c>
      <c r="D1521" s="1">
        <f>hyperlink("http://dspace.library.uu.nl/handle/1874/214174","Korte geschiedenis van een geslacht Brouwer in Eemnes en Hilversum Henk van Hees 230-255 1998")</f>
        <v>0</v>
      </c>
    </row>
    <row r="1522" spans="2:4">
      <c r="B1522">
        <v>96</v>
      </c>
      <c r="C1522" s="1">
        <f>hyperlink("https://hetutrechtsarchief.nl/collectie/503ACD6CF68659C79099AD796BF32986","Loterijclub Beatrix bestaat 60 jaar Exclusief Eemnesser Herengezelschap Henk van Hees 256-261 portr 1998")</f>
        <v>0</v>
      </c>
      <c r="D1522" s="1">
        <f>hyperlink("http://dspace.library.uu.nl/handle/1874/214175","Loterijclub Beatrix bestaat 60 jaar exclusief Eemnesser herengezelschap Henk van Hees 256-262 1998")</f>
        <v>0</v>
      </c>
    </row>
    <row r="1523" spans="2:4">
      <c r="B1523">
        <v>96</v>
      </c>
      <c r="C1523" s="1">
        <f>hyperlink("https://hetutrechtsarchief.nl/collectie/68314823E75C550A9AFD3E6847142CE0","Auto van dr Holtman in de sloot Henk van Hees 160-162 ill 1998")</f>
        <v>0</v>
      </c>
      <c r="D1523" s="1">
        <f>hyperlink("http://dspace.library.uu.nl/handle/1874/214176","Auto van Dr Holtmann in de sloot Henk van Hees 160-162 1998")</f>
        <v>0</v>
      </c>
    </row>
    <row r="1524" spans="2:4">
      <c r="B1524">
        <v>72</v>
      </c>
      <c r="C1524" s="1">
        <f>hyperlink("https://hetutrechtsarchief.nl/collectie/E55E87C04E46575992E8B5D623A5665A","Herinneringen aan Van Velzen Chris Roothart 140-143 1999")</f>
        <v>0</v>
      </c>
      <c r="D1524" s="1">
        <f>hyperlink("http://dspace.library.uu.nl/handle/1874/214177","Herinneringen aan Martje Weerdenburg-Stalenhoef Chris Roothart 212-217 1997")</f>
        <v>0</v>
      </c>
    </row>
    <row r="1525" spans="2:4">
      <c r="B1525">
        <v>94</v>
      </c>
      <c r="C1525" s="1">
        <f>hyperlink("https://hetutrechtsarchief.nl/collectie/C323A859E5F15ECCA3F9AF72AB7DFB3F","Herinneringen Tinus de Toeter en de organisten Rebel Chris Roothart 84-89 portr 1998")</f>
        <v>0</v>
      </c>
      <c r="D1525" s="1">
        <f>hyperlink("http://dspace.library.uu.nl/handle/1874/214178","Herinneringen aan Tinus de Toeter en de organisten Rebel Chris Roothart 84-89 1998")</f>
        <v>0</v>
      </c>
    </row>
    <row r="1526" spans="2:4">
      <c r="B1526">
        <v>90</v>
      </c>
      <c r="C1526" s="1">
        <f>hyperlink("https://hetutrechtsarchief.nl/collectie/9436D1496C855BFA96448FD36D856C39","Eemnesser Voetbalvereniging 50 jaar W G P G Zanoli 89-95 ill 1998")</f>
        <v>0</v>
      </c>
      <c r="D1526" s="1">
        <f>hyperlink("http://dspace.library.uu.nl/handle/1874/214179","Eemnesser Voetbalvereniging 50 jaar W G P G Redactie Zanoli 89-95 1998")</f>
        <v>0</v>
      </c>
    </row>
    <row r="1527" spans="2:4">
      <c r="B1527">
        <v>91</v>
      </c>
      <c r="C1527" s="1">
        <f>hyperlink("https://hetutrechtsarchief.nl/collectie/57F6B72FF90C5AE489EA5971970F0723","Korte geschiedenis van de familie Nagtegaal Henk van Hees 97-115 ill portr tab 1998")</f>
        <v>0</v>
      </c>
      <c r="D1527" s="1">
        <f>hyperlink("http://dspace.library.uu.nl/handle/1874/214180","Korte geschiedenis van de familie Nagtegaal Henk van Hees 97-115 1998")</f>
        <v>0</v>
      </c>
    </row>
    <row r="1528" spans="2:4">
      <c r="B1528">
        <v>100</v>
      </c>
      <c r="C1528" s="1">
        <f>hyperlink("https://hetutrechtsarchief.nl/collectie/F562D1C7B41A575ABDFF801447929E1D","Baarhuisje R K Kerkhof Eemnes Piet Hagen 95-96 1998")</f>
        <v>0</v>
      </c>
      <c r="D1528" s="1">
        <f>hyperlink("http://dspace.library.uu.nl/handle/1874/214181","Baarhuisje R K Kerkhof Eemnes Piet Hagen 95-96 1998")</f>
        <v>0</v>
      </c>
    </row>
    <row r="1529" spans="2:4">
      <c r="B1529">
        <v>100</v>
      </c>
      <c r="C1529" s="1">
        <f>hyperlink("https://hetutrechtsarchief.nl/collectie/449030C8A9BB5C04AB7C3178DEF846FF","Oude Eemnesser Geitenfokvereniging Lang Gewenscht Henriet Liscaljet 70-78 1999")</f>
        <v>0</v>
      </c>
      <c r="D1529" s="1">
        <f>hyperlink("http://dspace.library.uu.nl/handle/1874/214182","Oude Eemnesser Geitenfokvereniging Lang Gewenscht Henriet Liscaljet 70-78 1999")</f>
        <v>0</v>
      </c>
    </row>
    <row r="1530" spans="2:4">
      <c r="B1530">
        <v>86</v>
      </c>
      <c r="C1530" s="1">
        <f>hyperlink("https://hetutrechtsarchief.nl/collectie/962F8E03C73454038A01C050850A6C1B","Korte geschiedenis van het geslacht Van Isselt in Eemnes samengesteld door Henk van Hees en Bertie van Wijk-Blom 81-108 1999")</f>
        <v>0</v>
      </c>
      <c r="D1530" s="1">
        <f>hyperlink("http://dspace.library.uu.nl/handle/1874/214183","Korte geschiedenis van het geslacht Van Isselt in Eemnes Bertie van Hees Henk van Wijk-Blom 81-108 1999")</f>
        <v>0</v>
      </c>
    </row>
    <row r="1531" spans="2:4">
      <c r="B1531">
        <v>83</v>
      </c>
      <c r="C1531" s="1">
        <f>hyperlink("https://hetutrechtsarchief.nl/collectie/5AD24C348870501ABBAED4FEE3C65B6F","Meentweg 75 en de familie Van Beijeren Marijcke Beel en Rom van der Schaaf 108-131 1999")</f>
        <v>0</v>
      </c>
      <c r="D1531" s="1">
        <f>hyperlink("http://dspace.library.uu.nl/handle/1874/214184","Meentweg 75 en de familie Van Beijeren Rom van der Beel Marijcke Schaaf 108-131 1999")</f>
        <v>0</v>
      </c>
    </row>
    <row r="1532" spans="2:4">
      <c r="B1532">
        <v>95</v>
      </c>
      <c r="C1532" s="1">
        <f>hyperlink("https://hetutrechtsarchief.nl/collectie/E55E87C04E46575992E8B5D623A5665A","Herinneringen aan Van Velzen Chris Roothart 140-143 1999")</f>
        <v>0</v>
      </c>
      <c r="D1532" s="1">
        <f>hyperlink("http://dspace.library.uu.nl/handle/1874/214185","Herinneringen aan Vrouw Van Velzen Chris Roothart 140-143 1999")</f>
        <v>0</v>
      </c>
    </row>
    <row r="1533" spans="2:4">
      <c r="B1533">
        <v>100</v>
      </c>
      <c r="C1533" s="1">
        <f>hyperlink("https://hetutrechtsarchief.nl/collectie/994EE359ABD958D283E8FAC9A12C521E","Interview met mevrouw G Hagen-Dop Marga van Kleinwee 143-157 1999")</f>
        <v>0</v>
      </c>
      <c r="D1533" s="1">
        <f>hyperlink("http://dspace.library.uu.nl/handle/1874/214186","Interview met mevrouw G Hagen-Dop Marga van Kleinwee 143-157 1999")</f>
        <v>0</v>
      </c>
    </row>
    <row r="1534" spans="2:4">
      <c r="B1534">
        <v>85</v>
      </c>
      <c r="C1534" s="1">
        <f>hyperlink("https://hetutrechtsarchief.nl/collectie/FF2570A1C87F5FBD9FC57A5D771E8C80","Eemnesser Koeien Trofee 1999 157-160 1999")</f>
        <v>0</v>
      </c>
      <c r="D1534" s="1">
        <f>hyperlink("http://dspace.library.uu.nl/handle/1874/214187","Eemnesser Koeien Trofee 1999 Henk van Hees 157-160 1999")</f>
        <v>0</v>
      </c>
    </row>
    <row r="1535" spans="2:4">
      <c r="B1535">
        <v>100</v>
      </c>
      <c r="C1535" s="1">
        <f>hyperlink("https://hetutrechtsarchief.nl/collectie/AF3A0D08D66756358708E12B162E4D3C","Korte geschiedenis van het geslacht Riggeling in Eemnes Henk van Hees 160-178 1999")</f>
        <v>0</v>
      </c>
      <c r="D1535" s="1">
        <f>hyperlink("http://dspace.library.uu.nl/handle/1874/214188","Korte geschiedenis van het geslacht Riggeling in Eemnes Henk van Hees 160-178 1999")</f>
        <v>0</v>
      </c>
    </row>
    <row r="1536" spans="2:4">
      <c r="B1536">
        <v>82</v>
      </c>
      <c r="C1536" s="1">
        <f>hyperlink("https://hetutrechtsarchief.nl/collectie/3B08895591B151B1A65AD33E17ED90D5","De boerderij Meentweg 47 en de bewoners tekst Rom van der Schaaf foto s D sir e van Oostrum 180-199 1999")</f>
        <v>0</v>
      </c>
      <c r="D1536" s="1">
        <f>hyperlink("http://dspace.library.uu.nl/handle/1874/214189","De boerderij Meentweg 47 en de bewoners D sir e van Schaaf Rom van der Oostrum 180-199 1999")</f>
        <v>0</v>
      </c>
    </row>
    <row r="1537" spans="2:4">
      <c r="B1537">
        <v>97</v>
      </c>
      <c r="C1537" s="1">
        <f>hyperlink("https://hetutrechtsarchief.nl/collectie/B01970048985572F8A630D496BA4D77D","Herinneringen Kruidenier Jan Roothart Chris Roothart 68-70 1999")</f>
        <v>0</v>
      </c>
      <c r="D1537" s="1">
        <f>hyperlink("http://dspace.library.uu.nl/handle/1874/214190","Herinneringen aan kruidenier Jan Roothart Chris Roothart 68-70 1999")</f>
        <v>0</v>
      </c>
    </row>
    <row r="1538" spans="2:4">
      <c r="B1538">
        <v>70</v>
      </c>
      <c r="C1538" s="1">
        <f>hyperlink("https://hetutrechtsarchief.nl/collectie/E55E87C04E46575992E8B5D623A5665A","Herinneringen aan Van Velzen Chris Roothart 140-143 1999")</f>
        <v>0</v>
      </c>
      <c r="D1538" s="1">
        <f>hyperlink("http://dspace.library.uu.nl/handle/1874/214191","Herinneringen aan de polder van Eemnes en Wouter Stalenhoef Chris Roothart 31-36 1996")</f>
        <v>0</v>
      </c>
    </row>
    <row r="1539" spans="2:4">
      <c r="B1539">
        <v>95</v>
      </c>
      <c r="C1539" s="1">
        <f>hyperlink("https://hetutrechtsarchief.nl/collectie/238DE698ADA25CC9A9D47C6CE1886FBE","Herinneringen over de zuid-westhoek van Eemnes Chris Roothart 209-211 1999")</f>
        <v>0</v>
      </c>
      <c r="D1539" s="1">
        <f>hyperlink("http://dspace.library.uu.nl/handle/1874/214192","Herinneringen aan de zuid-westhoek van Eemnes Chris Roothart 209-211 1999")</f>
        <v>0</v>
      </c>
    </row>
    <row r="1540" spans="2:4">
      <c r="B1540">
        <v>100</v>
      </c>
      <c r="C1540" s="1">
        <f>hyperlink("https://hetutrechtsarchief.nl/collectie/F3515C7C715B5DF3A2E7EC85AFC530E3","Herinneringen aan Stadwijk Ada van Valkengoed 212-218 1999")</f>
        <v>0</v>
      </c>
      <c r="D1540" s="1">
        <f>hyperlink("http://dspace.library.uu.nl/handle/1874/214193","Herinneringen aan Stadwijk Ada van Valkengoed 212-218 1999")</f>
        <v>0</v>
      </c>
    </row>
    <row r="1541" spans="2:4">
      <c r="B1541">
        <v>100</v>
      </c>
      <c r="C1541" s="1">
        <f>hyperlink("https://hetutrechtsarchief.nl/collectie/F5408E83CA1D5224829E4056E7C31829","Korte geschiedenis van de oudste familie Van den Berg in Eemnes Henk van Hees 219-242 1999")</f>
        <v>0</v>
      </c>
      <c r="D1541" s="1">
        <f>hyperlink("http://dspace.library.uu.nl/handle/1874/214194","Korte geschiedenis van de oudste familie Van den Berg in Eemnes Henk van Hees 219-242 1999")</f>
        <v>0</v>
      </c>
    </row>
    <row r="1542" spans="2:4">
      <c r="B1542">
        <v>82</v>
      </c>
      <c r="C1542" s="1">
        <f>hyperlink("https://hetutrechtsarchief.nl/collectie/82E2B709A3A95BE8A310B22E74806A3A","Een vraaggesprek met Piet Klaasse Mieke Pijnappel en Mirjam Wijgman 244-257 1999")</f>
        <v>0</v>
      </c>
      <c r="D1542" s="1">
        <f>hyperlink("http://dspace.library.uu.nl/handle/1874/214195","Een vraaggesprek met Piet Klaasse Piet Pijnappel Mieke Wijgman Myriam Klaasse 244-257 1999")</f>
        <v>0</v>
      </c>
    </row>
    <row r="1543" spans="2:4">
      <c r="B1543">
        <v>100</v>
      </c>
      <c r="C1543" s="1">
        <f>hyperlink("https://hetutrechtsarchief.nl/collectie/22748E83DC5D5591BE399D1C8564D074","Interview met mevrouw Jannetje Cozijnsen Marga van Kleinwee 7-21 2000")</f>
        <v>0</v>
      </c>
      <c r="D1543" s="1">
        <f>hyperlink("http://dspace.library.uu.nl/handle/1874/214196","Interview met mevrouw Jannetje Cozijnsen Marga van Kleinwee 7-21 2000")</f>
        <v>0</v>
      </c>
    </row>
    <row r="1544" spans="2:4">
      <c r="B1544">
        <v>98</v>
      </c>
      <c r="C1544" s="1">
        <f>hyperlink("https://hetutrechtsarchief.nl/collectie/19500D14934956FAA795ED1F939AF0E6","Familie Luijf Eemnes Jaap Luijf 23-54 2000")</f>
        <v>0</v>
      </c>
      <c r="D1544" s="1">
        <f>hyperlink("http://dspace.library.uu.nl/handle/1874/214197","Familie Luijf - Eemnes Jaap Luijf 23-54 2000")</f>
        <v>0</v>
      </c>
    </row>
    <row r="1545" spans="2:4">
      <c r="B1545">
        <v>100</v>
      </c>
      <c r="C1545" s="1">
        <f>hyperlink("https://hetutrechtsarchief.nl/collectie/B6E43B67285150ADB71DDB4834264506","Laarderweg 38 en het gezin Hilhorst Rom van der Schaaf 55-59 2000")</f>
        <v>0</v>
      </c>
      <c r="D1545" s="1">
        <f>hyperlink("http://dspace.library.uu.nl/handle/1874/214198","Laarderweg 38 en het gezin Hilhorst Rom van der Schaaf 55-59 2000")</f>
        <v>0</v>
      </c>
    </row>
    <row r="1546" spans="2:4">
      <c r="B1546">
        <v>80</v>
      </c>
      <c r="C1546" s="1">
        <f>hyperlink("https://hetutrechtsarchief.nl/collectie/0C4062400DBC5AE1AB8B90DFC278DA4A","Historie van het Openbaar Onderwijs in Eemnes deel 2 Jaap Groeneveld 169-177 2000")</f>
        <v>0</v>
      </c>
      <c r="D1546" s="1">
        <f>hyperlink("http://dspace.library.uu.nl/handle/1874/214199","Historie van het openbaar onderwijs in Eemnes Jaap Groeneveld 8-15 nr 3 p 169-178 nr 4 p 189-199 2000")</f>
        <v>0</v>
      </c>
    </row>
    <row r="1547" spans="2:4">
      <c r="B1547">
        <v>86</v>
      </c>
      <c r="C1547" s="1">
        <f>hyperlink("https://hetutrechtsarchief.nl/collectie/298F46B370EB55AA9324074B5FEAA7AF","Oude Eemnesser de heer J de Lange electricien Jan de Lange 17-23 2000")</f>
        <v>0</v>
      </c>
      <c r="D1547" s="1">
        <f>hyperlink("http://dspace.library.uu.nl/handle/1874/214200","Oude Eemnesser de heer J de Lange electricien Henriet Lange Jan de Liscaljet 17-23 2000")</f>
        <v>0</v>
      </c>
    </row>
    <row r="1548" spans="2:4">
      <c r="B1548">
        <v>100</v>
      </c>
      <c r="C1548" s="1">
        <f>hyperlink("https://hetutrechtsarchief.nl/collectie/C49CE696276B5C348A5514136017B402","Korte geschiedenis van het geslacht Harskamp Henk van Hees 24-38 2000")</f>
        <v>0</v>
      </c>
      <c r="D1548" s="1">
        <f>hyperlink("http://dspace.library.uu.nl/handle/1874/214201","Korte geschiedenis van het geslacht Harskamp Henk van Hees 24-38 2000")</f>
        <v>0</v>
      </c>
    </row>
    <row r="1549" spans="2:4">
      <c r="B1549">
        <v>84</v>
      </c>
      <c r="C1549" s="1">
        <f>hyperlink("https://hetutrechtsarchief.nl/collectie/9FE9D337D8455782A10816F23ABEAF00","Wakkerendijk 44a t m 52 Stadwijk en Koetshuis Rom van der Schaaf 259-273 1999")</f>
        <v>0</v>
      </c>
      <c r="D1549" s="1">
        <f>hyperlink("http://dspace.library.uu.nl/handle/1874/214202","Wakkerendijk 44a t m 52 Stadwijk en Koetshuis Rom van der Schaaf 259-273 jg 22 2000 nr 2 p 39-51 1999-2000")</f>
        <v>0</v>
      </c>
    </row>
    <row r="1550" spans="2:4">
      <c r="B1550">
        <v>95</v>
      </c>
      <c r="C1550" s="1">
        <f>hyperlink("https://hetutrechtsarchief.nl/collectie/9AA5736708AC5D16BB96FF1A40F37B84","Herinneringen vervoer per bakfiets in de oorlogsjaren Chris Roothart 127-128 2000")</f>
        <v>0</v>
      </c>
      <c r="D1550" s="1">
        <f>hyperlink("http://dspace.library.uu.nl/handle/1874/214203","Herinneringen aan het vervoer per bakfiets in de oorlogsjaren Chris Roothart 127-128 2000")</f>
        <v>0</v>
      </c>
    </row>
    <row r="1551" spans="2:4">
      <c r="B1551">
        <v>100</v>
      </c>
      <c r="C1551" s="1">
        <f>hyperlink("https://hetutrechtsarchief.nl/collectie/FB844F80C1B35E2DAAC3AA76AB372BA8","Interview met John van den Heuvel beeldend kunstenaar Henk van Hees 129-134 2000")</f>
        <v>0</v>
      </c>
      <c r="D1551" s="1">
        <f>hyperlink("http://dspace.library.uu.nl/handle/1874/214204","Interview met John van den Heuvel beeldend kunstenaar Henk van Hees 129-134 2000")</f>
        <v>0</v>
      </c>
    </row>
    <row r="1552" spans="2:4">
      <c r="B1552">
        <v>86</v>
      </c>
      <c r="C1552" s="1">
        <f>hyperlink("https://hetutrechtsarchief.nl/collectie/AA75D0D016E55824810BAA1426130D45","Korte geschiedenis van het geslacht Gieskens in Eemnes samengesteld door Henk van Hees en Bertie van Wijk-Blom 135-168 2000")</f>
        <v>0</v>
      </c>
      <c r="D1552" s="1">
        <f>hyperlink("http://dspace.library.uu.nl/handle/1874/214205","Korte geschiedenis van het geslacht Gieskens in Eemnes Bertie van Hees Henk van Wijk-Blom 135-168 2000")</f>
        <v>0</v>
      </c>
    </row>
    <row r="1553" spans="2:4">
      <c r="B1553">
        <v>100</v>
      </c>
      <c r="C1553" s="1">
        <f>hyperlink("https://hetutrechtsarchief.nl/collectie/A5CE74D5A447525C939145BAED4EE2D0","De gastvrijheid van Deken De Beer Henk van Hees 200-202 2000")</f>
        <v>0</v>
      </c>
      <c r="D1553" s="1">
        <f>hyperlink("http://dspace.library.uu.nl/handle/1874/214206","De gastvrijheid van Deken De Beer Henk van Hees 200-202 2000")</f>
        <v>0</v>
      </c>
    </row>
    <row r="1554" spans="2:4">
      <c r="B1554">
        <v>90</v>
      </c>
      <c r="C1554" s="1">
        <f>hyperlink("https://hetutrechtsarchief.nl/collectie/5447E23124DC551E8F87B2D67426B9A7","Interview met mevrouw C J Hage-Heijligers Mieke Pijnappel en Myriam Wijgman 203-210 2000")</f>
        <v>0</v>
      </c>
      <c r="D1554" s="1">
        <f>hyperlink("http://dspace.library.uu.nl/handle/1874/214207","Interview met mevrouw C J Hage-Heijligers Myriam Pijnappel Mieke Wijgman 203-210 2000")</f>
        <v>0</v>
      </c>
    </row>
    <row r="1555" spans="2:4">
      <c r="B1555">
        <v>100</v>
      </c>
      <c r="C1555" s="1">
        <f>hyperlink("https://hetutrechtsarchief.nl/collectie/7286D7768315566CA4470FD092CD5175","Nogmaals de merklap van de familie Van Isselt Henk van Hees 212-213 2000")</f>
        <v>0</v>
      </c>
      <c r="D1555" s="1">
        <f>hyperlink("http://dspace.library.uu.nl/handle/1874/214208","Nogmaals de merklap van de familie Van Isselt Henk van Hees 212-213 2000")</f>
        <v>0</v>
      </c>
    </row>
    <row r="1556" spans="2:4">
      <c r="B1556">
        <v>100</v>
      </c>
      <c r="C1556" s="1">
        <f>hyperlink("https://hetutrechtsarchief.nl/collectie/53230AAE37E25A34A3ACA9365B2CE9BE","De verlenging van de korte geschiedenis van het geslacht Van Isselt in Eemnes Giorgio Sjors Zanoli 214-220 2000")</f>
        <v>0</v>
      </c>
      <c r="D1556" s="1">
        <f>hyperlink("http://dspace.library.uu.nl/handle/1874/214209","De verlenging van de korte geschiedenis van het geslacht Van Isselt in Eemnes Giorgio Sjors Zanoli 214-220 2000")</f>
        <v>0</v>
      </c>
    </row>
    <row r="1557" spans="2:4">
      <c r="B1557">
        <v>95</v>
      </c>
      <c r="C1557" s="1">
        <f>hyperlink("https://hetutrechtsarchief.nl/collectie/99997F126E66580E98EFEB0E9178FEF8","Herinneringen Tweede Wereldoorlog Chris Roothart 185-187 2000")</f>
        <v>0</v>
      </c>
      <c r="D1557" s="1">
        <f>hyperlink("http://dspace.library.uu.nl/handle/1874/214210","Herinneringen aan de Tweede Wereldoorlog Chris Roothart 185-187 2000")</f>
        <v>0</v>
      </c>
    </row>
    <row r="1558" spans="2:4">
      <c r="B1558">
        <v>64</v>
      </c>
      <c r="C1558" s="1">
        <f>hyperlink("https://hetutrechtsarchief.nl/collectie/C323A859E5F15ECCA3F9AF72AB7DFB3F","Herinneringen Tinus de Toeter en de organisten Rebel Chris Roothart 84-89 portr 1998")</f>
        <v>0</v>
      </c>
      <c r="D1558" s="1">
        <f>hyperlink("http://dspace.library.uu.nl/handle/1874/214211","Herinneringen van Chris Roothart aan de armenakker in Eemnes-Binnen Chris Roothart 85-88 1996")</f>
        <v>0</v>
      </c>
    </row>
    <row r="1559" spans="2:4">
      <c r="B1559">
        <v>75</v>
      </c>
      <c r="C1559" s="1">
        <f>hyperlink("https://hetutrechtsarchief.nl/collectie/E55E87C04E46575992E8B5D623A5665A","Herinneringen aan Van Velzen Chris Roothart 140-143 1999")</f>
        <v>0</v>
      </c>
      <c r="D1559" s="1">
        <f>hyperlink("http://dspace.library.uu.nl/handle/1874/214212","Herinneringen aan het centrum van Eemnes-Binnen Chris Roothart 138-140 1996")</f>
        <v>0</v>
      </c>
    </row>
    <row r="1560" spans="2:4">
      <c r="B1560">
        <v>69</v>
      </c>
      <c r="C1560" s="1">
        <f>hyperlink("https://hetutrechtsarchief.nl/collectie/E55E87C04E46575992E8B5D623A5665A","Herinneringen aan Van Velzen Chris Roothart 140-143 1999")</f>
        <v>0</v>
      </c>
      <c r="D1560" s="1">
        <f>hyperlink("http://dspace.library.uu.nl/handle/1874/214213","Herinneringen aan Teus Blom en Teus Hilhorst Chris Roothart 238-240 1996")</f>
        <v>0</v>
      </c>
    </row>
    <row r="1561" spans="2:4">
      <c r="B1561">
        <v>80</v>
      </c>
      <c r="C1561" s="1">
        <f>hyperlink("https://hetutrechtsarchief.nl/collectie/E55E87C04E46575992E8B5D623A5665A","Herinneringen aan Van Velzen Chris Roothart 140-143 1999")</f>
        <v>0</v>
      </c>
      <c r="D1561" s="1">
        <f>hyperlink("http://dspace.library.uu.nl/handle/1874/214214","Herinneringen aan Teus Soek Chris Roothart 8-13 1997")</f>
        <v>0</v>
      </c>
    </row>
    <row r="1562" spans="2:4">
      <c r="B1562">
        <v>77</v>
      </c>
      <c r="C1562" s="1">
        <f>hyperlink("https://hetutrechtsarchief.nl/collectie/E55E87C04E46575992E8B5D623A5665A","Herinneringen aan Van Velzen Chris Roothart 140-143 1999")</f>
        <v>0</v>
      </c>
      <c r="D1562" s="1">
        <f>hyperlink("http://dspace.library.uu.nl/handle/1874/214215","Herinneringen aan Henk de Bakker Chris Roothart 64-67 1997")</f>
        <v>0</v>
      </c>
    </row>
    <row r="1563" spans="2:4">
      <c r="B1563">
        <v>91</v>
      </c>
      <c r="C1563" s="1">
        <f>hyperlink("https://hetutrechtsarchief.nl/collectie/88721404C4D45C20BC53F122F444CDC3","Wakkerendijk 178 en de familie Van Klooster Rom van der Schaaf 34-52 ill plgr portr 1999")</f>
        <v>0</v>
      </c>
      <c r="D1563" s="1">
        <f>hyperlink("http://dspace.library.uu.nl/handle/1874/214216","Wakkerendijk 178 en de familie Van Klooster Rom van der Schaaf 34-52 1999")</f>
        <v>0</v>
      </c>
    </row>
    <row r="1564" spans="2:4">
      <c r="B1564">
        <v>60</v>
      </c>
      <c r="C1564" s="1">
        <f>hyperlink("https://hetutrechtsarchief.nl/collectie/FEC5257FBDE759F9B52CBBC59804C3CC","De groenste brandweerkazerne in aanbouw 3-4 tek 1995")</f>
        <v>0</v>
      </c>
      <c r="D1564" s="1">
        <f>hyperlink("http://dspace.library.uu.nl/handle/1874/214217","Overdracht brandweerkazerne 28 januari 1998 11-14 1998")</f>
        <v>0</v>
      </c>
    </row>
    <row r="1565" spans="2:4">
      <c r="B1565">
        <v>92</v>
      </c>
      <c r="C1565" s="1">
        <f>hyperlink("https://hetutrechtsarchief.nl/collectie/812809668C2951F498B83BC0F7C6A786","Herinneringen IJbert Kroeskamp Chris Roothart 4-6 portr 1999")</f>
        <v>0</v>
      </c>
      <c r="D1565" s="1">
        <f>hyperlink("http://dspace.library.uu.nl/handle/1874/214218","Herinneringen aan IJbert Kroeskamp Chris Roothart 4-6 1999")</f>
        <v>0</v>
      </c>
    </row>
    <row r="1566" spans="2:4">
      <c r="B1566">
        <v>77</v>
      </c>
      <c r="C1566" s="1">
        <f>hyperlink("https://hetutrechtsarchief.nl/collectie/1F4165DE184359B1870CC2CF563150C5","Korte geschiedenis van het geslacht Jongerden in Eemnes en Huizen samengesteld door Henk van Hees en Bertie van Wijk-Blom 9-33 ill portr tab 1999")</f>
        <v>0</v>
      </c>
      <c r="D1566" s="1">
        <f>hyperlink("http://dspace.library.uu.nl/handle/1874/214219","Korte geschiedenis van het geslacht Jongerden in Eemnes en Huizen een erfgooiersfamilie van rietdekkers Bertie van Hees Henk van Wijk-Blom 9-33 1999")</f>
        <v>0</v>
      </c>
    </row>
    <row r="1567" spans="2:4">
      <c r="B1567">
        <v>82</v>
      </c>
      <c r="C1567" s="1">
        <f>hyperlink("https://hetutrechtsarchief.nl/collectie/D63136C7A100556BB07ABE94D7F3460B","Interview met Jan Steenman Mieke Pijnappel en Myriam Wijgman 52-61 ill portr 1999")</f>
        <v>0</v>
      </c>
      <c r="D1567" s="1">
        <f>hyperlink("http://dspace.library.uu.nl/handle/1874/214220","Interview met Jan Steenman Myriam Pijnappel Mieke Wijgman 52-61 1999")</f>
        <v>0</v>
      </c>
    </row>
    <row r="1568" spans="2:4">
      <c r="B1568">
        <v>64</v>
      </c>
      <c r="C1568" s="1">
        <f>hyperlink("https://hetutrechtsarchief.nl/collectie/238DE698ADA25CC9A9D47C6CE1886FBE","Herinneringen over de zuid-westhoek van Eemnes Chris Roothart 209-211 1999")</f>
        <v>0</v>
      </c>
      <c r="D1568" s="1">
        <f>hyperlink("http://dspace.library.uu.nl/handle/1874/214221","Herinneringen aan de bezorging van waren aan huis in de jaren dertig Chris Roothart 115-121 1995")</f>
        <v>0</v>
      </c>
    </row>
    <row r="1569" spans="2:4">
      <c r="B1569">
        <v>97</v>
      </c>
      <c r="C1569" s="1">
        <f>hyperlink("https://hetutrechtsarchief.nl/collectie/153A6A79A91D5CDB85ACC8E965A78412","Utrecht en de stadhouders enige episoden uit de 17de en 18de eeuw K Potjewijd 35-58 ill 1970")</f>
        <v>0</v>
      </c>
      <c r="D1569" s="1">
        <f>hyperlink("http://dspace.library.uu.nl/handle/1874/214222","Utrecht en de Stadhouders enige episoden uit de 17de en 18de eeuw K Potjewijd 35-38 1970")</f>
        <v>0</v>
      </c>
    </row>
    <row r="1570" spans="2:4">
      <c r="B1570">
        <v>92</v>
      </c>
      <c r="C1570" s="1">
        <f>hyperlink("https://hetutrechtsarchief.nl/collectie/B0A65B30F9F65D7393DD41515EC69340","De Nederlands Hervormde Kerk te Maarssen M A Schimmel 9-34 ill 1970")</f>
        <v>0</v>
      </c>
      <c r="D1570" s="1">
        <f>hyperlink("http://dspace.library.uu.nl/handle/1874/214223","Nederlandse Hervormde Kerk te Maarssen Meta A Schimmel 9-34 1970")</f>
        <v>0</v>
      </c>
    </row>
    <row r="1571" spans="2:4">
      <c r="B1571">
        <v>55</v>
      </c>
      <c r="C1571" s="1">
        <f>hyperlink("https://hetutrechtsarchief.nl/collectie/0217AF78D17051E7B57FAC6F4368B1CA","60 jaar Oud-Utrecht een fotoreportage E Jansen en G J R hner 189-193 ill 1983")</f>
        <v>0</v>
      </c>
      <c r="D1571" s="1">
        <f>hyperlink("http://dspace.library.uu.nl/handle/1874/214273","50 jaar Oud Utrecht onder red van E L S Offringa-Boom et al E L S Offringa-Boom 1 -247 1973")</f>
        <v>0</v>
      </c>
    </row>
    <row r="1572" spans="2:4">
      <c r="B1572">
        <v>60</v>
      </c>
      <c r="C1572" s="1">
        <f>hyperlink("https://hetutrechtsarchief.nl/collectie/78FE616E732A500880F1F7D64FEC97E5","1972 Utrecht 850 jaar stadsrecht J E A L Struick 1-6 ill 1972")</f>
        <v>0</v>
      </c>
      <c r="D1572" s="1">
        <f>hyperlink("http://dspace.library.uu.nl/handle/1874/214274","Utrecht 850 jaar stadsrecht onder red van E L S Offringa-Boom et al E L S Offringa-Boom 1 -218 1972")</f>
        <v>0</v>
      </c>
    </row>
    <row r="1573" spans="2:4">
      <c r="B1573">
        <v>98</v>
      </c>
      <c r="C1573" s="1">
        <f>hyperlink("https://hetutrechtsarchief.nl/collectie/FBDF5311495953B9A0C2759F15BC6871","Het Sticht in de dertiende eeuw een historiografisch probleem F W N Hugenholtz 38-54 ill 1972")</f>
        <v>0</v>
      </c>
      <c r="D1573" s="1">
        <f>hyperlink("http://dspace.library.uu.nl/handle/1874/214275","Het Sticht in de dertiende eeuw een historiografisch probleem F W N Hugenholtz 38-54 1972")</f>
        <v>0</v>
      </c>
    </row>
    <row r="1574" spans="2:4">
      <c r="B1574">
        <v>71</v>
      </c>
      <c r="C1574" s="1">
        <f>hyperlink("https://hetutrechtsarchief.nl/collectie/F665A8C9A2BE503BB7F5CC0B8F79BD61","50 jaar monumentenzorg in stad en provincie Utrecht W Stooker W Thoomes en C J Bardet 148-186 ill - Jubileumnummer 50 jaar Oud Utrecht 1973")</f>
        <v>0</v>
      </c>
      <c r="D1574" s="1">
        <f>hyperlink("http://dspace.library.uu.nl/handle/1874/214276","Vijftig jaar monumentenzorg in stad en provincie Utrecht C L Stooker W Thoomes W Bardet C J Temminck Groll 148-186 1973")</f>
        <v>0</v>
      </c>
    </row>
    <row r="1575" spans="2:4">
      <c r="B1575">
        <v>97</v>
      </c>
      <c r="C1575" s="1">
        <f>hyperlink("https://hetutrechtsarchief.nl/collectie/C137DC38EF7856569DD38D49909A75D5","De historische verenigingen in de provincie Louise van Tongerloo 47-69 ill 1973")</f>
        <v>0</v>
      </c>
      <c r="D1575" s="1">
        <f>hyperlink("http://dspace.library.uu.nl/handle/1874/214277","De historische verenigingen in de provincie Louise van Tongerloo 47-69 1973")</f>
        <v>0</v>
      </c>
    </row>
    <row r="1576" spans="2:4">
      <c r="B1576">
        <v>97</v>
      </c>
      <c r="C1576" s="1">
        <f>hyperlink("https://hetutrechtsarchief.nl/collectie/1AC3FE35C4705A2A992E6AF0058C01D7","Verkiezingen in Utrecht 1825-1848 stands- en trapsgewijs L Blok 19-27 ill 1975")</f>
        <v>0</v>
      </c>
      <c r="D1576" s="1">
        <f>hyperlink("http://dspace.library.uu.nl/handle/1874/214278","Verkiezingen in Utrecht 1825-1848 stands- en trapsgewijs L Blok 19-27 1975")</f>
        <v>0</v>
      </c>
    </row>
    <row r="1577" spans="2:4">
      <c r="B1577">
        <v>99</v>
      </c>
      <c r="C1577" s="1">
        <f>hyperlink("https://hetutrechtsarchief.nl/collectie/84DB04A714165E6EB58C81570C8ECE4A","Een introductie voor de restauratie inaugurale rede uitgesproken bij de aanvaarding van het ambt van gewoon hoogleraar in het architektonisch ontwerpen restauratie aan de Technische Hogeschool te Delft op woensdag 4 april 1973 in de Oude Kerk te Delft C L Temminck Groll 28-43 ill 1975")</f>
        <v>0</v>
      </c>
      <c r="D1577" s="1">
        <f>hyperlink("http://dspace.library.uu.nl/handle/1874/214279","Een introductie voor de restauratie inaugurele rede uitgesproken bij de aanvaarding van het ambt van gewoon hoogleraar in het architektonisch ontwerpen restauratie aan de Technische Hogelschool te Delft op woensdag 4 april 1973 in de Oude Kerk te Delft C L Temminck Groll 28-43 1975")</f>
        <v>0</v>
      </c>
    </row>
    <row r="1578" spans="2:4">
      <c r="B1578">
        <v>99</v>
      </c>
      <c r="C1578" s="1">
        <f>hyperlink("https://hetutrechtsarchief.nl/collectie/B260BC177D1555A8BF7FBD53475B899A","Terug naar de Landbrief rede uitgesproken ter gelegenheid van de herdenking van 600 jaar Stichtse Staten door de Commissaris der Koningin in de provincie Utrecht op 14 mei 1975 in de Domkerk te Utrecht P J Verdam 7-18 ill 1975")</f>
        <v>0</v>
      </c>
      <c r="D1578" s="1">
        <f>hyperlink("http://dspace.library.uu.nl/handle/1874/214280","Terug naar de Landbrief rede uitgesproken ter gelegenheid van de herdenking van 600 jaar Stichtse Staten door de Commissaris der Koningin in de provincie Utrecht op 14 Mei 1975 in de Domkerk te Utrecht P J Verdam 7-18 1975")</f>
        <v>0</v>
      </c>
    </row>
    <row r="1579" spans="2:4">
      <c r="B1579">
        <v>98</v>
      </c>
      <c r="C1579" s="1">
        <f>hyperlink("https://hetutrechtsarchief.nl/collectie/B293F1D794F151588D54E402F2394989","Het ontslag van de Kommissaris des Konings in de provincie Utrecht in 1850 G J Hooykaas 204-215 ill 1976")</f>
        <v>0</v>
      </c>
      <c r="D1579" s="1">
        <f>hyperlink("http://dspace.library.uu.nl/handle/1874/214281","Het ontslag van de Kommissaris des Konings in de provincie Utrecht in 1850 G J Hooykaas 204-215 1976")</f>
        <v>0</v>
      </c>
    </row>
    <row r="1580" spans="2:4">
      <c r="B1580">
        <v>100</v>
      </c>
      <c r="C1580" s="1">
        <f>hyperlink("https://hetutrechtsarchief.nl/collectie/BA09F1196DA2561FAC1ACEAD14AE457F","Examen in Abcoude E P Polak-de Booy 71-79 1970")</f>
        <v>0</v>
      </c>
      <c r="D1580" s="1">
        <f>hyperlink("http://dspace.library.uu.nl/handle/1874/214282","Examen in Abcoude E P Polak-de Booy 71-79 1970")</f>
        <v>0</v>
      </c>
    </row>
    <row r="1581" spans="2:4">
      <c r="B1581">
        <v>100</v>
      </c>
      <c r="C1581" s="1">
        <f>hyperlink("https://hetutrechtsarchief.nl/collectie/E6D9B852C25F597BBA0F33FB5A08FBA7","Amersfoort en Holland 1410-1430 J G Smit 115-128 1971")</f>
        <v>0</v>
      </c>
      <c r="D1581" s="1">
        <f>hyperlink("http://dspace.library.uu.nl/handle/1874/214283","Amersfoort en Holland 1410-1430 J G Smit 115-128 1971")</f>
        <v>0</v>
      </c>
    </row>
    <row r="1582" spans="2:4">
      <c r="B1582">
        <v>97</v>
      </c>
      <c r="C1582" s="1">
        <f>hyperlink("https://hetutrechtsarchief.nl/collectie/D83B7CCC6317598694FF0079C2BE2591","Het Glashuis aan de Westsingel te Amersfoort J Hovy 163-179 ill 1974")</f>
        <v>0</v>
      </c>
      <c r="D1582" s="1">
        <f>hyperlink("http://dspace.library.uu.nl/handle/1874/214284","Het Glashuis aan de Westsingel te Amersfoort J Hovy 163-179 1974")</f>
        <v>0</v>
      </c>
    </row>
    <row r="1583" spans="2:4">
      <c r="B1583">
        <v>99</v>
      </c>
      <c r="C1583" s="1">
        <f>hyperlink("https://hetutrechtsarchief.nl/collectie/A15D2E4B8F32537C827971E51B525EDB","Fragmenten uit de geschiedenis van de buurtschap Austerlitz W Grapendaal 133-143 1970")</f>
        <v>0</v>
      </c>
      <c r="D1583" s="1">
        <f>hyperlink("http://dspace.library.uu.nl/handle/1874/214285","Fragmenten uit de geschiedenis van de buurtschap Austerlitz W Grapendaal 133-153 1970")</f>
        <v>0</v>
      </c>
    </row>
    <row r="1584" spans="2:4">
      <c r="B1584">
        <v>100</v>
      </c>
      <c r="C1584" s="1">
        <f>hyperlink("https://hetutrechtsarchief.nl/collectie/829DCAB689BC50328969BE96E4BAF3FA","De Hoeve te Bilthoven P H Damst 59-67 1970")</f>
        <v>0</v>
      </c>
      <c r="D1584" s="1">
        <f>hyperlink("http://dspace.library.uu.nl/handle/1874/214286","De Hoeve te Bilthoven P H Damst 59-67 1970")</f>
        <v>0</v>
      </c>
    </row>
    <row r="1585" spans="2:4">
      <c r="B1585">
        <v>98</v>
      </c>
      <c r="C1585" s="1">
        <f>hyperlink("https://hetutrechtsarchief.nl/collectie/211995FD3B9D54F58A7486A8DFAA10D8","Van den Bongard genealogie van een Nederlandse tak van het Nederrijnse geslacht Von dem Bongart P H Bogaard 161-205 ill 1975")</f>
        <v>0</v>
      </c>
      <c r="D1585" s="1">
        <f>hyperlink("http://dspace.library.uu.nl/handle/1874/214287","Van den Bongard genealogie van een Nederlandse tak van het Nederrijnse geslacht Von dem Bongart P H Bogaard 161-205 1975")</f>
        <v>0</v>
      </c>
    </row>
    <row r="1586" spans="2:4">
      <c r="B1586">
        <v>96</v>
      </c>
      <c r="C1586" s="1">
        <f>hyperlink("https://hetutrechtsarchief.nl/collectie/A137A2E3925E5A8E93EAA2B3BDB5D666","Ter Hul en het geslacht van Zijl C Dekker 97-135 ill 1976")</f>
        <v>0</v>
      </c>
      <c r="D1586" s="1">
        <f>hyperlink("http://dspace.library.uu.nl/handle/1874/214288","Ter Hul en het geslacht van Zijl C Dekker 97-135 1976")</f>
        <v>0</v>
      </c>
    </row>
    <row r="1587" spans="2:4">
      <c r="B1587">
        <v>100</v>
      </c>
      <c r="C1587" s="1">
        <f>hyperlink("https://hetutrechtsarchief.nl/collectie/314ADA7474B0555F94CD285B7795D5BC","Uit het leven van de Portugees Joodse Natie te Maarssen gezien door de ogen van de Utrechtse notaris Jacobus van Someren circa 1758-1785 H J H Knoester 80-92 1970")</f>
        <v>0</v>
      </c>
      <c r="D1587" s="1">
        <f>hyperlink("http://dspace.library.uu.nl/handle/1874/214289","Uit het leven van de Portugees Joodse Natie te Maarssen gezien door de ogen van de Utrechtse notaris Jacobus van Someren circa 1758-1785 H J H Knoester 80-92 1970")</f>
        <v>0</v>
      </c>
    </row>
    <row r="1588" spans="2:4">
      <c r="B1588">
        <v>98</v>
      </c>
      <c r="C1588" s="1">
        <f>hyperlink("https://hetutrechtsarchief.nl/collectie/8B186787BE7B55318DFB15FFBB5084E4","Het ontstaan van het gerecht Renswoude en Emmikhuizen E J Wolleswinkel 182-203 ill 1976")</f>
        <v>0</v>
      </c>
      <c r="D1588" s="1">
        <f>hyperlink("http://dspace.library.uu.nl/handle/1874/214290","Het ontstaan van het gerecht Renswoude en Emmikhuizen E J Wolleswinkel 182-203 1976")</f>
        <v>0</v>
      </c>
    </row>
    <row r="1589" spans="2:4">
      <c r="B1589">
        <v>98</v>
      </c>
      <c r="C1589" s="1">
        <f>hyperlink("https://hetutrechtsarchief.nl/collectie/6003752A0D0859EE9E2E7EE266EDC4BC","Historisch-geografische ontwikkelingen in en om Soest M K E Gottschalk 103-132 ill 1970")</f>
        <v>0</v>
      </c>
      <c r="D1589" s="1">
        <f>hyperlink("http://dspace.library.uu.nl/handle/1874/214291","Historisch-geografische ontwikkelingen in en om Soest M K E Gottschalk 103-132 1970")</f>
        <v>0</v>
      </c>
    </row>
    <row r="1590" spans="2:4">
      <c r="B1590">
        <v>97</v>
      </c>
      <c r="C1590" s="1">
        <f>hyperlink("https://hetutrechtsarchief.nl/collectie/3E937F77F5445906948E269B6CDF6A64","Boerderij- en veldnamen te Soest omstreeks 1757 E Heupers 67-88 ill 1971")</f>
        <v>0</v>
      </c>
      <c r="D1590" s="1">
        <f>hyperlink("http://dspace.library.uu.nl/handle/1874/214292","Boerderij- en veldnamen te Soest omstreeks 1757 E Heupers 67-88 1971")</f>
        <v>0</v>
      </c>
    </row>
    <row r="1591" spans="2:4">
      <c r="B1591">
        <v>97</v>
      </c>
      <c r="C1591" s="1">
        <f>hyperlink("https://hetutrechtsarchief.nl/collectie/BA033D4E71A85620B72AE26D1D77805E","Hoe oud is het Grote Gild van Soest E Heupers 206-219 ill 1975")</f>
        <v>0</v>
      </c>
      <c r="D1591" s="1">
        <f>hyperlink("http://dspace.library.uu.nl/handle/1874/214294","Hoe oud is het Grote Gild van Soest E Heupers 206-219 1975")</f>
        <v>0</v>
      </c>
    </row>
    <row r="1592" spans="2:4">
      <c r="B1592">
        <v>79</v>
      </c>
      <c r="C1592" s="1">
        <f>hyperlink("https://hetutrechtsarchief.nl/collectie/DF0BD5BCCEEF5119A6A16129DF898AE0","Het kasboek van Carel Martens 1602-1649 H J H Knoester en A Graafhuis 154-210 ill 1970")</f>
        <v>0</v>
      </c>
      <c r="D1592" s="1">
        <f>hyperlink("http://dspace.library.uu.nl/handle/1874/214298","Het kasboek van Mr Carel Martens 1602-1649 door H Knoester et al H Knoester 154-223 1970")</f>
        <v>0</v>
      </c>
    </row>
    <row r="1593" spans="2:4">
      <c r="B1593">
        <v>98</v>
      </c>
      <c r="C1593" s="1">
        <f>hyperlink("https://hetutrechtsarchief.nl/collectie/85977514CF4D500589B067A182FD2B82","Van Riddermatige Rijschool tot Utrechtse Manege 1641-1971 A J A M Lisman 93-102 ill 1970")</f>
        <v>0</v>
      </c>
      <c r="D1593" s="1">
        <f>hyperlink("http://dspace.library.uu.nl/handle/1874/214299","Van Riddermatige Rijschool tot Utrechtse Manege 1641-1971 A J A M Lisman 93-102 1970")</f>
        <v>0</v>
      </c>
    </row>
    <row r="1594" spans="2:4">
      <c r="B1594">
        <v>100</v>
      </c>
      <c r="C1594" s="1">
        <f>hyperlink("https://hetutrechtsarchief.nl/collectie/218E85A3C2CF52E18447F0079FBB572A","Nogmaals de brooduitdeling in 1575 ingesteld krachtens beschikking van Egbertus Luessinck A J van de Ven 68-70 1970")</f>
        <v>0</v>
      </c>
      <c r="D1594" s="1">
        <f>hyperlink("http://dspace.library.uu.nl/handle/1874/214301","Nogmaals de brooduitdeling in 1575 ingesteld krachtens beschikking van Egbertus Luessinck A J van de Ven 68-70 1970")</f>
        <v>0</v>
      </c>
    </row>
    <row r="1595" spans="2:4">
      <c r="B1595">
        <v>98</v>
      </c>
      <c r="C1595" s="1">
        <f>hyperlink("https://hetutrechtsarchief.nl/collectie/FECEB529F78152DD9CD8DFA4437F3306","Enige hypothesen van Dr G C Labouchere over het middeleeuwse Utrecht Th Haakma Wagenaar 13-32 ill 1971")</f>
        <v>0</v>
      </c>
      <c r="D1595" s="1">
        <f>hyperlink("http://dspace.library.uu.nl/handle/1874/214303","Enige hypothesen van dr G C Labouchere over het middeleeuwse Utrecht Th Haakma Wagenaar 13-32 1971")</f>
        <v>0</v>
      </c>
    </row>
    <row r="1596" spans="2:4">
      <c r="B1596">
        <v>99</v>
      </c>
      <c r="C1596" s="1">
        <f>hyperlink("https://hetutrechtsarchief.nl/collectie/D2172BE53D8B59DC9C3C7A32786EC6EA","Bij het afscheid van Dr Ketner als docent aan de universiteit F W N Hugenholtz 7-12 1971")</f>
        <v>0</v>
      </c>
      <c r="D1596" s="1">
        <f>hyperlink("http://dspace.library.uu.nl/handle/1874/214305","Bij het afscheid van Dr F Ketner als docent aan de universiteit F W N Hugenholtz 7-12 1971")</f>
        <v>0</v>
      </c>
    </row>
    <row r="1597" spans="2:4">
      <c r="B1597">
        <v>86</v>
      </c>
      <c r="C1597" s="1">
        <f>hyperlink("https://hetutrechtsarchief.nl/collectie/1502CBBE730C58E8B7951EDEBD58B396","Zo maar een contractboeck gegevens verzameld door A M E Jonker-Verhoef redactie A Graafhuis 108-114 1971")</f>
        <v>0</v>
      </c>
      <c r="D1597" s="1">
        <f>hyperlink("http://dspace.library.uu.nl/handle/1874/214307","Zo maar een contractboek gegevens verzameld door A M E Jonker-Verhoef redactie A Graafhuis A Jonker-Verhoef A M E Graafhuis 108-114 1971")</f>
        <v>0</v>
      </c>
    </row>
    <row r="1598" spans="2:4">
      <c r="B1598">
        <v>97</v>
      </c>
      <c r="C1598" s="1">
        <f>hyperlink("https://hetutrechtsarchief.nl/collectie/768E7358ADCA5936BD086CCD7CC4C256","De kostuums uit het 17de eeuwse Utrechtse poppenhuis I J Soer 46-66 ill 1971")</f>
        <v>0</v>
      </c>
      <c r="D1598" s="1">
        <f>hyperlink("http://dspace.library.uu.nl/handle/1874/214309","De kostuums uit het 17de eeuwse Utrechtse poppenhuis I J Soer 46-66 1971")</f>
        <v>0</v>
      </c>
    </row>
    <row r="1599" spans="2:4">
      <c r="B1599">
        <v>93</v>
      </c>
      <c r="C1599" s="1">
        <f>hyperlink("https://hetutrechtsarchief.nl/collectie/100624CDA8055287B2E093BD8A277A15","Utrecht in de zeventiende eeuw architectonische en stedebouwkundige aspecten Werkgroep Kunsthistorisch Instituut R U Utrecht 115-143 ill 1972")</f>
        <v>0</v>
      </c>
      <c r="D1599" s="1">
        <f>hyperlink("http://dspace.library.uu.nl/handle/1874/214312","Utrecht in de 17e eeuw architektonische en stedebouwkundige aspecten Werkgroep Kunsthistorisch Instituut R U Utrecht 115-143 1972")</f>
        <v>0</v>
      </c>
    </row>
    <row r="1600" spans="2:4">
      <c r="B1600">
        <v>97</v>
      </c>
      <c r="C1600" s="1">
        <f>hyperlink("https://hetutrechtsarchief.nl/collectie/C6687BC9DE5E59C3A773BF83E1F8DF1C","Gegoede burgerij in Utrecht in de 15e eeuw D A Berents 78-92 ill 1972")</f>
        <v>0</v>
      </c>
      <c r="D1600" s="1">
        <f>hyperlink("http://dspace.library.uu.nl/handle/1874/214314","Gegoede burgerij in Utrecht in de 15e eeuw D A Berents 78-92 1972")</f>
        <v>0</v>
      </c>
    </row>
    <row r="1601" spans="2:4">
      <c r="B1601">
        <v>96</v>
      </c>
      <c r="C1601" s="1">
        <f>hyperlink("https://hetutrechtsarchief.nl/collectie/D43E20A64C0E50AAA157EC356C3EA18F","Utrecht in de twintigste eeuw R Blijstra 188-213 ill 1972")</f>
        <v>0</v>
      </c>
      <c r="D1601" s="1">
        <f>hyperlink("http://dspace.library.uu.nl/handle/1874/214316","Utrecht in de twintigste eeuw R Blijstra 188-213 1972")</f>
        <v>0</v>
      </c>
    </row>
    <row r="1602" spans="2:4">
      <c r="B1602">
        <v>96</v>
      </c>
      <c r="C1602" s="1">
        <f>hyperlink("https://hetutrechtsarchief.nl/collectie/BF5CF106A43D51C3A2E29A13C58641A8","Kaleidoskoop van een eeuw A Graafhuis 144-163 ill 1972")</f>
        <v>0</v>
      </c>
      <c r="D1602" s="1">
        <f>hyperlink("http://dspace.library.uu.nl/handle/1874/214318","Kaleidoskoop van een eeuw A Graafhuis 144-163 1972")</f>
        <v>0</v>
      </c>
    </row>
    <row r="1603" spans="2:4">
      <c r="B1603">
        <v>98</v>
      </c>
      <c r="C1603" s="1">
        <f>hyperlink("https://hetutrechtsarchief.nl/collectie/313923F823DA573DA4FFED52016233FA","De Gildenbeweging van april 1525 en haar voorgeschiedenis C A van Kalveen 93-114 ill 1972")</f>
        <v>0</v>
      </c>
      <c r="D1603" s="1">
        <f>hyperlink("http://dspace.library.uu.nl/handle/1874/214321","De gildenbeweging van april 1525 en haar voorgeschiedenis C A van Kalveen 93-114 1972")</f>
        <v>0</v>
      </c>
    </row>
    <row r="1604" spans="2:4">
      <c r="B1604">
        <v>96</v>
      </c>
      <c r="C1604" s="1">
        <f>hyperlink("https://hetutrechtsarchief.nl/collectie/194BCB36977E59CE892F6B3BBB70DE7F","Gezichten op Utrecht William D Kuik 214-218 ill 1972")</f>
        <v>0</v>
      </c>
      <c r="D1604" s="1">
        <f>hyperlink("http://dspace.library.uu.nl/handle/1874/214323","Gezichten op Utrecht William D Kuik 214-218 1972")</f>
        <v>0</v>
      </c>
    </row>
    <row r="1605" spans="2:4">
      <c r="B1605">
        <v>98</v>
      </c>
      <c r="C1605" s="1">
        <f>hyperlink("https://hetutrechtsarchief.nl/collectie/D3F6A171AA475813A4D645D1987FAD88","Burgerzin en wetenschap een eerste aanzet tot milieubeheer in Utrecht C Offringa 164-187 ill 1972")</f>
        <v>0</v>
      </c>
      <c r="D1605" s="1">
        <f>hyperlink("http://dspace.library.uu.nl/handle/1874/214325","Burgerzin en wetenschap een eerste aanzet tot milieubeheer in Utrecht C Offringa 164-187 1972")</f>
        <v>0</v>
      </c>
    </row>
    <row r="1606" spans="2:4">
      <c r="B1606">
        <v>98</v>
      </c>
      <c r="C1606" s="1">
        <f>hyperlink("https://hetutrechtsarchief.nl/collectie/B5131B6E92185BF2ABB118E530675D25","Stad en staten de bijdrage van de stad Utrecht tot de definitieve vorming van de Staten van Utrecht C A Rutgers 55-77 ill 1972")</f>
        <v>0</v>
      </c>
      <c r="D1606" s="1">
        <f>hyperlink("http://dspace.library.uu.nl/handle/1874/214327","Stad en Staten de bijdrage van de stad Utrecht tot de definitieve vorming van de Staten van Utrecht C A Rutgers 55-77 1972")</f>
        <v>0</v>
      </c>
    </row>
    <row r="1607" spans="2:4">
      <c r="B1607">
        <v>96</v>
      </c>
      <c r="C1607" s="1">
        <f>hyperlink("https://hetutrechtsarchief.nl/collectie/7E9272F50BC8571B8A183C3DDB5FDD17","Het recht van Trecht J E A L Struick 9-37 ill 1972")</f>
        <v>0</v>
      </c>
      <c r="D1607" s="1">
        <f>hyperlink("http://dspace.library.uu.nl/handle/1874/214330","Het recht van Trecht J E A L Struick 9-37 1972")</f>
        <v>0</v>
      </c>
    </row>
    <row r="1608" spans="2:4">
      <c r="B1608">
        <v>96</v>
      </c>
      <c r="C1608" s="1">
        <f>hyperlink("https://hetutrechtsarchief.nl/collectie/CFF6DC8A3FE65977A6277E6C9B16415E","Een halve eeuw Oud-Utrecht J W C van Campen 17-46 ill 1973")</f>
        <v>0</v>
      </c>
      <c r="D1608" s="1">
        <f>hyperlink("http://dspace.library.uu.nl/handle/1874/214331","Een halve eeuw Oud-Utrecht J W C van Campen 17-46 1973")</f>
        <v>0</v>
      </c>
    </row>
    <row r="1609" spans="2:4">
      <c r="B1609">
        <v>97</v>
      </c>
      <c r="C1609" s="1">
        <f>hyperlink("https://hetutrechtsarchief.nl/collectie/AA3C584D20805B1389B01360419E344A","Vijftig jaar Utrechts muziekleven Wouter Paap 126-147 ill 1973")</f>
        <v>0</v>
      </c>
      <c r="D1609" s="1">
        <f>hyperlink("http://dspace.library.uu.nl/handle/1874/214333","Vijftig jaar Utrechts muziekleven Wouter Paap 126-147 1973")</f>
        <v>0</v>
      </c>
    </row>
    <row r="1610" spans="2:4">
      <c r="B1610">
        <v>96</v>
      </c>
      <c r="C1610" s="1">
        <f>hyperlink("https://hetutrechtsarchief.nl/collectie/D78D3C487CB25C33AC268BC5627850D3","Vijftig jaar toneel in Utrecht C A Schilp 70-96 ill 1973")</f>
        <v>0</v>
      </c>
      <c r="D1610" s="1">
        <f>hyperlink("http://dspace.library.uu.nl/handle/1874/214336","Vijftig jaar toneel in Utrecht C A Schilp 70-96 1973")</f>
        <v>0</v>
      </c>
    </row>
    <row r="1611" spans="2:4">
      <c r="B1611">
        <v>97</v>
      </c>
      <c r="C1611" s="1">
        <f>hyperlink("https://hetutrechtsarchief.nl/collectie/2A1EF086A7925B2796D1AD7FCCB826C7","Literatuur in Utrecht 1923-1973 Hans van Straten 97-125 ill 1973")</f>
        <v>0</v>
      </c>
      <c r="D1611" s="1">
        <f>hyperlink("http://dspace.library.uu.nl/handle/1874/214338","Literatuur in Utrecht 1923-1973 Hans van Straten 97-125 1973")</f>
        <v>0</v>
      </c>
    </row>
    <row r="1612" spans="2:4">
      <c r="B1612">
        <v>96</v>
      </c>
      <c r="C1612" s="1">
        <f>hyperlink("https://hetutrechtsarchief.nl/collectie/3F6D26A0C2305DC6BB192B51CE3B1D97","Utrecht 1923-1973 J E A L Struick 9-16 ill 1973")</f>
        <v>0</v>
      </c>
      <c r="D1612" s="1">
        <f>hyperlink("http://dspace.library.uu.nl/handle/1874/214339","Utrecht 1923-1973 J E A L Struick 9-16 1973")</f>
        <v>0</v>
      </c>
    </row>
    <row r="1613" spans="2:4">
      <c r="B1613">
        <v>98</v>
      </c>
      <c r="C1613" s="1">
        <f>hyperlink("https://hetutrechtsarchief.nl/collectie/A76D6FBEAAF65EDB9A5D67F316246642","Vijftig jaar en langer musea in de stad Utrecht Johanna Maria van Winter 187-203 ill 1973")</f>
        <v>0</v>
      </c>
      <c r="D1613" s="1">
        <f>hyperlink("http://dspace.library.uu.nl/handle/1874/214340","Vijftig jaar en langer musea in de stad Utrecht Johanna Maria van Winter 187-203 1973")</f>
        <v>0</v>
      </c>
    </row>
    <row r="1614" spans="2:4">
      <c r="B1614">
        <v>97</v>
      </c>
      <c r="C1614" s="1">
        <f>hyperlink("https://hetutrechtsarchief.nl/collectie/B2E64F351FB75C5D890A4771B862FF72","Het Utrechtse zilversmedengeslacht van Vianen G Brinkhuis 198-214 ill 1974")</f>
        <v>0</v>
      </c>
      <c r="D1614" s="1">
        <f>hyperlink("http://dspace.library.uu.nl/handle/1874/214343","Het Utrechtse zilversmedengeslacht Van Vianen G Brinkhuis 198-214 1974")</f>
        <v>0</v>
      </c>
    </row>
    <row r="1615" spans="2:4">
      <c r="B1615">
        <v>94</v>
      </c>
      <c r="C1615" s="1">
        <f>hyperlink("https://hetutrechtsarchief.nl/collectie/8098145584445730ABEB46E33C7994BA","Het schrickelyck tempeest van 1674 A Graafhuis 96-107 ill 1974")</f>
        <v>0</v>
      </c>
      <c r="D1615" s="1">
        <f>hyperlink("http://dspace.library.uu.nl/handle/1874/214345","Het schrickelijck tempeest van 1674 A Graafhuis 96-107 1974")</f>
        <v>0</v>
      </c>
    </row>
    <row r="1616" spans="2:4">
      <c r="B1616">
        <v>91</v>
      </c>
      <c r="C1616" s="1">
        <f>hyperlink("https://hetutrechtsarchief.nl/collectie/4093C484021D5958B77453A54ACAB650","De Roos onder de Linden J Heniger 64-95 ill bijl 1974")</f>
        <v>0</v>
      </c>
      <c r="D1616" s="1">
        <f>hyperlink("http://dspace.library.uu.nl/handle/1874/214348","De Roos onder de Linden J Heniger 64-95 1974")</f>
        <v>0</v>
      </c>
    </row>
    <row r="1617" spans="2:4">
      <c r="B1617">
        <v>95</v>
      </c>
      <c r="C1617" s="1">
        <f>hyperlink("https://hetutrechtsarchief.nl/collectie/E7193EA756DB5CD2BC6C0C71C2B66E84","De Cellebroeders R A Hoogland 180-192 ill 1974")</f>
        <v>0</v>
      </c>
      <c r="D1617" s="1">
        <f>hyperlink("http://dspace.library.uu.nl/handle/1874/214350","De Cellebroeders R A Hoogland 180-192 1974")</f>
        <v>0</v>
      </c>
    </row>
    <row r="1618" spans="2:4">
      <c r="B1618">
        <v>97</v>
      </c>
      <c r="C1618" s="1">
        <f>hyperlink("https://hetutrechtsarchief.nl/collectie/16BF10AE62045A88B5CB806BB97FA642","S Muller Fzn als historicus F W N Hugenholtz 215-223 ill 1974")</f>
        <v>0</v>
      </c>
      <c r="D1618" s="1">
        <f>hyperlink("http://dspace.library.uu.nl/handle/1874/214353","S Muller Fzn als historicus F W N Hugenholtz 215-223 1974")</f>
        <v>0</v>
      </c>
    </row>
    <row r="1619" spans="2:4">
      <c r="B1619">
        <v>97</v>
      </c>
      <c r="C1619" s="1">
        <f>hyperlink("https://hetutrechtsarchief.nl/collectie/ED638BABD3795F49B01546CCEBABEA21","Johannes de Witt Stevenszoon Jos J B M M Sterk 108-162 ill 1974")</f>
        <v>0</v>
      </c>
      <c r="D1619" s="1">
        <f>hyperlink("http://dspace.library.uu.nl/handle/1874/214356","Johannes de Witt Stevenszoon Jos J B M M Sterk 108-162 1974")</f>
        <v>0</v>
      </c>
    </row>
    <row r="1620" spans="2:4">
      <c r="B1620">
        <v>96</v>
      </c>
      <c r="C1620" s="1">
        <f>hyperlink("https://hetutrechtsarchief.nl/collectie/ABCE21CC0CD05A44BE295FEA5756E470","De geschiedenis van het Utrechts Stedelijk Gymnasium 1474-1974 J A G v d Veer 7-63 ill 1974")</f>
        <v>0</v>
      </c>
      <c r="D1620" s="1">
        <f>hyperlink("http://dspace.library.uu.nl/handle/1874/214360","De geschiedenis van het Utrechts Stedelijk Gymnasium 1474-1974 J A G van der Veer 7-63 1974")</f>
        <v>0</v>
      </c>
    </row>
    <row r="1621" spans="2:4">
      <c r="B1621">
        <v>99</v>
      </c>
      <c r="C1621" s="1">
        <f>hyperlink("https://hetutrechtsarchief.nl/collectie/6428E6A38873569B89B44EF189CAA932","Jo Uiterwaal en Piet Elling een vergeten hoofdstuk in de ontwikkeling van de moderne beeldhouwkunst in Nederland Jan Baptist Bedaux 99-130 ill 1975")</f>
        <v>0</v>
      </c>
      <c r="D1621" s="1">
        <f>hyperlink("http://dspace.library.uu.nl/handle/1874/214363","Jo Uiterwaal en Piet Elling een vergeten hoofdstuk in de ontwikkeling van de moderne beeldhouwkunst in Nederland Jan Baptist Bedaux 99-130 1975")</f>
        <v>0</v>
      </c>
    </row>
    <row r="1622" spans="2:4">
      <c r="B1622">
        <v>98</v>
      </c>
      <c r="C1622" s="1">
        <f>hyperlink("https://hetutrechtsarchief.nl/collectie/21B91E5C3AE0553798890E6E0BEBBF34","Van Allerlei Slag de lotgevallen van een typisch Utrechts leesgezelschap J A F Janzen 131-160 ill 1975")</f>
        <v>0</v>
      </c>
      <c r="D1622" s="1">
        <f>hyperlink("http://dspace.library.uu.nl/handle/1874/214366","Van Allerlei Slag de lotgevallen van een typisch Utrechts leesgezelschap J A F Janzen 131-160 1975")</f>
        <v>0</v>
      </c>
    </row>
    <row r="1623" spans="2:4">
      <c r="B1623">
        <v>98</v>
      </c>
      <c r="C1623" s="1">
        <f>hyperlink("https://hetutrechtsarchief.nl/collectie/5C872E91FBAB5801AFD4C65947E4A8D5","Utrecht aan de Rijn middeleeuwse Rijnloop en wordingsgeschiedenis van de stad Utrecht Johanna Maria van Winter 44-72 ill 1975")</f>
        <v>0</v>
      </c>
      <c r="D1623" s="1">
        <f>hyperlink("http://dspace.library.uu.nl/handle/1874/214368","Utrecht aan de Rijn Middeleeuwse Rijnloop en wordingsgeschiedenis van de stad Utrecht Johanna Maria van Winter 44-72 1975")</f>
        <v>0</v>
      </c>
    </row>
    <row r="1624" spans="2:4">
      <c r="B1624">
        <v>97</v>
      </c>
      <c r="C1624" s="1">
        <f>hyperlink("https://hetutrechtsarchief.nl/collectie/1977C8544FB3531CB3CD671CD206F909","Protectie en gilden te Utrecht in de late middeleeuwen D A Berents 30-72 ill 1976")</f>
        <v>0</v>
      </c>
      <c r="D1624" s="1">
        <f>hyperlink("http://dspace.library.uu.nl/handle/1874/214371","Protectie en gilden te Utrecht in de late Middeleeuwen D A Berents 30-72 1976")</f>
        <v>0</v>
      </c>
    </row>
    <row r="1625" spans="2:4">
      <c r="B1625">
        <v>97</v>
      </c>
      <c r="C1625" s="1">
        <f>hyperlink("https://hetutrechtsarchief.nl/collectie/ADBCA0C7F7FA5D81919A011764FE08BB","N V Slavenburg s bank Utrecht oud en nieuw G A P van Helbergen 73-96 ill 1976")</f>
        <v>0</v>
      </c>
      <c r="D1625" s="1">
        <f>hyperlink("http://dspace.library.uu.nl/handle/1874/214373","N V Slavenburg s bank Utrecht oud en nieuw G A P van Helbergen 73-96 1976")</f>
        <v>0</v>
      </c>
    </row>
    <row r="1626" spans="2:4">
      <c r="B1626">
        <v>97</v>
      </c>
      <c r="C1626" s="1">
        <f>hyperlink("https://hetutrechtsarchief.nl/collectie/D02949E0300A5486913D591CF51B31A9","Nieuwe gegevens over Gerard van Honhorst s beschilderde plafond uit 1622 J A L de Meyere 7-29 ill 1976")</f>
        <v>0</v>
      </c>
      <c r="D1626" s="1">
        <f>hyperlink("http://dspace.library.uu.nl/handle/1874/214376","Nieuwe gegevens over Gerard van Honthorst s beschilderd plafond uit 1622 J A L de Meyere 7-29 1976")</f>
        <v>0</v>
      </c>
    </row>
    <row r="1627" spans="2:4">
      <c r="B1627">
        <v>100</v>
      </c>
      <c r="C1627" s="1">
        <f>hyperlink("https://hetutrechtsarchief.nl/collectie/312A862F6A615A2197666ED6EED9BBA8","De Opkerk te Dorestad als voorgangster van de Parochiale kerk van Sint Johannes de Doper te Wijk bij Duurstede A Johanna Maris 89-107 1971")</f>
        <v>0</v>
      </c>
      <c r="D1627" s="1">
        <f>hyperlink("http://dspace.library.uu.nl/handle/1874/214379","De Opkerk te Dorestad als voorgangster van de parochiale kerk van Sint Johannes de Doper te Wijk bij Duurstede A Johanna Maris 89-107 1971")</f>
        <v>0</v>
      </c>
    </row>
    <row r="1628" spans="2:4">
      <c r="B1628">
        <v>58</v>
      </c>
      <c r="C1628" s="1">
        <f>hyperlink("https://hetutrechtsarchief.nl/collectie/D61CD6099D995F40A2A6252F0D6BAB0E","Unie van Utrecht 23 januari 1579 8-23 - Themanummer 400 jaar Unie van Utrecht 1978")</f>
        <v>0</v>
      </c>
      <c r="D1628" s="1">
        <f>hyperlink("http://dspace.library.uu.nl/handle/1874/214601","Unie van Utrecht 1579-1979 A van Hulzen et al A van Hulzen 1 -243 1978")</f>
        <v>0</v>
      </c>
    </row>
    <row r="1629" spans="2:4">
      <c r="B1629">
        <v>98</v>
      </c>
      <c r="C1629" s="1">
        <f>hyperlink("https://hetutrechtsarchief.nl/collectie/191B6945CE715DA8A91F322B68E070B6","Gerard Ploos van Amstel 1617-1695 een stichtse officier in het staatse leger J J A Ploos van Amstel 52-98 ill 1984")</f>
        <v>0</v>
      </c>
      <c r="D1629" s="1">
        <f>hyperlink("http://dspace.library.uu.nl/handle/1874/214602","Gerard Ploos van Amstel 1617-1695 een Stichtse officier in het Staatse leger J J A Ploos van Amstel 52-98 1984")</f>
        <v>0</v>
      </c>
    </row>
    <row r="1630" spans="2:4">
      <c r="B1630">
        <v>99</v>
      </c>
      <c r="C1630" s="1">
        <f>hyperlink("https://hetutrechtsarchief.nl/collectie/3FE643F79C5F51C898052460E7419A64","Tusschen Keulen en Parijs overpeinzingen bij vijf jaren bisdomgeschiedenis W Jappe Alberts 26-34 1981")</f>
        <v>0</v>
      </c>
      <c r="D1630" s="1">
        <f>hyperlink("http://dspace.library.uu.nl/handle/1874/214603","Tusschen Keulen en Parijs overpeinzingen bij vijftig jaren bisdomgeschiedenis W Jappe Alberts 26-34 1981")</f>
        <v>0</v>
      </c>
    </row>
    <row r="1631" spans="2:4">
      <c r="B1631">
        <v>68</v>
      </c>
      <c r="C1631" s="1">
        <f>hyperlink("https://hetutrechtsarchief.nl/collectie/E1EDF2831E085F1CBAE3088A13C35233","Verdwenen stads- en dorpsgezichten J A C Mathijssen en W Uittenbogaard 177-191 ill 1982")</f>
        <v>0</v>
      </c>
      <c r="D1631" s="1">
        <f>hyperlink("http://dspace.library.uu.nl/handle/1874/214604","Verdwenen stads- en dorpsgezichten D T Mathijssen J A C Uittenbogaard W Koen 177-191 1984 p 121-141 1986 p 139-159 1988 p 123-147 1982-1988")</f>
        <v>0</v>
      </c>
    </row>
    <row r="1632" spans="2:4">
      <c r="B1632">
        <v>98</v>
      </c>
      <c r="C1632" s="1">
        <f>hyperlink("https://hetutrechtsarchief.nl/collectie/223D910B46CF5E018CA968D5091FE104","Willem Ploos van Amstel 1608-1668 een stadse plattelandsjonker uit het Sticht J J A Ploos van Amstel 42-90 ill 1982")</f>
        <v>0</v>
      </c>
      <c r="D1632" s="1">
        <f>hyperlink("http://dspace.library.uu.nl/handle/1874/214605","Willem Ploos van Amstel 1608-1668 een stadse plattelandsjonker uit het Sticht J J A Ploos van Amstel 42-90 1982")</f>
        <v>0</v>
      </c>
    </row>
    <row r="1633" spans="2:4">
      <c r="B1633">
        <v>98</v>
      </c>
      <c r="C1633" s="1">
        <f>hyperlink("https://hetutrechtsarchief.nl/collectie/747B2BE11D3F52948FE1B5B09977DEA4","Monumentenrestauraties in de provincie Utrecht in de jaren 1980 1981 en 1982 R Apell 126-167 ill 1983")</f>
        <v>0</v>
      </c>
      <c r="D1633" s="1">
        <f>hyperlink("http://dspace.library.uu.nl/handle/1874/214606","Monumentenrestauraties in de provincie Utrecht in de jaren 1980 1981 en 1982 R Apell 126-167 1983")</f>
        <v>0</v>
      </c>
    </row>
    <row r="1634" spans="2:4">
      <c r="B1634">
        <v>99</v>
      </c>
      <c r="C1634" s="1">
        <f>hyperlink("https://hetutrechtsarchief.nl/collectie/61783E172EB557398347BD84FC41544F","Reinier van Reede van Ginkel en Frederik Willem van Reede van Athlone kanttekeningen bij de levenssfeer van een adellijke familie voornamelijk gedurende de jaren 1722-1742 J Aalbers 91-136 ill 1982")</f>
        <v>0</v>
      </c>
      <c r="D1634" s="1">
        <f>hyperlink("http://dspace.library.uu.nl/handle/1874/214607","Reinier van Reede van Ginckel en Frederik Willem van Reede van Athlone kanttekeningen bij de levenssfeer van een adellijke familie voornamelijk gedurende de jaren 1722-1742 J Aalbers 91-136 1982")</f>
        <v>0</v>
      </c>
    </row>
    <row r="1635" spans="2:4">
      <c r="B1635">
        <v>98</v>
      </c>
      <c r="C1635" s="1">
        <f>hyperlink("https://hetutrechtsarchief.nl/collectie/D59DB01E19FD53B1948C53A02127A6C6","Problemen rond de oudste geschiedenis van het fraterhuis en van het Nieuwe Gasthuis te Amersfoort C A van Kalveen 101-124 ill 1981")</f>
        <v>0</v>
      </c>
      <c r="D1635" s="1">
        <f>hyperlink("http://dspace.library.uu.nl/handle/1874/214608","Problemen rond de oudste geschiedenis van het fraterhuis en van het Nieuwe Gasthuis te Amersfoort C A van Kalveen 101-124 1981")</f>
        <v>0</v>
      </c>
    </row>
    <row r="1636" spans="2:4">
      <c r="B1636">
        <v>98</v>
      </c>
      <c r="C1636" s="1">
        <f>hyperlink("https://hetutrechtsarchief.nl/collectie/9A97EA392E9351D1A43C3335E10404EE","De kapel van Koelhorst op het Hoogland ca 1350-1843 H L Ph Leeuwenberg 141-164 ill 1981")</f>
        <v>0</v>
      </c>
      <c r="D1636" s="1">
        <f>hyperlink("http://dspace.library.uu.nl/handle/1874/214609","De kapel van Koelhorst op het Hoogland ca 1350-1843 H L Ph Leeuwenberg 141-164 1981")</f>
        <v>0</v>
      </c>
    </row>
    <row r="1637" spans="2:4">
      <c r="B1637">
        <v>97</v>
      </c>
      <c r="C1637" s="1">
        <f>hyperlink("https://hetutrechtsarchief.nl/collectie/4459ABFA3BB355BF80C70ADA9AE35415","Het Lazarushuis buiten de Kamppoort te Amersfoort C A van Kalveen 9-60 ill 1983")</f>
        <v>0</v>
      </c>
      <c r="D1637" s="1">
        <f>hyperlink("http://dspace.library.uu.nl/handle/1874/214610","Het Lazarushuis buiten de Kamppoort te Amersfoort C A van Kalveen 9-60 1983")</f>
        <v>0</v>
      </c>
    </row>
    <row r="1638" spans="2:4">
      <c r="B1638">
        <v>97</v>
      </c>
      <c r="C1638" s="1">
        <f>hyperlink("https://hetutrechtsarchief.nl/collectie/B930CB7666605F77B71D262F305A2902","Wijk bij Duurstede in de periode van de hervorming J W van Brakel 9-31 ill 1984")</f>
        <v>0</v>
      </c>
      <c r="D1638" s="1">
        <f>hyperlink("http://dspace.library.uu.nl/handle/1874/214611","Wijk bij Duurstede in de periode van de hervorming J W van Brakel 9-31 1984")</f>
        <v>0</v>
      </c>
    </row>
    <row r="1639" spans="2:4">
      <c r="B1639">
        <v>98</v>
      </c>
      <c r="C1639" s="1">
        <f>hyperlink("https://hetutrechtsarchief.nl/collectie/5555307AE2765D3CBE615B70E59A9E0C","De Ambachtsheerlijkheden van de beide Eemnessen 1714-1922 J V M Out 110-127 ill 1980")</f>
        <v>0</v>
      </c>
      <c r="D1639" s="1">
        <f>hyperlink("http://dspace.library.uu.nl/handle/1874/214612","De ambachtsheerlijkheden van de beide Eemnessen 1714-1922 J V M Out 110-127 1980")</f>
        <v>0</v>
      </c>
    </row>
    <row r="1640" spans="2:4">
      <c r="B1640">
        <v>93</v>
      </c>
      <c r="C1640" s="1">
        <f>hyperlink("https://hetutrechtsarchief.nl/collectie/3FE255A91F475005BC78CED032951E54","Beknopt verslag van een opgraving in De Meern C A Kalee en C Isings 5-25 ill 1980")</f>
        <v>0</v>
      </c>
      <c r="D1640" s="1">
        <f>hyperlink("http://dspace.library.uu.nl/handle/1874/214613","Beknopt verslag van een opgraving in De Meern C Kalee C A Isings 5-25 1980")</f>
        <v>0</v>
      </c>
    </row>
    <row r="1641" spans="2:4">
      <c r="B1641">
        <v>97</v>
      </c>
      <c r="C1641" s="1">
        <f>hyperlink("https://hetutrechtsarchief.nl/collectie/F71E16A3A68E5A8BAB634A2C6C60C398","De Hervormde kerk van Oud-Zuilen F Schoonheim 71-84 ill 1977")</f>
        <v>0</v>
      </c>
      <c r="D1641" s="1">
        <f>hyperlink("http://dspace.library.uu.nl/handle/1874/214614","De Hervormde kerk van Oud-Zuilen F Schoonheim 71-84 1977")</f>
        <v>0</v>
      </c>
    </row>
    <row r="1642" spans="2:4">
      <c r="B1642">
        <v>100</v>
      </c>
      <c r="C1642" s="1">
        <f>hyperlink("https://hetutrechtsarchief.nl/collectie/1309F23EF35D5E569B9CEF77E018FF1B","De domaniale tol op de Lek te Rhenen-Wijk bij Duurstede P C B Maarschalkerweerd 7-17 1982")</f>
        <v>0</v>
      </c>
      <c r="D1642" s="1">
        <f>hyperlink("http://dspace.library.uu.nl/handle/1874/214615","De domaniale tol op de Lek te Rhenen Wijk bij Duurstede P C B Maarschalkerweerd 7-17 1982")</f>
        <v>0</v>
      </c>
    </row>
    <row r="1643" spans="2:4">
      <c r="B1643">
        <v>96</v>
      </c>
      <c r="C1643" s="1">
        <f>hyperlink("https://hetutrechtsarchief.nl/collectie/7EB7779459CE5F6F90680C2B97F521D8","Utrecht in bange dagen P F M Mens 32-51 ill 1984")</f>
        <v>0</v>
      </c>
      <c r="D1643" s="1">
        <f>hyperlink("http://dspace.library.uu.nl/handle/1874/214616","Utrecht in bange dagen P F M Mens 32-51 1984")</f>
        <v>0</v>
      </c>
    </row>
    <row r="1644" spans="2:4">
      <c r="B1644">
        <v>89</v>
      </c>
      <c r="C1644" s="1">
        <f>hyperlink("https://hetutrechtsarchief.nl/collectie/F589A4BC14305211807AA52D031727A1","Recht en Slecht bestraffing in de 16e eeuw A Graafhuis M N Hesselink en M ten Hoopen 216-233 ill 1976")</f>
        <v>0</v>
      </c>
      <c r="D1644" s="1">
        <f>hyperlink("http://dspace.library.uu.nl/handle/1874/214618","Recht en slecht bestraffing in de 16e eeuw M ten Graafhuis A Hesselink M N Hoopen 216-234 1976")</f>
        <v>0</v>
      </c>
    </row>
    <row r="1645" spans="2:4">
      <c r="B1645">
        <v>97</v>
      </c>
      <c r="C1645" s="1">
        <f>hyperlink("https://hetutrechtsarchief.nl/collectie/08570921966653818299CBDE03D33420","Portretten van Evert Zoudenbalch J A L de Meyere 56-70 ill 1977")</f>
        <v>0</v>
      </c>
      <c r="D1645" s="1">
        <f>hyperlink("http://dspace.library.uu.nl/handle/1874/214619","Portretten van Evert Zoudenbalch J A L de Meyere 56-70 1977")</f>
        <v>0</v>
      </c>
    </row>
    <row r="1646" spans="2:4">
      <c r="B1646">
        <v>95</v>
      </c>
      <c r="C1646" s="1">
        <f>hyperlink("https://hetutrechtsarchief.nl/collectie/662CF9AD1A495A9C8B886EC4729CAE5F","Een standbeeld voor Trijn van Leemput J G Riphaagen 85-122 ill 1977")</f>
        <v>0</v>
      </c>
      <c r="D1646" s="1">
        <f>hyperlink("http://dspace.library.uu.nl/handle/1874/214620","Een standbeeld voor Trijn van Leemput J G Riphaagen 85-112 1977")</f>
        <v>0</v>
      </c>
    </row>
    <row r="1647" spans="2:4">
      <c r="B1647">
        <v>98</v>
      </c>
      <c r="C1647" s="1">
        <f>hyperlink("https://hetutrechtsarchief.nl/collectie/4F100531B198508A98ECEDE5255C4F7B","Evert Zoudenbalch domkanunnik te Utrecht in de tweede helft van de 15de eeuw E T Suir 7-55 ill 1977")</f>
        <v>0</v>
      </c>
      <c r="D1647" s="1">
        <f>hyperlink("http://dspace.library.uu.nl/handle/1874/214621","Evert Zoudenbalch Domkanunnik te Utrecht in de tweede helft van de 15de eeuw E T Suir 7-55 1977")</f>
        <v>0</v>
      </c>
    </row>
    <row r="1648" spans="2:4">
      <c r="B1648">
        <v>68</v>
      </c>
      <c r="C1648" s="1">
        <f>hyperlink("https://hetutrechtsarchief.nl/collectie/D4BF685F6AD75B81BDF3F0334BFD345D","Unie van Utrecht 1579 135-148 1843")</f>
        <v>0</v>
      </c>
      <c r="D1648" s="1">
        <f>hyperlink("http://dspace.library.uu.nl/handle/1874/214622","Unie van Utrecht 23 Januari 1579 8-22 1978")</f>
        <v>0</v>
      </c>
    </row>
    <row r="1649" spans="2:4">
      <c r="B1649">
        <v>98</v>
      </c>
      <c r="C1649" s="1">
        <f>hyperlink("https://hetutrechtsarchief.nl/collectie/254F346C42CA58BB9A6E531E4D64007F","De Unie van Utrecht Duifhuis en de Utrechtse religievrede M G L den Boer 71-88 ill 1978")</f>
        <v>0</v>
      </c>
      <c r="D1649" s="1">
        <f>hyperlink("http://dspace.library.uu.nl/handle/1874/214623","De Unie van Utrecht Duifhuis en de Utrechtse religievrede M G L den Boer 71-88 1978")</f>
        <v>0</v>
      </c>
    </row>
    <row r="1650" spans="2:4">
      <c r="B1650">
        <v>97</v>
      </c>
      <c r="C1650" s="1">
        <f>hyperlink("https://hetutrechtsarchief.nl/collectie/202D87A3148A5713BBB14275036CF518","De stad Utrecht en de Unie 1578-1579 A B R du Croo de Vries 56-70 ill 1978")</f>
        <v>0</v>
      </c>
      <c r="D1650" s="1">
        <f>hyperlink("http://dspace.library.uu.nl/handle/1874/214624","De stad Utrecht en de Unie 1578-1579 A B R du Croo de Vries 56-70 1978")</f>
        <v>0</v>
      </c>
    </row>
    <row r="1651" spans="2:4">
      <c r="B1651">
        <v>97</v>
      </c>
      <c r="C1651" s="1">
        <f>hyperlink("https://hetutrechtsarchief.nl/collectie/695692DD9B8855DABBC03F59D8DBE624","Achtergronden van de Unie van Utrecht A van Hulzen 24-55 ill 1978")</f>
        <v>0</v>
      </c>
      <c r="D1651" s="1">
        <f>hyperlink("http://dspace.library.uu.nl/handle/1874/214625","Achtergronden van de Unie van Utrecht A van Hulzen 24-55 1978")</f>
        <v>0</v>
      </c>
    </row>
    <row r="1652" spans="2:4">
      <c r="B1652">
        <v>98</v>
      </c>
      <c r="C1652" s="1">
        <f>hyperlink("https://hetutrechtsarchief.nl/collectie/B48D77E4FF1D51EB8D01F935B54BE060","Utrechtse schilderkunst in de tweede helft van de 16de eeuw J A L de Meyere 106-191 ill 1978")</f>
        <v>0</v>
      </c>
      <c r="D1652" s="1">
        <f>hyperlink("http://dspace.library.uu.nl/handle/1874/214626","Utrechtse schilderkunst in de tweede helft van de 16de eeuw J A L de Meyere 106-191 1978")</f>
        <v>0</v>
      </c>
    </row>
    <row r="1653" spans="2:4">
      <c r="B1653">
        <v>96</v>
      </c>
      <c r="C1653" s="1">
        <f>hyperlink("https://hetutrechtsarchief.nl/collectie/374B3B0BC00A5930A96CC17D9CEA829A","De viering van de Unie van Utrecht 1579-1929 D P Snoep 192-213 ill 1978")</f>
        <v>0</v>
      </c>
      <c r="D1653" s="1">
        <f>hyperlink("http://dspace.library.uu.nl/handle/1874/214627","De vieringen van de Unie van Utrecht 1579-1929 D P Snoep 192-213 1978")</f>
        <v>0</v>
      </c>
    </row>
    <row r="1654" spans="2:4">
      <c r="B1654">
        <v>97</v>
      </c>
      <c r="C1654" s="1">
        <f>hyperlink("https://hetutrechtsarchief.nl/collectie/724ED9BCE8D752B19AE0146B600C569A","De veranderingen in het Utrechts stadsbeeld van ca 1570 tot ca 1620 C C S Wilmer 89-105 ill 1978")</f>
        <v>0</v>
      </c>
      <c r="D1654" s="1">
        <f>hyperlink("http://dspace.library.uu.nl/handle/1874/214628","De veranderingen in het Utrechtse stadsbeeld van ca 1570 tot ca 1620 C C S Wilmer 89-105 1978")</f>
        <v>0</v>
      </c>
    </row>
    <row r="1655" spans="2:4">
      <c r="B1655">
        <v>97</v>
      </c>
      <c r="C1655" s="1">
        <f>hyperlink("https://hetutrechtsarchief.nl/collectie/41555C10E4645406BC837AD0CED5CF2E","Het huis D Coninck van Poortugael J W C van Campen 87-112 ill 1979")</f>
        <v>0</v>
      </c>
      <c r="D1655" s="1">
        <f>hyperlink("http://dspace.library.uu.nl/handle/1874/214629","Het huis D Coninck van Poortugael J W C van Campen 87-112 1979")</f>
        <v>0</v>
      </c>
    </row>
    <row r="1656" spans="2:4">
      <c r="B1656">
        <v>99</v>
      </c>
      <c r="C1656" s="1">
        <f>hyperlink("https://hetutrechtsarchief.nl/collectie/A4E8011E61935B90894D179D9DE8B754","Bijdrage tot de geschiedenis van de Gildenbeweging te Utrecht mei-augustus 1525 C A van Kalveen 54-86 1979")</f>
        <v>0</v>
      </c>
      <c r="D1656" s="1">
        <f>hyperlink("http://dspace.library.uu.nl/handle/1874/214630","Bijdrage tot de geschiedenis van de Gildenbewegingen te Utrecht mei-augustus 1525 C A van Kalveen 54-86 1979")</f>
        <v>0</v>
      </c>
    </row>
    <row r="1657" spans="2:4">
      <c r="B1657">
        <v>97</v>
      </c>
      <c r="C1657" s="1">
        <f>hyperlink("https://hetutrechtsarchief.nl/collectie/68226148584C5D168AD7C7DB0EE61AF3","Het Sint Bartholomeusgasthuis te Utrecht 1367-1500 G M W Ruitenberg 8-53 ill 1979")</f>
        <v>0</v>
      </c>
      <c r="D1657" s="1">
        <f>hyperlink("http://dspace.library.uu.nl/handle/1874/214631","Het Sint Bartholomeusgasthuis te Utrecht 1367-1500 G M W Ruitenberg 8-53 1979")</f>
        <v>0</v>
      </c>
    </row>
    <row r="1658" spans="2:4">
      <c r="B1658">
        <v>97</v>
      </c>
      <c r="C1658" s="1">
        <f>hyperlink("https://hetutrechtsarchief.nl/collectie/3565963B329154BC80CF96F4C6976B5A","Vijftig jaar beeldende kunst in Utrecht C A Schilp 129-198 ill 1979")</f>
        <v>0</v>
      </c>
      <c r="D1658" s="1">
        <f>hyperlink("http://dspace.library.uu.nl/handle/1874/214632","Vijftig jaar beeldende kunst in Utrecht C A Schilp 129-198 1979")</f>
        <v>0</v>
      </c>
    </row>
    <row r="1659" spans="2:4">
      <c r="B1659">
        <v>99</v>
      </c>
      <c r="C1659" s="1">
        <f>hyperlink("https://hetutrechtsarchief.nl/collectie/DC44A03E8A4D550ABE33F7E9386058BD","Gi sult uuter stat trecken godsdienstige gevolgen van het Utrechtse schisma 1423-1449 en de houding van de bevolking H van Gelderen 26-42 1980")</f>
        <v>0</v>
      </c>
      <c r="D1659" s="1">
        <f>hyperlink("http://dspace.library.uu.nl/handle/1874/214633","Gi sult unter stat trecken godsdienstige gevolgen van het Utrechtse Schisma 1423-1449 en de houding van de bevolking H van Gelderen 26-42 1980")</f>
        <v>0</v>
      </c>
    </row>
    <row r="1660" spans="2:4">
      <c r="B1660">
        <v>97</v>
      </c>
      <c r="C1660" s="1">
        <f>hyperlink("https://hetutrechtsarchief.nl/collectie/6C089C8757335DE2BB36FF352E5A7149","Adriaen Ploos van Amstel 1585-1639 levensschets van een 17de eeuwse politicus J J A Ploos van Amstel 43-94 ill 1980")</f>
        <v>0</v>
      </c>
      <c r="D1660" s="1">
        <f>hyperlink("http://dspace.library.uu.nl/handle/1874/214634","Adriaan Ploos van Amstel 1585-1639 levensschets van een 17de eeuwse politicus J J A Ploos van Amstel 43-94 1980")</f>
        <v>0</v>
      </c>
    </row>
    <row r="1661" spans="2:4">
      <c r="B1661">
        <v>97</v>
      </c>
      <c r="C1661" s="1">
        <f>hyperlink("https://hetutrechtsarchief.nl/collectie/7C4A4AB37C035749B49D6475C0CE6D3D","Het gebouw voor Kunsten en Wetenschappen 1839-1846 R Tieskens 149-164 ill 1980")</f>
        <v>0</v>
      </c>
      <c r="D1661" s="1">
        <f>hyperlink("http://dspace.library.uu.nl/handle/1874/214635","Het gebouw voor Kunsten en Wetenschappen 1839-1846 R Tieskens 149-164 1980")</f>
        <v>0</v>
      </c>
    </row>
    <row r="1662" spans="2:4">
      <c r="B1662">
        <v>99</v>
      </c>
      <c r="C1662" s="1">
        <f>hyperlink("https://hetutrechtsarchief.nl/collectie/3628CB83E96F531BB490742E8D5E343F","Het middenschip van de Dom vernietigd door een tornado de stormramp van 1 augustus 1674 meteorologisch verklaard J F den Tonkelaar 95-109 ill 1980")</f>
        <v>0</v>
      </c>
      <c r="D1662" s="1">
        <f>hyperlink("http://dspace.library.uu.nl/handle/1874/214636","Het middenschip van de Dom vernietigd door een tornado de stormramp van 1 augustus 1674 meteorologisch verklaard J F den Tonkelaar 95-109 1980")</f>
        <v>0</v>
      </c>
    </row>
    <row r="1663" spans="2:4">
      <c r="B1663">
        <v>94</v>
      </c>
      <c r="C1663" s="1">
        <f>hyperlink("https://hetutrechtsarchief.nl/collectie/F71BC303EFDA57E0B3F534929AE88530","Predikherenkerkhof 9 een huis aan de rand van de oude Bisschopshof Herma M van den Berg 244-262 ill 1981")</f>
        <v>0</v>
      </c>
      <c r="D1663" s="1">
        <f>hyperlink("http://dspace.library.uu.nl/handle/1874/214637","Predikherenkerkhof 9 een huis aan de rand van de oude bisschopsstad Herma M van den Bergh 244-262 1981")</f>
        <v>0</v>
      </c>
    </row>
    <row r="1664" spans="2:4">
      <c r="B1664">
        <v>100</v>
      </c>
      <c r="C1664" s="1">
        <f>hyperlink("https://hetutrechtsarchief.nl/collectie/6CEE4D68920655BFBE22EED6D80CCE09","De stichting van de eerste rooms-katholieke armenschool te Utrecht E P de Booy 314-324 1981")</f>
        <v>0</v>
      </c>
      <c r="D1664" s="1">
        <f>hyperlink("http://dspace.library.uu.nl/handle/1874/214638","De stichting van de eerste rooms-katholieke Armenschool te Utrecht E P de Booy 314-324 1981")</f>
        <v>0</v>
      </c>
    </row>
    <row r="1665" spans="2:4">
      <c r="B1665">
        <v>100</v>
      </c>
      <c r="C1665" s="1">
        <f>hyperlink("https://hetutrechtsarchief.nl/collectie/78E77FDF9A0A5C4394C9ADFD74E4BA0C","Hinne Rode C C de Bruin 191-208 1981")</f>
        <v>0</v>
      </c>
      <c r="D1665" s="1">
        <f>hyperlink("http://dspace.library.uu.nl/handle/1874/214639","Hinne Rode C C de Bruin 191-208 1981")</f>
        <v>0</v>
      </c>
    </row>
    <row r="1666" spans="2:4">
      <c r="B1666">
        <v>96</v>
      </c>
      <c r="C1666" s="1">
        <f>hyperlink("https://hetutrechtsarchief.nl/collectie/CA239518DA0359E1BAFB635080200DD1","De dood in de Paulusabdij J W C van Campen 175-183 ill 1981")</f>
        <v>0</v>
      </c>
      <c r="D1666" s="1">
        <f>hyperlink("http://dspace.library.uu.nl/handle/1874/214640","De Dood in de Paulusabdij J W C van Campen 175-183 1981")</f>
        <v>0</v>
      </c>
    </row>
    <row r="1667" spans="2:4">
      <c r="B1667">
        <v>100</v>
      </c>
      <c r="C1667" s="1">
        <f>hyperlink("https://hetutrechtsarchief.nl/collectie/5D5CC6D572DF5863BDCD22016F1D963F","De gebroeders Willem Gerrit en Gijsbert van Zijl domkanunniken te Utrecht in de tweede helft van de 14e eeuw C Dekker 61-84 1981")</f>
        <v>0</v>
      </c>
      <c r="D1667" s="1">
        <f>hyperlink("http://dspace.library.uu.nl/handle/1874/214641","De gebroeders Willem Gerrit en Gijsbert van Zijl domkanunniken te Utrecht in de tweede helft van de 14e eeuw C Dekker 61-84 1981")</f>
        <v>0</v>
      </c>
    </row>
    <row r="1668" spans="2:4">
      <c r="B1668">
        <v>70</v>
      </c>
      <c r="C1668" s="1">
        <f>hyperlink("https://hetutrechtsarchief.nl/collectie/D58D6AE377B75203A768BB98F6D5DB5D","Descriptio vitae C Dekker en H L Ph Leeuwenberg 9-14 portr 1981")</f>
        <v>0</v>
      </c>
      <c r="D1668" s="1">
        <f>hyperlink("http://dspace.library.uu.nl/handle/1874/214642","Descriptio vitae M P van Dekker C Leeuwenberg H L Ph Buijtenen 9-25 1981")</f>
        <v>0</v>
      </c>
    </row>
    <row r="1669" spans="2:4">
      <c r="B1669">
        <v>100</v>
      </c>
      <c r="C1669" s="1">
        <f>hyperlink("https://hetutrechtsarchief.nl/collectie/43DDCAF0657C5AEA9C424AF1B0606A8C","Het spoor van de dertiende penning F Doeleman 125-140 1981")</f>
        <v>0</v>
      </c>
      <c r="D1669" s="1">
        <f>hyperlink("http://dspace.library.uu.nl/handle/1874/214643","Het spoor van de dertiende penning F Doeleman 125-140 1981")</f>
        <v>0</v>
      </c>
    </row>
    <row r="1670" spans="2:4">
      <c r="B1670">
        <v>100</v>
      </c>
      <c r="C1670" s="1">
        <f>hyperlink("https://hetutrechtsarchief.nl/collectie/F95DE545115950658F0B95FB07437D87","Utrechtse relaties van Christoffel Plantijn D Grosheide 209-223 1981")</f>
        <v>0</v>
      </c>
      <c r="D1670" s="1">
        <f>hyperlink("http://dspace.library.uu.nl/handle/1874/214644","Utrechtse relaties van Christoffel Plantijn D Grosheide 209-223 1981")</f>
        <v>0</v>
      </c>
    </row>
    <row r="1671" spans="2:4">
      <c r="B1671">
        <v>100</v>
      </c>
      <c r="C1671" s="1">
        <f>hyperlink("https://hetutrechtsarchief.nl/collectie/FC922073719A54139F40CAA796342FD0","Het Utrechtse notariaat in de zeventiende en achttiende eeuw W B Heins 224-243 1981")</f>
        <v>0</v>
      </c>
      <c r="D1671" s="1">
        <f>hyperlink("http://dspace.library.uu.nl/handle/1874/214645","Het Utrechtse notariaat in de zeventiende en achttiende eeuw W B Heins 224-243 1981")</f>
        <v>0</v>
      </c>
    </row>
    <row r="1672" spans="2:4">
      <c r="B1672">
        <v>96</v>
      </c>
      <c r="C1672" s="1">
        <f>hyperlink("https://hetutrechtsarchief.nl/collectie/FF081796AF225A55B7D30E33C0AA0AED","Rumoer in de Herenstraat de Utrechtse augustijnenstatie A K de Meijer 276-315 ill 1981")</f>
        <v>0</v>
      </c>
      <c r="D1672" s="1">
        <f>hyperlink("http://dspace.library.uu.nl/handle/1874/214646","Rumoer in de Herenstraat de Utrechtse Augustijnenstatie A K de Meijer 276-313 1981")</f>
        <v>0</v>
      </c>
    </row>
    <row r="1673" spans="2:4">
      <c r="B1673">
        <v>100</v>
      </c>
      <c r="C1673" s="1">
        <f>hyperlink("https://hetutrechtsarchief.nl/collectie/B30F612108EB5E9DBA844B4C115F9E6C","Rond een Noordnederlands Birgittencartularium uit de 15e eeuw A D A Monna 165-174 1981")</f>
        <v>0</v>
      </c>
      <c r="D1673" s="1">
        <f>hyperlink("http://dspace.library.uu.nl/handle/1874/214647","Rond een Noordnederlands Birgittencartularium uit de 15e eeuw A D A Monna 165-174 1981")</f>
        <v>0</v>
      </c>
    </row>
    <row r="1674" spans="2:4">
      <c r="B1674">
        <v>98</v>
      </c>
      <c r="C1674" s="1">
        <f>hyperlink("https://hetutrechtsarchief.nl/collectie/AED37DEEE3D25C91A0E78CE74F38FEBD","Waar alle richtingen samenkomen de Willibrordherdenking van 1939 A H M van Schaik 325-356 ill 1981")</f>
        <v>0</v>
      </c>
      <c r="D1674" s="1">
        <f>hyperlink("http://dspace.library.uu.nl/handle/1874/214648","Waar alle richtingen samenkomen de Willibrordherdenking van 1939 A H M van Schaik 325-356 1981")</f>
        <v>0</v>
      </c>
    </row>
    <row r="1675" spans="2:4">
      <c r="B1675">
        <v>96</v>
      </c>
      <c r="C1675" s="1">
        <f>hyperlink("https://hetutrechtsarchief.nl/collectie/FDE2476E08A856C38FC85C50BB3042E0","Om ijdel woorden wille J E A L Struick 35-60 ill 1981")</f>
        <v>0</v>
      </c>
      <c r="D1675" s="1">
        <f>hyperlink("http://dspace.library.uu.nl/handle/1874/214649","Om ijdel woorden wille J E A L Struick 35-60 1981")</f>
        <v>0</v>
      </c>
    </row>
    <row r="1676" spans="2:4">
      <c r="B1676">
        <v>100</v>
      </c>
      <c r="C1676" s="1">
        <f>hyperlink("https://hetutrechtsarchief.nl/collectie/6753844742D95DAAB94BCD16095A8F5A","Bisschop Jan van Virneburg en de Utrechtse kapittels 1364-1371 E T Suir 85-100 1981")</f>
        <v>0</v>
      </c>
      <c r="D1676" s="1">
        <f>hyperlink("http://dspace.library.uu.nl/handle/1874/214650","Bisschop Jan van Virneburg en de Utrechtse kapittels 1364-1371 E T Suir 85-100 1981")</f>
        <v>0</v>
      </c>
    </row>
    <row r="1677" spans="2:4">
      <c r="B1677">
        <v>100</v>
      </c>
      <c r="C1677" s="1">
        <f>hyperlink("https://hetutrechtsarchief.nl/collectie/428A8077BAFC5308BF4BF9D57D4A32F4","Van maagden en engelen J A G Tans 263-275 1981")</f>
        <v>0</v>
      </c>
      <c r="D1677" s="1">
        <f>hyperlink("http://dspace.library.uu.nl/handle/1874/214651","Van maagden en engelen J A G Tans 263-275 1981")</f>
        <v>0</v>
      </c>
    </row>
    <row r="1678" spans="2:4">
      <c r="B1678">
        <v>91</v>
      </c>
      <c r="C1678" s="1">
        <f>hyperlink("https://hetutrechtsarchief.nl/collectie/CE051D652C835B04A9D72E2B11B7A889","Een orgelstrijd in de St Jacobskerk te Utrecht 1509-1516 M A Vente 184-190 ill 1981")</f>
        <v>0</v>
      </c>
      <c r="D1678" s="1">
        <f>hyperlink("http://dspace.library.uu.nl/handle/1874/214652","Een orgelstrijd in de St Jacobskerk te Utrecht 1509-1516 Maarten Albert Vente 184-190 1981")</f>
        <v>0</v>
      </c>
    </row>
    <row r="1679" spans="2:4">
      <c r="B1679">
        <v>96</v>
      </c>
      <c r="C1679" s="1">
        <f>hyperlink("https://hetutrechtsarchief.nl/collectie/EB435B6247F75B0C9CF59B523B466C85","De landboot van Dietz P H Damst 151-176 ill 1982")</f>
        <v>0</v>
      </c>
      <c r="D1679" s="1">
        <f>hyperlink("http://dspace.library.uu.nl/handle/1874/214653","De landboot van Dietz P H Damst 151-176 1982")</f>
        <v>0</v>
      </c>
    </row>
    <row r="1680" spans="2:4">
      <c r="B1680">
        <v>100</v>
      </c>
      <c r="C1680" s="1">
        <f>hyperlink("https://hetutrechtsarchief.nl/collectie/DC8CBED04989514B9FD6FC59A51549A1","Hoed je voor de vrijheid iets over de Utrechtse zilverinname van 1795 L E Eelkman Rooda-Hoogterp 137-150 1982")</f>
        <v>0</v>
      </c>
      <c r="D1680" s="1">
        <f>hyperlink("http://dspace.library.uu.nl/handle/1874/214654","Hoed je voor de vrijheid iets over de Utrechtse zilverinname van 1795 L E Eelkman Rooda-Hoogterp 137-150 1982")</f>
        <v>0</v>
      </c>
    </row>
    <row r="1681" spans="2:4">
      <c r="B1681">
        <v>97</v>
      </c>
      <c r="C1681" s="1">
        <f>hyperlink("https://hetutrechtsarchief.nl/collectie/F755D7F8CF91521DBDD27ED19F9C877A","Zuivering verkiezing en genoegdoening een onderzoek naar politiek gemotiveerd ontslag- en benoemingsbeleid ten aanzien van Utrechtse ambtenaren tijdens de Bataafse Revolutie R E de Bruin 82-116 ill 1983")</f>
        <v>0</v>
      </c>
      <c r="D1681" s="1">
        <f>hyperlink("http://dspace.library.uu.nl/handle/1874/214655","Zuivering verkiezing en genoegdoening een onderzoek naar politiek gemotiveerd ontslag- en bewapeningsbeleid ten aanzien van Utrechtse ambtenaren tijdens de Bataafse Revolutie R E de Bruin 82-116 1983")</f>
        <v>0</v>
      </c>
    </row>
    <row r="1682" spans="2:4">
      <c r="B1682">
        <v>98</v>
      </c>
      <c r="C1682" s="1">
        <f>hyperlink("https://hetutrechtsarchief.nl/collectie/2D12CC5E23735B6A8B468A2395340DDA","Het Utrechtse muziekleven rond 1900 een gunstig klimaat voor de vrouw Henk Smit 117-125 ill 1983")</f>
        <v>0</v>
      </c>
      <c r="D1682" s="1">
        <f>hyperlink("http://dspace.library.uu.nl/handle/1874/214656","Het Utrechtse muziekleven rond 1900 een gunstig klimaat voor de vrouw Henk Smit 117-125 1983")</f>
        <v>0</v>
      </c>
    </row>
    <row r="1683" spans="2:4">
      <c r="B1683">
        <v>99</v>
      </c>
      <c r="C1683" s="1">
        <f>hyperlink("https://hetutrechtsarchief.nl/collectie/A5AACE79D2585C45B42460517FFDF298","Tragedie in Waverveen ooggetuigeverslag van de Franse overval op Waverveen in 1672 met enkele historische gegevens over deze plaats en over de persoon van de verslaggever J G J van Booma 113-128 ill 1979")</f>
        <v>0</v>
      </c>
      <c r="D1683" s="1">
        <f>hyperlink("http://dspace.library.uu.nl/handle/1874/214657","Tragedie in Waverveen ooggetuigeverslag van de Franse overval op Waverveen in 1672 met enkele historische gegevens over deze plaats en over de persoon van de verslaggever J G J van Booma 113-128 1979")</f>
        <v>0</v>
      </c>
    </row>
    <row r="1684" spans="2:4">
      <c r="B1684">
        <v>99</v>
      </c>
      <c r="C1684" s="1">
        <f>hyperlink("https://hetutrechtsarchief.nl/collectie/809BC79F369F5DA5A5D416C5331DDD8B","Enkele aantekeningen over de geschiedenis van het Kantonnaal en Stedelijk Museum van Wijk bij Duurstede L C J M Rouppe van der Voort 165-175 ill 1980")</f>
        <v>0</v>
      </c>
      <c r="D1684" s="1">
        <f>hyperlink("http://dspace.library.uu.nl/handle/1874/214658","Enkele aantekeningen over de geschiedenis van het Kantonnaal en Stedelijk Museum van Wijk bij Duurstede L C J M Rouppe van der Voort 165-175 1980")</f>
        <v>0</v>
      </c>
    </row>
    <row r="1685" spans="2:4">
      <c r="B1685">
        <v>97</v>
      </c>
      <c r="C1685" s="1">
        <f>hyperlink("https://hetutrechtsarchief.nl/collectie/22D8B544A675516AA188580A118FF14E","Wijk bij Duurstede in de ban van haar regenten L J J P Cortenraede 61-81 ill 1983")</f>
        <v>0</v>
      </c>
      <c r="D1685" s="1">
        <f>hyperlink("http://dspace.library.uu.nl/handle/1874/214659","Wijk bij Duurstede in de ban van haar regenten L J J P Cortenraede 61-81 1983")</f>
        <v>0</v>
      </c>
    </row>
    <row r="1686" spans="2:4">
      <c r="B1686">
        <v>97</v>
      </c>
      <c r="C1686" s="1">
        <f>hyperlink("https://hetutrechtsarchief.nl/collectie/1CDAF7C8BFE55F6DA43012E9CD329D10","De glazen van de Cisterci nserkloosterkerk te IJsselstein en hun schenkers Louise van Tongerloo 18-41 ill 1982")</f>
        <v>0</v>
      </c>
      <c r="D1686" s="1">
        <f>hyperlink("http://dspace.library.uu.nl/handle/1874/214660","De glazen van de Cistercienserkloosterkerk te IJsselstein en hun schenkers Louise van Tongerloo 18-41 1982")</f>
        <v>0</v>
      </c>
    </row>
    <row r="1687" spans="2:4">
      <c r="B1687">
        <v>98</v>
      </c>
      <c r="C1687" s="1">
        <f>hyperlink("https://hetutrechtsarchief.nl/collectie/BD16B618BA755A7FAE9C561AC542A3FE","Geld en geluk de familie van der Muelen in gezinshistorisch perspectief 1600-1800 G Coumans 99-120 ill 1984")</f>
        <v>0</v>
      </c>
      <c r="D1687" s="1">
        <f>hyperlink("http://dspace.library.uu.nl/handle/1874/214661","Geld en geluk de familie Van der Muelen in gezinshistorisch perspectief 1600-1800 G Coumans 99-120 1984")</f>
        <v>0</v>
      </c>
    </row>
    <row r="1688" spans="2:4">
      <c r="B1688">
        <v>98</v>
      </c>
      <c r="C1688" s="1">
        <f>hyperlink("https://hetutrechtsarchief.nl/collectie/3ED06FCC405D5C8CBFCDAD69FC149B7D","Zeven zeventiende-eeuwse schilderijen in het Sint Eloyengasthuis te Utrecht Paul Janssen 85-109 ill 1985")</f>
        <v>0</v>
      </c>
      <c r="D1688" s="1">
        <f>hyperlink("http://dspace.library.uu.nl/handle/1874/214746","Zeven zeventiende-eeuwse schilderijen in het Sint Eloyengasthuis te Utrecht Paul Janssen 85-109 1985")</f>
        <v>0</v>
      </c>
    </row>
    <row r="1689" spans="2:4">
      <c r="B1689">
        <v>98</v>
      </c>
      <c r="C1689" s="1">
        <f>hyperlink("https://hetutrechtsarchief.nl/collectie/1EC1D1D668C75D65A737603CBAD244B2","Politiek leven in de stad Utrecht rond het midden van de negentiende eeuw 1840-1860 J H von Santen 110-165 ill 1985")</f>
        <v>0</v>
      </c>
      <c r="D1689" s="1">
        <f>hyperlink("http://dspace.library.uu.nl/handle/1874/214747","Politiek leven in de stad Utrecht rond het midden van de negentiende eeuw 1840-1860 J H von Santen 110-165 1985")</f>
        <v>0</v>
      </c>
    </row>
    <row r="1690" spans="2:4">
      <c r="B1690">
        <v>97</v>
      </c>
      <c r="C1690" s="1">
        <f>hyperlink("https://hetutrechtsarchief.nl/collectie/1CE83A5E7445557B8E3581AAC219DBD9","Keizer Hendrik IV in Utrecht enkele beelden en schilderijen Susanne J Weide 62-84 ill 1985")</f>
        <v>0</v>
      </c>
      <c r="D1690" s="1">
        <f>hyperlink("http://dspace.library.uu.nl/handle/1874/214748","Keizer Hendrik IV in Utrecht enkele beelden en schilderijen Susanna J Weide 62-84 1985")</f>
        <v>0</v>
      </c>
    </row>
    <row r="1691" spans="2:4">
      <c r="B1691">
        <v>73</v>
      </c>
      <c r="C1691" s="1">
        <f>hyperlink("https://hetutrechtsarchief.nl/collectie/9FD0669D1C2B5C2EBAC4E94B06751570","Heiligen tussen pierementen II Da Capo A K de Meijer en M P van Buijtenen 62-69 ill 1986")</f>
        <v>0</v>
      </c>
      <c r="D1691" s="1">
        <f>hyperlink("http://dspace.library.uu.nl/handle/1874/214749","Heiligen tussen Pierementen A K de Buijtenen M P van Meijer 9-61 1986 p 62-69 1985-1986")</f>
        <v>0</v>
      </c>
    </row>
    <row r="1692" spans="2:4">
      <c r="B1692">
        <v>97</v>
      </c>
      <c r="C1692" s="1">
        <f>hyperlink("https://hetutrechtsarchief.nl/collectie/ADFDE4E47A8257268D5B8BE44DB2240A","Kenmerken van de Amersfoortse patriottenbeweging C A van Kalveen 114-144 ill 1987")</f>
        <v>0</v>
      </c>
      <c r="D1692" s="1">
        <f>hyperlink("http://dspace.library.uu.nl/handle/1874/214750","Kenmerken van de Amersfoortse patriottenbeweging C A van Kalveen 114-144 1987")</f>
        <v>0</v>
      </c>
    </row>
    <row r="1693" spans="2:4">
      <c r="B1693">
        <v>98</v>
      </c>
      <c r="C1693" s="1">
        <f>hyperlink("https://hetutrechtsarchief.nl/collectie/6A697EA8340458F8B55A31266153B870","Burgerwapening in Maarssen en Maarsseveen opkomst en ondergang van een politieke beweging Joop Uppelschoten 145-155 ill 1987")</f>
        <v>0</v>
      </c>
      <c r="D1693" s="1">
        <f>hyperlink("http://dspace.library.uu.nl/handle/1874/214751","Burgerbewapening in Maarssen en Maarsseveen opkomst en ondergang van een politieke beweging Joop Uppelschoten 145-155 1987")</f>
        <v>0</v>
      </c>
    </row>
    <row r="1694" spans="2:4">
      <c r="B1694">
        <v>97</v>
      </c>
      <c r="C1694" s="1">
        <f>hyperlink("https://hetutrechtsarchief.nl/collectie/12CBECA169ED57B99129F14AC7D4A16F","De tweede ronde de rol van Utrechtse patriotten in de Bataafse-Franse tijd R E de Bruin 277-310 ill 1987")</f>
        <v>0</v>
      </c>
      <c r="D1694" s="1">
        <f>hyperlink("http://dspace.library.uu.nl/handle/1874/214752","De tweede ronde de rol van Utrechtse patriotten in de Bataafs-Franse tijd R E de Bruin 227-310 1987")</f>
        <v>0</v>
      </c>
    </row>
    <row r="1695" spans="2:4">
      <c r="B1695">
        <v>97</v>
      </c>
      <c r="C1695" s="1">
        <f>hyperlink("https://hetutrechtsarchief.nl/collectie/4E9EF7CE74395630AD3E9893CA5DAEE8","De Utrechtse patriottenbeweging en de kunst Frans Grijzenhout 78-113 ill 1987")</f>
        <v>0</v>
      </c>
      <c r="D1695" s="1">
        <f>hyperlink("http://dspace.library.uu.nl/handle/1874/214753","De Utrechtse patriottenbeweging en de kunst Frans Grijzenhout 78-113 1987")</f>
        <v>0</v>
      </c>
    </row>
    <row r="1696" spans="2:4">
      <c r="B1696">
        <v>98</v>
      </c>
      <c r="C1696" s="1">
        <f>hyperlink("https://hetutrechtsarchief.nl/collectie/68E7D43CE3525C7388550F9FA29A8EF3","Lievendaal eene eenvoudige nette met ligte verw beschilderde villa in het donkere loof verscholen Korine Hazelzet 93-113 ill 1986")</f>
        <v>0</v>
      </c>
      <c r="D1696" s="1">
        <f>hyperlink("http://dspace.library.uu.nl/handle/1874/214754","Lievendaal een eenvoudige nette met ligte verw beschilderde villa in het donkere loof verscholen Korine Hazelzet 93-113 1986")</f>
        <v>0</v>
      </c>
    </row>
    <row r="1697" spans="2:4">
      <c r="B1697">
        <v>91</v>
      </c>
      <c r="C1697" s="1">
        <f>hyperlink("https://hetutrechtsarchief.nl/collectie/6F787402C5BB595886ED5F298F0F5BC5","Het zwakke geslacht in Utrecht enkele momentopnamen van mannen en vrouwen uit de late middeleeuwen G M de Meyer en E W F van den Elzen 70-77 1986")</f>
        <v>0</v>
      </c>
      <c r="D1697" s="1">
        <f>hyperlink("http://dspace.library.uu.nl/handle/1874/214755","Het zwakke geslacht in Utrecht enkele momentopnamen van mannen en vrouwen uit de late middeleeuwen E W F van den Meyer G M de Elzen 70-77 1986")</f>
        <v>0</v>
      </c>
    </row>
    <row r="1698" spans="2:4">
      <c r="B1698">
        <v>98</v>
      </c>
      <c r="C1698" s="1">
        <f>hyperlink("https://hetutrechtsarchief.nl/collectie/CC0BA923DF3E5355BD19C78286778F61","Politiek als leerproces het patriottisme in Utrecht 1783-1787 N C F van Sas 9-42 ill 1987")</f>
        <v>0</v>
      </c>
      <c r="D1698" s="1">
        <f>hyperlink("http://dspace.library.uu.nl/handle/1874/214756","Politiek als leerproces het patriottisme in Utrecht 1783-1787 N C F van Sas 9-42 1987")</f>
        <v>0</v>
      </c>
    </row>
    <row r="1699" spans="2:4">
      <c r="B1699">
        <v>98</v>
      </c>
      <c r="C1699" s="1">
        <f>hyperlink("https://hetutrechtsarchief.nl/collectie/ECDC972A3D6959468CC30A3804CD13BA","Pieter t Hoen 1744-1828 politiek journalist en Utrechts patriot P J H M Theeuwen 43-77 ill 1987")</f>
        <v>0</v>
      </c>
      <c r="D1699" s="1">
        <f>hyperlink("http://dspace.library.uu.nl/handle/1874/214757","Pieter t Hoen 1744-1828 politiek journalist en Utrechts patriot P J H M Theeuwen 43-77 1987")</f>
        <v>0</v>
      </c>
    </row>
    <row r="1700" spans="2:4">
      <c r="B1700">
        <v>97</v>
      </c>
      <c r="C1700" s="1">
        <f>hyperlink("https://hetutrechtsarchief.nl/collectie/3C31169E722458FDBF905FA710ECFF36","Het gevecht bij Vreeswijk 9 mei 1787 W J Angenent 156-188 ill 1987")</f>
        <v>0</v>
      </c>
      <c r="D1700" s="1">
        <f>hyperlink("http://dspace.library.uu.nl/handle/1874/214758","Het gevecht bij Vreeswijk 9 mei 1787 W J Angenent 156-188 1987")</f>
        <v>0</v>
      </c>
    </row>
    <row r="1701" spans="2:4">
      <c r="B1701">
        <v>98</v>
      </c>
      <c r="C1701" s="1">
        <f>hyperlink("https://hetutrechtsarchief.nl/collectie/F155A5058CE5536595E37A6C2D4B776E","De stad Utrecht en de franciscanen en dominicanen in de vijftiende eeuw A H Evertse 9-32 ill 1986")</f>
        <v>0</v>
      </c>
      <c r="D1701" s="1">
        <f>hyperlink("http://dspace.library.uu.nl/handle/1874/214759","De stad Utrecht en de franciscanen en dominicanen in de vijftiende eeuw A H Evertse 9-32 1986")</f>
        <v>0</v>
      </c>
    </row>
    <row r="1702" spans="2:4">
      <c r="B1702">
        <v>97</v>
      </c>
      <c r="C1702" s="1">
        <f>hyperlink("https://hetutrechtsarchief.nl/collectie/A08211B3885A5CCEBFBEBF5A7F4109F5","Heiligen op herhaling enkele muurschilderingen in de Utrechtse Buurkerk opnieuw beschouwd W H P Scholten 33-61 ill 1986")</f>
        <v>0</v>
      </c>
      <c r="D1702" s="1">
        <f>hyperlink("http://dspace.library.uu.nl/handle/1874/214760","Heiligen op herhaling enkele muurschilderingen in de Utrechtse Buurkerk opnieuw beschouwd W H P Scholten 33-62 1986")</f>
        <v>0</v>
      </c>
    </row>
    <row r="1703" spans="2:4">
      <c r="B1703">
        <v>98</v>
      </c>
      <c r="C1703" s="1">
        <f>hyperlink("https://hetutrechtsarchief.nl/collectie/EC07CD38240758A6849FD67E8D4B8090","Nieuw beeldmateriaal over Hendrick Barck balijer van het Utrechtse Catharijneconvent Paul Dirkse 78-92 ill 1986")</f>
        <v>0</v>
      </c>
      <c r="D1703" s="1">
        <f>hyperlink("http://dspace.library.uu.nl/handle/1874/214761","Nieuw beeldmateriaal over Hendrick Barck balijer van het Utrechtse Catharijneconvent Paul Dirkse 78-92 1986")</f>
        <v>0</v>
      </c>
    </row>
    <row r="1704" spans="2:4">
      <c r="B1704">
        <v>98</v>
      </c>
      <c r="C1704" s="1">
        <f>hyperlink("https://hetutrechtsarchief.nl/collectie/2B7C6422AEBB5BA68D2603F3C008FE13","Henricus Berendtzen aartspriester van Utrecht een patriot die geen Bataaf werd P H M Opheusden 222-276 ill 1987")</f>
        <v>0</v>
      </c>
      <c r="D1704" s="1">
        <f>hyperlink("http://dspace.library.uu.nl/handle/1874/214762","Henricus Berendtzen aartspriester van Utrecht een patriot die geen Bataaf werd P H M Opheusden 222-276 1987")</f>
        <v>0</v>
      </c>
    </row>
    <row r="1705" spans="2:4">
      <c r="B1705">
        <v>87</v>
      </c>
      <c r="C1705" s="1">
        <f>hyperlink("https://hetutrechtsarchief.nl/collectie/620FB9F74B215B019AAE46C0BA56AEA3","Stad en veen in Utrecht toegelicht aan de gerechten Oostveen en Herbertskop Johanna Maria van Winter en A L P Buitelaar 9-34 ill 1988")</f>
        <v>0</v>
      </c>
      <c r="D1705" s="1">
        <f>hyperlink("http://dspace.library.uu.nl/handle/1874/214763","Stad en veen in Utrecht toegelicht aan de gerechten Oostveen en Herbertskop A L P Winter Johanna Maria van Buitelaar 9-34 1988")</f>
        <v>0</v>
      </c>
    </row>
    <row r="1706" spans="2:4">
      <c r="B1706">
        <v>99</v>
      </c>
      <c r="C1706" s="1">
        <f>hyperlink("https://hetutrechtsarchief.nl/collectie/277A2D57C659501BA9C3EFE88172DEF1","De woningen blijken op den gezondheidstoestand der bewoners een gunstige invloed uit te oefenen de N V Maatschappij tot verbetering der volkshuisvesting Jaffa 1907-1941 Heleen Homma 99-122 ill 1988")</f>
        <v>0</v>
      </c>
      <c r="D1706" s="1">
        <f>hyperlink("http://dspace.library.uu.nl/handle/1874/214764","De woningen blijken op den gezondheidstoestand der bewoners een gunstige invloed uit te oefenen de N V Maatschappij tot verbetering der volkshuisvesting Jaffa 1907-1941 Heleen Homma 99-122 1988")</f>
        <v>0</v>
      </c>
    </row>
    <row r="1707" spans="2:4">
      <c r="B1707">
        <v>65</v>
      </c>
      <c r="C1707" s="1">
        <f>hyperlink("https://hetutrechtsarchief.nl/collectie/56B0AF1774095D62A99E50A6A0546426","Rondom 1838 recht en rechtsgeleerden in Utrecht M van de Vrugt 81-98 ill 1988")</f>
        <v>0</v>
      </c>
      <c r="D1707" s="1">
        <f>hyperlink("http://dspace.library.uu.nl/handle/1874/214765","Rondom 1838 M van de Vrugt 81-98 1988")</f>
        <v>0</v>
      </c>
    </row>
    <row r="1708" spans="2:4">
      <c r="B1708">
        <v>98</v>
      </c>
      <c r="C1708" s="1">
        <f>hyperlink("https://hetutrechtsarchief.nl/collectie/6D950C0FCD6E5F3DA1CFAE1152E9BA58","Spoelluden om die stat dairmede te eren stadsspeellieden in Utrecht in de vijftiende eeuw M P Beukers 35-52 ill 1988")</f>
        <v>0</v>
      </c>
      <c r="D1708" s="1">
        <f>hyperlink("http://dspace.library.uu.nl/handle/1874/214767","Spoelluden om die stat dairmede te eren stadsspeellieden in Utrecht in de vijftiende eeuw M P Beukers 35-52 1988")</f>
        <v>0</v>
      </c>
    </row>
    <row r="1709" spans="2:4">
      <c r="B1709">
        <v>98</v>
      </c>
      <c r="C1709" s="1">
        <f>hyperlink("https://hetutrechtsarchief.nl/collectie/62F5F0B8E3CB55D48D66E4F9DF91CF57","Twee zijluiken van een altaarstuk uit de Utrechtse St Jacobskerk J A L de Meyere 53-80 ill 1988")</f>
        <v>0</v>
      </c>
      <c r="D1709" s="1">
        <f>hyperlink("http://dspace.library.uu.nl/handle/1874/214768","Twee zijluiken van een altaarstuk uit de Utrechtse St Jacobskerk J A L de Meyere 53-80 1988")</f>
        <v>0</v>
      </c>
    </row>
    <row r="1710" spans="2:4">
      <c r="B1710">
        <v>96</v>
      </c>
      <c r="C1710" s="1">
        <f>hyperlink("https://hetutrechtsarchief.nl/collectie/CFCF34EBBA075809BCA849580AFB9DB4","De topografie van Utrecht in de Romeinse tijd M J G Th Montforts 8-38 ill 1991")</f>
        <v>0</v>
      </c>
      <c r="D1710" s="1">
        <f>hyperlink("http://dspace.library.uu.nl/handle/1874/214769","De topografie van Utrecht in de Romeinse tijd M J G Th Montforts 7-38 1991")</f>
        <v>0</v>
      </c>
    </row>
    <row r="1711" spans="2:4">
      <c r="B1711">
        <v>95</v>
      </c>
      <c r="C1711" s="1">
        <f>hyperlink("https://hetutrechtsarchief.nl/collectie/8371606E3D56576DBB39CA707AD0D19D","Het Amersfoortse burgerschap in de late middeleeuwen Ph Maarschalkerweerd 40-58 ill 1991")</f>
        <v>0</v>
      </c>
      <c r="D1711" s="1">
        <f>hyperlink("http://dspace.library.uu.nl/handle/1874/214770","Het Amersfoortse burgerschap in de late middeleeuwen Ph Maarschalkerweerd 39-58 1991")</f>
        <v>0</v>
      </c>
    </row>
    <row r="1712" spans="2:4">
      <c r="B1712">
        <v>92</v>
      </c>
      <c r="C1712" s="1">
        <f>hyperlink("https://hetutrechtsarchief.nl/collectie/94AA616F7916584B85DEC3C6A89C7965","Thomas Basin in Utrecht Kaj van Vliet 60-92 ill 1991")</f>
        <v>0</v>
      </c>
      <c r="D1712" s="1">
        <f>hyperlink("http://dspace.library.uu.nl/handle/1874/214771","Thomas Basin in Utrecht Kaj van Vliet 59-92 1991")</f>
        <v>0</v>
      </c>
    </row>
    <row r="1713" spans="2:4">
      <c r="B1713">
        <v>96</v>
      </c>
      <c r="C1713" s="1">
        <f>hyperlink("https://hetutrechtsarchief.nl/collectie/2E1699409F665E6E948EB43B8B05BB48","Op het spoor van de dood de pest in en rond Utrecht R Rommes 94-120 ill 1991")</f>
        <v>0</v>
      </c>
      <c r="D1713" s="1">
        <f>hyperlink("http://dspace.library.uu.nl/handle/1874/214772","Op het spoor van de dood de pest in en rond Utrecht R Rommes 93-120 1991")</f>
        <v>0</v>
      </c>
    </row>
    <row r="1714" spans="2:4">
      <c r="B1714">
        <v>98</v>
      </c>
      <c r="C1714" s="1">
        <f>hyperlink("https://hetutrechtsarchief.nl/collectie/ED5CC14C5CEC56D5983E00DB7E5E6CBC","Utrecht havenstad zeventiende- en achttiende-eeuwse plannen tot aanleg van een scheepvaartverbinding met de Zuiderzee D T Koen 122-142 ill 1991")</f>
        <v>0</v>
      </c>
      <c r="D1714" s="1">
        <f>hyperlink("http://dspace.library.uu.nl/handle/1874/214773","Utrecht havenstad zeventiende- en achttiende-eeuwse plannen tot aanleg van een scheepvaartverbinding met de Zuiderzee D T Koen 121-142 1991")</f>
        <v>0</v>
      </c>
    </row>
    <row r="1715" spans="2:4">
      <c r="B1715">
        <v>97</v>
      </c>
      <c r="C1715" s="1">
        <f>hyperlink("https://hetutrechtsarchief.nl/collectie/21EC1D85D4765043A0DBA33DAAE4CF16","Zegt dat den honger een scherp zwaard is op zoek naar de armoedecriminaliteit in de Vechtse venen in de tweede helft van de achttiende eeuw Hans van Deukeren 144-172 ill 1991")</f>
        <v>0</v>
      </c>
      <c r="D1715" s="1">
        <f>hyperlink("http://dspace.library.uu.nl/handle/1874/214774","Zegt dat den honger een scherp zwaard is op zoek naar armoedecriminaliteit in de Vechtse venen in de tweede helft van de achttiende eeuw Hans van Deukeren 143-172 1991")</f>
        <v>0</v>
      </c>
    </row>
    <row r="1716" spans="2:4">
      <c r="B1716">
        <v>97</v>
      </c>
      <c r="C1716" s="1">
        <f>hyperlink("https://hetutrechtsarchief.nl/collectie/8154ED861ED95605951DCA179327B9CA","Van weeshuis tot steunfonds vijf eeuwen stichting van Evert Zoudenbalch J J Dankers 174-204 ill 1991")</f>
        <v>0</v>
      </c>
      <c r="D1716" s="1">
        <f>hyperlink("http://dspace.library.uu.nl/handle/1874/214775","Van weeshuis tot steunfonds vijf eeuwen stichting van Evert Zoudenbalch J J Dankers 173-204 1991")</f>
        <v>0</v>
      </c>
    </row>
    <row r="1717" spans="2:4">
      <c r="B1717">
        <v>98</v>
      </c>
      <c r="C1717" s="1">
        <f>hyperlink("https://hetutrechtsarchief.nl/collectie/0E71A50F78B4582AB9BD434FC09EA5BF","De Broederschap der Ellendige Zielen aan de Buurkerk te Utrecht 1436-1520 H A M Jongerius 9-36 ill 1989")</f>
        <v>0</v>
      </c>
      <c r="D1717" s="1">
        <f>hyperlink("http://dspace.library.uu.nl/handle/1874/214776","De Broederschap der Ellendige Zielen aan de Buurkerk te Utrecht 1436-1520 H A M Jongerius 9-36 1989")</f>
        <v>0</v>
      </c>
    </row>
    <row r="1718" spans="2:4">
      <c r="B1718">
        <v>97</v>
      </c>
      <c r="C1718" s="1">
        <f>hyperlink("https://hetutrechtsarchief.nl/collectie/2115D9173CCF5A6EA5E532AF926E9D42","Het eerste Stadhuis van Utrecht een belangrijke verbouwing in 1546 Alice Ross 37-57 ill 1989")</f>
        <v>0</v>
      </c>
      <c r="D1718" s="1">
        <f>hyperlink("http://dspace.library.uu.nl/handle/1874/214777","Het eerste stadhuis van Utrecht - een belangrijke verbouwing in 1546 Alice Ross 37-57 1989")</f>
        <v>0</v>
      </c>
    </row>
    <row r="1719" spans="2:4">
      <c r="B1719">
        <v>98</v>
      </c>
      <c r="C1719" s="1">
        <f>hyperlink("https://hetutrechtsarchief.nl/collectie/DB99A7089FE45DC68C03222900ADE96C","De groteskendecoratie aan de gevel van het 16e eeuwse Utrechtse stadhuis E C van Santen 58-73 ill 1989")</f>
        <v>0</v>
      </c>
      <c r="D1719" s="1">
        <f>hyperlink("http://dspace.library.uu.nl/handle/1874/214778","De groteskendecoratie aan de gevel van het 16e eeuwse Utrechtse stadhuis E C van Santen 58-73 1989")</f>
        <v>0</v>
      </c>
    </row>
    <row r="1720" spans="2:4">
      <c r="B1720">
        <v>95</v>
      </c>
      <c r="C1720" s="1">
        <f>hyperlink("https://hetutrechtsarchief.nl/collectie/45C92BA1E36F59B88AB2BA4F2FF30778","Soestdijk lustslot voor de held van Waterloo een nadere beschouwing van de stilistische en iconografische aspecten van een vorstelijk verblijf M B W Broekema en P H Rem 85-103 ill 1989")</f>
        <v>0</v>
      </c>
      <c r="D1720" s="1">
        <f>hyperlink("http://dspace.library.uu.nl/handle/1874/214779","Soestdijk lustslot voor de held van Waterloo een nadere beschouwing van de stilistische en iconografische aspecten van een vorstelijk verblijf M B W Rem P H Broekema 85-103 1989")</f>
        <v>0</v>
      </c>
    </row>
    <row r="1721" spans="2:4">
      <c r="B1721">
        <v>98</v>
      </c>
      <c r="C1721" s="1">
        <f>hyperlink("https://hetutrechtsarchief.nl/collectie/077B8366ED6C5D0ABADB3F509172156B","Monumentenzorg in de provincie Utrecht in de jaren 1985-1988 R Apell 104-132 ill 1989")</f>
        <v>0</v>
      </c>
      <c r="D1721" s="1">
        <f>hyperlink("http://dspace.library.uu.nl/handle/1874/214780","Monumentenzorg in de provincie Utrecht in de jaren 1985-1988 R Apell 104-132 1989")</f>
        <v>0</v>
      </c>
    </row>
    <row r="1722" spans="2:4">
      <c r="B1722">
        <v>98</v>
      </c>
      <c r="C1722" s="1">
        <f>hyperlink("https://hetutrechtsarchief.nl/collectie/C86D98164EA656CA892A6E70A1F0A8B8","Utrechtse huizen beschreven A F Schulte 133-140 1989")</f>
        <v>0</v>
      </c>
      <c r="D1722" s="1">
        <f>hyperlink("http://dspace.library.uu.nl/handle/1874/214781","Utrechtse huizen beschreven A G Schulte 133-140 1989")</f>
        <v>0</v>
      </c>
    </row>
    <row r="1723" spans="2:4">
      <c r="B1723">
        <v>96</v>
      </c>
      <c r="C1723" s="1">
        <f>hyperlink("https://hetutrechtsarchief.nl/collectie/EF476EEF56AE538DA98EDBC02E67382B","De rieten hut en andere verhalen S L Wynia 9-38 ill 1990")</f>
        <v>0</v>
      </c>
      <c r="D1723" s="1">
        <f>hyperlink("http://dspace.library.uu.nl/handle/1874/214783","De rieten hut en andere verhalen S L Wynia 9-38 1990")</f>
        <v>0</v>
      </c>
    </row>
    <row r="1724" spans="2:4">
      <c r="B1724">
        <v>100</v>
      </c>
      <c r="C1724" s="1">
        <f>hyperlink("https://hetutrechtsarchief.nl/collectie/15E233DAA0C35B16BCAF58EADAD810F9","Waar stad en platteland elkaar ontmoeten Tolsteeg een Utrechts buitengerecht in de vijftiende eeuw O M D F Vervaart 39-57 1990")</f>
        <v>0</v>
      </c>
      <c r="D1724" s="1">
        <f>hyperlink("http://dspace.library.uu.nl/handle/1874/214784","Waar stad en platteland elkaar ontmoeten Tolsteeg een Utrechts buitengerecht in de vijftiende eeuw O M D F Vervaart 39-57 1990")</f>
        <v>0</v>
      </c>
    </row>
    <row r="1725" spans="2:4">
      <c r="B1725">
        <v>98</v>
      </c>
      <c r="C1725" s="1">
        <f>hyperlink("https://hetutrechtsarchief.nl/collectie/40C05EC976165AE6B4FF9A42F305B0CA","Het jachtgerecht in Utrecht een beknopt historisch-institutioneel overzicht E Pelzers 58-72 ill 1990")</f>
        <v>0</v>
      </c>
      <c r="D1725" s="1">
        <f>hyperlink("http://dspace.library.uu.nl/handle/1874/214785","Het Jachtgerecht in Utrecht een beknopt historisch-institutioneel overzicht E Pelzers 58-72 1990")</f>
        <v>0</v>
      </c>
    </row>
    <row r="1726" spans="2:4">
      <c r="B1726">
        <v>97</v>
      </c>
      <c r="C1726" s="1">
        <f>hyperlink("https://hetutrechtsarchief.nl/collectie/C4D150F8DAF258C2A516F6EB66BC5139","Justus van Broeckhuijsen landmeter s Hoofs van Utrecht H P Deys 73-128 ill 1990")</f>
        <v>0</v>
      </c>
      <c r="D1726" s="1">
        <f>hyperlink("http://dspace.library.uu.nl/handle/1874/214786","Justus van Broeckhuijsen landmeter s Hoofs van Utrecht H P Deys 73-128 1990")</f>
        <v>0</v>
      </c>
    </row>
    <row r="1727" spans="2:4">
      <c r="B1727">
        <v>98</v>
      </c>
      <c r="C1727" s="1">
        <f>hyperlink("https://hetutrechtsarchief.nl/collectie/C0CF78ECF2AD54E6A6272951DE3233BE","Jonas Zeuner en de Maliebaan in zilver en goud Jet Sprenkels-ten Horn 129-151 ill 1990")</f>
        <v>0</v>
      </c>
      <c r="D1727" s="1">
        <f>hyperlink("http://dspace.library.uu.nl/handle/1874/214787","Jonas Zeuner en de Maliebaan in zilver en goud Jet Sprenkels-ten Horn 129-151 1990")</f>
        <v>0</v>
      </c>
    </row>
    <row r="1728" spans="2:4">
      <c r="B1728">
        <v>94</v>
      </c>
      <c r="C1728" s="1">
        <f>hyperlink("https://hetutrechtsarchief.nl/collectie/40E5E51191D653D794D6E2B2864367E9","Barenswee n verwikkelingen rond de bouw van een schouwburg 1914-1937 R van Gaal 152-172 ill portr 1990")</f>
        <v>0</v>
      </c>
      <c r="D1728" s="1">
        <f>hyperlink("http://dspace.library.uu.nl/handle/1874/214788","Barensween verwikkelingen rond de bouw van een schouwburg 1914-1937 R van Gaal 152-172 1990")</f>
        <v>0</v>
      </c>
    </row>
    <row r="1729" spans="2:4">
      <c r="B1729">
        <v>91</v>
      </c>
      <c r="C1729" s="1">
        <f>hyperlink("https://hetutrechtsarchief.nl/collectie/55CA85AEEA875328ADB75DA5D553C5FB","Dirck van Voorst ca 1610 1615-1658 een onbekend Utrechts schilder uit het atelier van Abraham en Hendrick Bloemaert Paul Dirkse en Robert Schillemans 5-18 ill 1993")</f>
        <v>0</v>
      </c>
      <c r="D1729" s="1">
        <f>hyperlink("http://dspace.library.uu.nl/handle/1874/214789","Dirck van Voorst ca 1610 1615-1658 een onbekend Utrechts schilder uit het atelier van Abraham en Hendrick Bloemaert Robert Dirkse Paul Schillemans 5 -18 1993")</f>
        <v>0</v>
      </c>
    </row>
    <row r="1730" spans="2:4">
      <c r="B1730">
        <v>98</v>
      </c>
      <c r="C1730" s="1">
        <f>hyperlink("https://hetutrechtsarchief.nl/collectie/8ABF88813A285EEDAF5187F68C1C1574","Vechten of verplegen ontstaan en begintijd van het huis en de balije van Utrecht van de Duitse Orde J A Mol 45 -66 ill 1993")</f>
        <v>0</v>
      </c>
      <c r="D1730" s="1">
        <f>hyperlink("http://dspace.library.uu.nl/handle/1874/214790","Vechten of verplegen onstaan en begintijd van het huis en de balije van Utrecht van de Duitse Orde J A Mol 45 -66 1993")</f>
        <v>0</v>
      </c>
    </row>
    <row r="1731" spans="2:4">
      <c r="B1731">
        <v>99</v>
      </c>
      <c r="C1731" s="1">
        <f>hyperlink("https://hetutrechtsarchief.nl/collectie/B40247DC2D9F559CA228B6548E412F46","De religieuze gedrevenheid van Dirck Weyman in het licht van de lotgevallen van een Utrechtse glasmakersfamilie in de zestiende eeuw Llewellyn Bogaers 67 -116 ill 1993")</f>
        <v>0</v>
      </c>
      <c r="D1731" s="1">
        <f>hyperlink("http://dspace.library.uu.nl/handle/1874/214791","De religieuze gedrevenheid van Dirck Weyman in het licht van de lotgevallen van een Utrechtse glasmakersfamilie in de zestiende eeuw Llewellyn Bogaers 67 -116 1993")</f>
        <v>0</v>
      </c>
    </row>
    <row r="1732" spans="2:4">
      <c r="B1732">
        <v>97</v>
      </c>
      <c r="C1732" s="1">
        <f>hyperlink("https://hetutrechtsarchief.nl/collectie/6448F9AA7E6D5DB081C7F826EF4FE1DD","Een bloeijende akker van menschenliefde het protestants landbouwkundig opvoedingsgesticht te Montfoort Charles Noordam 117 -146 ill graf 1993")</f>
        <v>0</v>
      </c>
      <c r="D1732" s="1">
        <f>hyperlink("http://dspace.library.uu.nl/handle/1874/214792","Een bloeijende akker van menschenliefde het protestants landbouwkundig opvoedingsgesticht te Montfoort Charles Noordam 117 -146 1993")</f>
        <v>0</v>
      </c>
    </row>
    <row r="1733" spans="2:4">
      <c r="B1733">
        <v>83</v>
      </c>
      <c r="C1733" s="1">
        <f>hyperlink("https://hetutrechtsarchief.nl/collectie/0B9F1887E9E05751AB33638BEE48A9CB","Reacties en besprekingen de Monumenten-inventarisatie Provincie Utrecht E M Kylstra 175-179 ill 1992")</f>
        <v>0</v>
      </c>
      <c r="D1733" s="1">
        <f>hyperlink("http://dspace.library.uu.nl/handle/1874/214793","De monumenten-inventarisatie provincie Utrecht E M Kylstra 175-179 1992")</f>
        <v>0</v>
      </c>
    </row>
    <row r="1734" spans="2:4">
      <c r="B1734">
        <v>96</v>
      </c>
      <c r="C1734" s="1">
        <f>hyperlink("https://hetutrechtsarchief.nl/collectie/9BD7B767001B56B39AB13976B027C8B2","De stad met de mooiste maquettes plannen voor Utrechts centrum en binnenstad 1954-1971 H Buiter 6-44 ill 1992")</f>
        <v>0</v>
      </c>
      <c r="D1734" s="1">
        <f>hyperlink("http://dspace.library.uu.nl/handle/1874/214794","De stad met de mooiste maquettes plannen voor Utrechts centrum en binnenstad 1954-1991 H Buiter 5 -44 1992")</f>
        <v>0</v>
      </c>
    </row>
    <row r="1735" spans="2:4">
      <c r="B1735">
        <v>98</v>
      </c>
      <c r="C1735" s="1">
        <f>hyperlink("https://hetutrechtsarchief.nl/collectie/1FBE9391AE4E593790A204D5BD916A30","Utrecht in fragmenten de Utrechtse Behang Collectie en een geschiedenis van het papierbehang in Utrecht tussen 1765 en 1900 Marieke Knuijt 46-74 ill 1992")</f>
        <v>0</v>
      </c>
      <c r="D1735" s="1">
        <f>hyperlink("http://dspace.library.uu.nl/handle/1874/214795","Utrecht in fragmenten de Utrechtse Behang Collectie en een geschiedenis van het papierbehang in Utrecht tussen 1765 en 1900 Marieke Knuijt 45 -74 1992")</f>
        <v>0</v>
      </c>
    </row>
    <row r="1736" spans="2:4">
      <c r="B1736">
        <v>87</v>
      </c>
      <c r="C1736" s="1">
        <f>hyperlink("https://hetutrechtsarchief.nl/collectie/DC6FE9D1FF7451DFB4B50FA0A948D4E9","Heer ghy neemt uselven by der noes prediking voor de leken in de stad Utrecht in de vijftiende eeuw R H Pegel 76-122 ill 1992")</f>
        <v>0</v>
      </c>
      <c r="D1736" s="1">
        <f>hyperlink("http://dspace.library.uu.nl/handle/1874/214796","Heer ghy neemt uselven by der noes prediking voor de leken in de stad Utrecht R H Pegel 75 -122 1992")</f>
        <v>0</v>
      </c>
    </row>
    <row r="1737" spans="2:4">
      <c r="B1737">
        <v>92</v>
      </c>
      <c r="C1737" s="1">
        <f>hyperlink("https://hetutrechtsarchief.nl/collectie/0DFBCFF447AF5A85819979A2422AF13B","Het Schouwtoneel kiest Utrecht als thuishaven 1920-1933 R van Gaal 124-148 ill portr 1992")</f>
        <v>0</v>
      </c>
      <c r="D1737" s="1">
        <f>hyperlink("http://dspace.library.uu.nl/handle/1874/214797","Het Schouwtoneel kiest Utrecht als thuishaven 1920-1933 R van Gaal 123 -148 1992")</f>
        <v>0</v>
      </c>
    </row>
    <row r="1738" spans="2:4">
      <c r="B1738">
        <v>97</v>
      </c>
      <c r="C1738" s="1">
        <f>hyperlink("https://hetutrechtsarchief.nl/collectie/4D96BE2DC2815607A8DD9EA31E0CA91E","Een toren van achteren en van voren over de Domtoren en Aart Mekkings Spel met toren en kapel A J van den Hoven van Genderen 150-171 ill 1992")</f>
        <v>0</v>
      </c>
      <c r="D1738" s="1">
        <f>hyperlink("http://dspace.library.uu.nl/handle/1874/214799","Een toren van achteren en van voren over de Domtoren en Aart Mekkings Spel met toren en kapel A J van den Hoven van Genderen 149 -171 1992")</f>
        <v>0</v>
      </c>
    </row>
    <row r="1739" spans="2:4">
      <c r="B1739">
        <v>96</v>
      </c>
      <c r="C1739" s="1">
        <f>hyperlink("https://hetutrechtsarchief.nl/collectie/75A15E4B5F6C51F7B6B1D28C4575CD2D","Vianen in de patriottentijd H J Smit 189-221 ill 1987")</f>
        <v>0</v>
      </c>
      <c r="D1739" s="1">
        <f>hyperlink("http://dspace.library.uu.nl/handle/1874/214800","Vianen in de patriottentijd H J Smit 189-221 1987")</f>
        <v>0</v>
      </c>
    </row>
    <row r="1740" spans="2:4">
      <c r="B1740">
        <v>53</v>
      </c>
      <c r="C1740" s="1">
        <f>hyperlink("https://hetutrechtsarchief.nl/collectie/763A25CD4E7A55D5B3B6216BAB03F0C2","De aanhang van de patriottenbeweging in drie plaatsen in Staats-Brabant Jos F A Wassink 430-435 ill 1987")</f>
        <v>0</v>
      </c>
      <c r="D1740" s="1">
        <f>hyperlink("http://dspace.library.uu.nl/handle/1874/214801","O vrijheid onwaardeerbaar pand aspecten van de patriottenbeweging in stad en gewest Utrecht red T J Hoekstra et al T J Hoekstra 1987")</f>
        <v>0</v>
      </c>
    </row>
    <row r="1741" spans="2:4">
      <c r="B1741">
        <v>98</v>
      </c>
      <c r="C1741" s="1">
        <f>hyperlink("https://hetutrechtsarchief.nl/collectie/53347B8D7113528881E549D576E26C6C","De kleuren van de liturgische gewaden in twee Utrechtse kapittelkerken de Dom en de Oudmunsterkerk Casper H Staal 19 -44 ill 1993")</f>
        <v>0</v>
      </c>
      <c r="D1741" s="1">
        <f>hyperlink("http://dspace.library.uu.nl/handle/1874/214802","De kleuren van de liturgische gewaden in twee Utrechtse kapittelkerken de Dom en de Oudmunsterkerk Casper H Staal 19 -44 1993")</f>
        <v>0</v>
      </c>
    </row>
    <row r="1742" spans="2:4">
      <c r="B1742">
        <v>98</v>
      </c>
      <c r="C1742" s="1">
        <f>hyperlink("https://hetutrechtsarchief.nl/collectie/B5234D4FC4F75DCD9C512F28E1E4B289","Het onbespreekbare besproken het Utrechtse gemeentebestuur en de prostitutiekwestie 1850-1900 P D t Hart 147 -180 ill 1993")</f>
        <v>0</v>
      </c>
      <c r="D1742" s="1">
        <f>hyperlink("http://dspace.library.uu.nl/handle/1874/214803","Het onbespreekbare besproken het Utrechtse gemeentebestuur en de prostitutiekwestie 1850-1900 P D t Hart 147 -180 1993")</f>
        <v>0</v>
      </c>
    </row>
    <row r="1743" spans="2:4">
      <c r="B1743">
        <v>98</v>
      </c>
      <c r="C1743" s="1">
        <f>hyperlink("https://hetutrechtsarchief.nl/collectie/57A5B38190F656BA8EAE48DD2F793225","Monumentenrestauraties in de provincie Utrecht in de jaren 1983-1984 R Apell 166-202 ill 1985")</f>
        <v>0</v>
      </c>
      <c r="D1743" s="1">
        <f>hyperlink("http://dspace.library.uu.nl/handle/1874/214804","Monumentenrestauraties in de provincie Utrecht in de jaren 1983-1984 R Apell 166-202 1985")</f>
        <v>0</v>
      </c>
    </row>
    <row r="1744" spans="2:4">
      <c r="B1744">
        <v>97</v>
      </c>
      <c r="C1744" s="1">
        <f>hyperlink("https://hetutrechtsarchief.nl/collectie/D31F9D45D1145ACEB5A803ED1378F6B8","Een droom van een Dom de Dom van Adelbold II bisschop van Utrecht kanttekeningen bij een reconstructie Arie de Groot 5-44 ill krt 1998")</f>
        <v>0</v>
      </c>
      <c r="D1744" s="1">
        <f>hyperlink("http://dspace.library.uu.nl/handle/1874/214912","Een droom van een Dom de Dom van Adelbold II bisschop van Utrecht kanttekeningen bij een reconstructie Arie de Groot 5 -44 1998")</f>
        <v>0</v>
      </c>
    </row>
    <row r="1745" spans="2:4">
      <c r="B1745">
        <v>93</v>
      </c>
      <c r="C1745" s="1">
        <f>hyperlink("https://hetutrechtsarchief.nl/collectie/A4498E3E0BF753E0B1221EF17D7A3480","Turfwinning te Soest in de 15de eeuw Jos G M Hilhorst 45-68 ill krt 1998")</f>
        <v>0</v>
      </c>
      <c r="D1745" s="1">
        <f>hyperlink("http://dspace.library.uu.nl/handle/1874/214913","Turfwinning te Soest in de 15de eeuw Jos G M Hilhorst 45 -68 1998")</f>
        <v>0</v>
      </c>
    </row>
    <row r="1746" spans="2:4">
      <c r="B1746">
        <v>98</v>
      </c>
      <c r="C1746" s="1">
        <f>hyperlink("https://hetutrechtsarchief.nl/collectie/290A1939E2425B3EB196C2BCE11DCE9F","Eene sterke kabbeling veroorzaakende Utrecht en de eerste stoomvaart op de Nederlandse binnenwateren P D t Hart 69-94 ill 1998")</f>
        <v>0</v>
      </c>
      <c r="D1746" s="1">
        <f>hyperlink("http://dspace.library.uu.nl/handle/1874/214914","Eene sterke kabbeling veroorzaakende Utrecht en de eerste stoomvaart op de Nederlandse binnenwateren P D t Hart 69 -94 1998")</f>
        <v>0</v>
      </c>
    </row>
    <row r="1747" spans="2:4">
      <c r="B1747">
        <v>95</v>
      </c>
      <c r="C1747" s="1">
        <f>hyperlink("https://hetutrechtsarchief.nl/collectie/CDE4B253AB3B52CCA59A75513C6DDD16","Naturae et Artibus een Zo logische Soci teit in Utrecht de relatie met Natura Artis Magistra te Amsterdam P Smit en L Terken 95-138 ill 1998")</f>
        <v>0</v>
      </c>
      <c r="D1747" s="1">
        <f>hyperlink("http://dspace.library.uu.nl/handle/1874/214915","Naturae et Artibus een Zo logische Soci teit in Utrecht de relatie met Natura Artis Magistra te Amsterdam L Smit P Terken 95 -108 1998")</f>
        <v>0</v>
      </c>
    </row>
    <row r="1748" spans="2:4">
      <c r="B1748">
        <v>97</v>
      </c>
      <c r="C1748" s="1">
        <f>hyperlink("https://hetutrechtsarchief.nl/collectie/059D1AC913375765822EDA4B524A0CC8","Aelbert Jansz van der Schoor een Utrechts schilder en zijn werk P van den Brink 139-168 ill 1998")</f>
        <v>0</v>
      </c>
      <c r="D1748" s="1">
        <f>hyperlink("http://dspace.library.uu.nl/handle/1874/214916","Aelbert Jansz van der Schoor een Utrechts schilder en zijn werk P van den Brink 139 -168 1998")</f>
        <v>0</v>
      </c>
    </row>
    <row r="1749" spans="2:4">
      <c r="B1749">
        <v>97</v>
      </c>
      <c r="C1749" s="1">
        <f>hyperlink("https://hetutrechtsarchief.nl/collectie/9C746D0AE17B5640A37A46F97DB49FD7","Het leven van de Utrechtse schilder Aelbert Jansz van der Schoor M J Bok 169-178 ill 1998")</f>
        <v>0</v>
      </c>
      <c r="D1749" s="1">
        <f>hyperlink("http://dspace.library.uu.nl/handle/1874/214918","Het leven van de Utrechtse schilder Aelbert Jansz van der Schoor M J Bok 169 -178 1998")</f>
        <v>0</v>
      </c>
    </row>
    <row r="1750" spans="2:4">
      <c r="B1750">
        <v>98</v>
      </c>
      <c r="C1750" s="1">
        <f>hyperlink("https://hetutrechtsarchief.nl/collectie/4B2678DF617055F4BCF00BF91EF8EC38","De firma list en bedrog de Provinciale Utrechtsche Geoctroyeerde Compagnie 1720-1752 C H Slechte 179-218 ill 1998")</f>
        <v>0</v>
      </c>
      <c r="D1750" s="1">
        <f>hyperlink("http://dspace.library.uu.nl/handle/1874/214919","De firma list en bedrog de Provinciale Utrechtsche Geoctroyeerde Compagnie 1720-1752 C H Slechte 179 -218 1998")</f>
        <v>0</v>
      </c>
    </row>
    <row r="1751" spans="2:4">
      <c r="B1751">
        <v>100</v>
      </c>
      <c r="C1751" s="1">
        <f>hyperlink("https://hetutrechtsarchief.nl/collectie/A1813D7532B45404B9806EEE8E8A2100","Continue discontinu teit het castellum Traiectum in het vroeg-middeleeuwse krachtenveld Cees van Rooijen 5 -34 1999")</f>
        <v>0</v>
      </c>
      <c r="D1751" s="1">
        <f>hyperlink("http://dspace.library.uu.nl/handle/1874/214920","Continue discontinu teit het castellum Traiectum in het vroeg-middeleeuwse krachtenveld Cees van Rooijen 5 -34 1999")</f>
        <v>0</v>
      </c>
    </row>
    <row r="1752" spans="2:4">
      <c r="B1752">
        <v>100</v>
      </c>
      <c r="C1752" s="1">
        <f>hyperlink("https://hetutrechtsarchief.nl/collectie/710C4308E1555014B5A42B37456F06D5","R fugi s pour la religion de hugenoten in Utrecht Joost van der Spek 35 -74 1999")</f>
        <v>0</v>
      </c>
      <c r="D1752" s="1">
        <f>hyperlink("http://dspace.library.uu.nl/handle/1874/214922","R fugi s pour la religion de hugenoten in Utrecht Joost van der Spek 35 -74 1999")</f>
        <v>0</v>
      </c>
    </row>
    <row r="1753" spans="2:4">
      <c r="B1753">
        <v>98</v>
      </c>
      <c r="C1753" s="1">
        <f>hyperlink("https://hetutrechtsarchief.nl/collectie/CE7BB6A8F41C5DE6BF54A11BEA1E3879","Muziek tot luister van de stad de muzikale cultuur in Utrecht tussen 1631 en 1795 G Barents-Vermeer 75 1999")</f>
        <v>0</v>
      </c>
      <c r="D1753" s="1">
        <f>hyperlink("http://dspace.library.uu.nl/handle/1874/214923","Muziek tot luister van de stad de muzikale cultuur in Utrecht tussen 1631 en 1795 G Barents-Vermeer 75 -104 1999")</f>
        <v>0</v>
      </c>
    </row>
    <row r="1754" spans="2:4">
      <c r="B1754">
        <v>100</v>
      </c>
      <c r="C1754" s="1">
        <f>hyperlink("https://hetutrechtsarchief.nl/collectie/7117FB980A905A9C9A25F2900F20EB6F","Jan van Nassau op het Domplein een beeld als uiting van nationalisme Els Lambrechtsen-Nas 105 -130 1999")</f>
        <v>0</v>
      </c>
      <c r="D1754" s="1">
        <f>hyperlink("http://dspace.library.uu.nl/handle/1874/214924","Jan van Nassau op het Domplein een beeld als uiting van nationalisme Els Lambrechtsen-Nas 105 -130 1999")</f>
        <v>0</v>
      </c>
    </row>
    <row r="1755" spans="2:4">
      <c r="B1755">
        <v>100</v>
      </c>
      <c r="C1755" s="1">
        <f>hyperlink("https://hetutrechtsarchief.nl/collectie/DD8BAF2F547B50FFB0405ADBD0DC6CA1","Geld voor de muzen cultuurbeleid in Utrecht 1945-1965 Angela van Son 131 -162 1999")</f>
        <v>0</v>
      </c>
      <c r="D1755" s="1">
        <f>hyperlink("http://dspace.library.uu.nl/handle/1874/214925","Geld voor de muzen cultuurbeleid in Utrecht 1945-1965 Angela van Son 131 -162 1999")</f>
        <v>0</v>
      </c>
    </row>
    <row r="1756" spans="2:4">
      <c r="B1756">
        <v>100</v>
      </c>
      <c r="C1756" s="1">
        <f>hyperlink("https://hetutrechtsarchief.nl/collectie/81228BDF31E555FBB0CF97C96C2C6D8D","Utrechtse zandpaden in de zeventiende eeuw in het bijzonder het zandpad tussen Utrecht en Harmelen J A Storm van Leeuwen 5 -52 2000")</f>
        <v>0</v>
      </c>
      <c r="D1756" s="1">
        <f>hyperlink("http://dspace.library.uu.nl/handle/1874/214926","Utrechtse zandpaden in de zeventiende eeuw in het bijzonder het zandpad tussen Utrecht en Harmelen J A Storm van Leeuwen 5 -52 2000")</f>
        <v>0</v>
      </c>
    </row>
    <row r="1757" spans="2:4">
      <c r="B1757">
        <v>100</v>
      </c>
      <c r="C1757" s="1">
        <f>hyperlink("https://hetutrechtsarchief.nl/collectie/609F9F5CD7FE5EAA9197CC245260E85F","Voor godsdienst vaderland en Oranje het verzet van Utrechtse protestanten tegen de liberale staatsinrichting en het herstel van de bisschoppelijke hi rarchie 1840-1853 S T Buwalda 103 -124 2000")</f>
        <v>0</v>
      </c>
      <c r="D1757" s="1">
        <f>hyperlink("http://dspace.library.uu.nl/handle/1874/214927","Voor godsdienst vaderland en Oranje het verzet van Utrechtse protestanten tegen de liberale staatsinrichting en het herstel van de bisschoppelijke hi rarchie 1840-1853 S T Buwalda 103 -124 2000")</f>
        <v>0</v>
      </c>
    </row>
    <row r="1758" spans="2:4">
      <c r="B1758">
        <v>100</v>
      </c>
      <c r="C1758" s="1">
        <f>hyperlink("https://hetutrechtsarchief.nl/collectie/D1B07D29AE4151DD8454260D0A638F46","Geloven en bouwen in Wijk bij Duurstede katholieke kerken kloosters en kapellen na de Reformatie Fred Gaasbeek 125 -162 2000")</f>
        <v>0</v>
      </c>
      <c r="D1758" s="1">
        <f>hyperlink("http://dspace.library.uu.nl/handle/1874/214928","Geloven en bouwen in Wijk bij Duurstede katholieke kerken kloosters en kapellen na de Reformatie Fred Gaasbeek 125 -162 2000")</f>
        <v>0</v>
      </c>
    </row>
    <row r="1759" spans="2:4">
      <c r="B1759">
        <v>100</v>
      </c>
      <c r="C1759" s="1">
        <f>hyperlink("https://hetutrechtsarchief.nl/collectie/60E16254E3975F08845AD01CEFD29314","Een heilzame douche het debat rond de oprichting van het Volksbadhuis Koekoeksplein in Utrecht 1899-1904 Marieke Voorn 163 -184 2000")</f>
        <v>0</v>
      </c>
      <c r="D1759" s="1">
        <f>hyperlink("http://dspace.library.uu.nl/handle/1874/214929","Een heilzame douche het debat rond de oprichting van het Volksbadhuis Koekoeksplein in Utrecht 1899-1904 Marieke Voorn 163 -184 2000")</f>
        <v>0</v>
      </c>
    </row>
    <row r="1760" spans="2:4">
      <c r="B1760">
        <v>81</v>
      </c>
      <c r="C1760" s="1">
        <f>hyperlink("https://hetutrechtsarchief.nl/collectie/D0FFB60F19AC528D831CA4C079E474DC","Discontinue continu teit Tarq Hoekstra 185 -188 2000")</f>
        <v>0</v>
      </c>
      <c r="D1760" s="1">
        <f>hyperlink("http://dspace.library.uu.nl/handle/1874/214930","Discontinue continu teit Cees van Hoekstra Tarq Rooijen 185 -188 2000")</f>
        <v>0</v>
      </c>
    </row>
    <row r="1761" spans="2:4">
      <c r="B1761">
        <v>100</v>
      </c>
      <c r="C1761" s="1">
        <f>hyperlink("https://hetutrechtsarchief.nl/collectie/AE9E919733075070A2F9FE28AA2BB6BC","Boscultuur de esthetische aspecten van bosbouw op de landgoederen Zuilenstein en Amerongen Fred Gaasbeek 53 -102 2000")</f>
        <v>0</v>
      </c>
      <c r="D1761" s="1">
        <f>hyperlink("http://dspace.library.uu.nl/handle/1874/214931","Boscultuur de esthetische aspecten van bosbouw op de landgoederen Zuilenstein en Amerongen Fred Gaasbeek 53 -102 2000")</f>
        <v>0</v>
      </c>
    </row>
    <row r="1762" spans="2:4">
      <c r="B1762">
        <v>100</v>
      </c>
      <c r="C1762" s="1">
        <f>hyperlink("https://hetutrechtsarchief.nl/collectie/6473F911FF77531AAD6C11FA96518115","Adam Willaerts 1577-1664 zee- en kustschilder en twee bijbelse voorstellingen te Utrecht L O Nelemans 25 -56 2001")</f>
        <v>0</v>
      </c>
      <c r="D1762" s="1">
        <f>hyperlink("http://dspace.library.uu.nl/handle/1874/214932","Adam Willaerts 1577-1664 zee- en kustschilder en twee bijbelse voorstellingen te Utrecht L O Nelemans 25 -56 2001")</f>
        <v>0</v>
      </c>
    </row>
    <row r="1763" spans="2:4">
      <c r="B1763">
        <v>100</v>
      </c>
      <c r="C1763" s="1">
        <f>hyperlink("https://hetutrechtsarchief.nl/collectie/38B73AB082C5579CA4AB94DD5DB1E05F","De tronie van Gaasbeek portretten van Willem van Abcoude en Jacob van Gaasbeek P C van der Eerden 57 -86 2001")</f>
        <v>0</v>
      </c>
      <c r="D1763" s="1">
        <f>hyperlink("http://dspace.library.uu.nl/handle/1874/214933","De tronie van Gaasbeek portretten van Willem van Abcoude en Jacob van Gaasbeek P C van der Eerden 57 -86 2001")</f>
        <v>0</v>
      </c>
    </row>
    <row r="1764" spans="2:4">
      <c r="B1764">
        <v>100</v>
      </c>
      <c r="C1764" s="1">
        <f>hyperlink("https://hetutrechtsarchief.nl/collectie/33CA0C3E0B535A83989ED590C21B1D07","De derde meander de geografische situering van de rivierlopen in en rond de stad Utrecht G J A Bruynel 5 -24 2001")</f>
        <v>0</v>
      </c>
      <c r="D1764" s="1">
        <f>hyperlink("http://dspace.library.uu.nl/handle/1874/214934","De derde meander de geografische situering van de rivierlopen in en rond de stad Utrecht G J A Bruynel 5 -24 2001")</f>
        <v>0</v>
      </c>
    </row>
    <row r="1765" spans="2:4">
      <c r="B1765">
        <v>96</v>
      </c>
      <c r="C1765" s="1">
        <f>hyperlink("https://hetutrechtsarchief.nl/collectie/CD1E03684010576391505EDB6054309B","Wanneer een broeder of suster sterft soe selmen se halen myt dat cruus religieuze lekenbroederschappen in het 15e-eeuwse Utrecht Janna Leguijt 6-32 ill tab 1994")</f>
        <v>0</v>
      </c>
      <c r="D1765" s="1">
        <f>hyperlink("http://dspace.library.uu.nl/handle/1874/214935","Wanneer een broeder of suster sterft soe selmen se halen myt dat cruus religieuze lekenbroederschappen in het 15e-eeuwse Utrecht Janna Leguijt 5 -32 1994")</f>
        <v>0</v>
      </c>
    </row>
    <row r="1766" spans="2:4">
      <c r="B1766">
        <v>92</v>
      </c>
      <c r="C1766" s="1">
        <f>hyperlink("https://hetutrechtsarchief.nl/collectie/48A65874DDA75794952FFAEADA7F726D","De pelgrimsinsignes van Sinte Cunera te Rhenen H P Deys 34-54 ill tab 1994")</f>
        <v>0</v>
      </c>
      <c r="D1766" s="1">
        <f>hyperlink("http://dspace.library.uu.nl/handle/1874/214936","De pelgrimsinsignes van Sinte Cunera te Rhenen H P Deys 33 -54 1994")</f>
        <v>0</v>
      </c>
    </row>
    <row r="1767" spans="2:4">
      <c r="B1767">
        <v>96</v>
      </c>
      <c r="C1767" s="1">
        <f>hyperlink("https://hetutrechtsarchief.nl/collectie/E36C6FBCC02E5DBFA02BB476470CE2DF","Dirk van Abcoude leven tussen oud en nieuw in de zestiende eeuw Louise van Tongerloo 56-84 ill 1994")</f>
        <v>0</v>
      </c>
      <c r="D1767" s="1">
        <f>hyperlink("http://dspace.library.uu.nl/handle/1874/214937","Dirk van Abcoude leven tussen oud en nieuw in de zestiende eeuw Louise van Tongerloo 55 -84 1994")</f>
        <v>0</v>
      </c>
    </row>
    <row r="1768" spans="2:4">
      <c r="B1768">
        <v>96</v>
      </c>
      <c r="C1768" s="1">
        <f>hyperlink("https://hetutrechtsarchief.nl/collectie/FD89906CCCC25FFE974C9F85FB2F9CE3","Een eigenzinnige dame Maria Duijst Van Voorhout vrijvrouwe van Renswoude M Langenbach 86-112 ill 1994")</f>
        <v>0</v>
      </c>
      <c r="D1768" s="1">
        <f>hyperlink("http://dspace.library.uu.nl/handle/1874/214938","Een eigenzinnige dame Maria Duijst van Voorhout vrijvrouwe van Renswoude M Langenbach 85 -112 1994")</f>
        <v>0</v>
      </c>
    </row>
    <row r="1769" spans="2:4">
      <c r="B1769">
        <v>94</v>
      </c>
      <c r="C1769" s="1">
        <f>hyperlink("https://hetutrechtsarchief.nl/collectie/BD2DA3E099AB5988ABD3226B1A98C742","Begraven in gewijde aarde de katholieke begraafplaats buiten de Wittevrouwenpoort 1818-1875 Albert van der Zeijden 114-140 ill graf krt 1994")</f>
        <v>0</v>
      </c>
      <c r="D1769" s="1">
        <f>hyperlink("http://dspace.library.uu.nl/handle/1874/214939","Begraven in gewijde aarde de katholieke begraafplaats buiten de Wittevrouwenpoort 1818-1875 Albert van der Zeijden 113 -140 1994")</f>
        <v>0</v>
      </c>
    </row>
    <row r="1770" spans="2:4">
      <c r="B1770">
        <v>93</v>
      </c>
      <c r="C1770" s="1">
        <f>hyperlink("https://hetutrechtsarchief.nl/collectie/621C91073CB75BAC91E5F4B7B76E6FEB","De St Augustinus aan de Oudegracht de bouwgeschiedenis van Utrechts enige neoclassisistische kerk Thomas H von der Dunk 142-170 ill plgr portr 1994")</f>
        <v>0</v>
      </c>
      <c r="D1770" s="1">
        <f>hyperlink("http://dspace.library.uu.nl/handle/1874/214940","De St Augustinus aan de Oudegracht de bouwgeschiedenis van Utrechts enige neoclassistische kerk Thomas H von der Dunk 141 -170 1994")</f>
        <v>0</v>
      </c>
    </row>
    <row r="1771" spans="2:4">
      <c r="B1771">
        <v>91</v>
      </c>
      <c r="C1771" s="1">
        <f>hyperlink("https://hetutrechtsarchief.nl/collectie/7509B22E7455577298C586506AC65A2F","Van blijvenden heelrijken invloed de stichting van de Kamer van Koophandel en Fabrieken te Utrecht 1842-1852 P D t Hart 172-188 ill portr 1994")</f>
        <v>0</v>
      </c>
      <c r="D1771" s="1">
        <f>hyperlink("http://dspace.library.uu.nl/handle/1874/214941","Van blijvenden heelrijken invloed de stichting van de Kamer van Koophandel en Fabrieken te Utrecht P D t Hart 171 -188 1994")</f>
        <v>0</v>
      </c>
    </row>
    <row r="1772" spans="2:4">
      <c r="B1772">
        <v>98</v>
      </c>
      <c r="C1772" s="1">
        <f>hyperlink("https://hetutrechtsarchief.nl/collectie/1BA0FD809B395762A7DB8EB8727A196F","Utrecht Muiden en omgeving oude privileges opnieuw bezien Kaj van Vliet 5 -52 ill 1995")</f>
        <v>0</v>
      </c>
      <c r="D1772" s="1">
        <f>hyperlink("http://dspace.library.uu.nl/handle/1874/214942","Utrecht Muiden en omgeving oude privileges opnieuw bezien Kaj van Vliet 5 -52 1995")</f>
        <v>0</v>
      </c>
    </row>
    <row r="1773" spans="2:4">
      <c r="B1773">
        <v>89</v>
      </c>
      <c r="C1773" s="1">
        <f>hyperlink("https://hetutrechtsarchief.nl/collectie/104F54AF877E5AF18675BB2AAF9A406B","Rijk en talrijk beschouwingen over de omvang van de Utrechtse bevolking tussen circa 1300 en het begin van de 17e eeuw Bram van den Hoven van Genderen en Ronald Rommes 53 -86 ill graf tab 1995")</f>
        <v>0</v>
      </c>
      <c r="D1773" s="1">
        <f>hyperlink("http://dspace.library.uu.nl/handle/1874/214943","Rijk en talrijk beschouwingen over de omvang van de Utrechtse bevolking tussen circa 1300 en het begin van de 17e eeuw Ronald Hoven van Genderen Bram van den Rommes 53 -86 1995")</f>
        <v>0</v>
      </c>
    </row>
    <row r="1774" spans="2:4">
      <c r="B1774">
        <v>94</v>
      </c>
      <c r="C1774" s="1">
        <f>hyperlink("https://hetutrechtsarchief.nl/collectie/CC7720DEF53E5E739971BA455CE5C087","Het gemeentelijk cultuurbeleid in de negentiende eeuw Monique Dirven 95 -118 ill portr 1995")</f>
        <v>0</v>
      </c>
      <c r="D1774" s="1">
        <f>hyperlink("http://dspace.library.uu.nl/handle/1874/214944","Het gemeentelijk cultuurbeleid in de negentiende eeuw Monique Dirven 95 -118 1995")</f>
        <v>0</v>
      </c>
    </row>
    <row r="1775" spans="2:4">
      <c r="B1775">
        <v>98</v>
      </c>
      <c r="C1775" s="1">
        <f>hyperlink("https://hetutrechtsarchief.nl/collectie/D975FF9AC1B951F985D025FDE8E0C6CC","Vermaak in Utrecht 1850-1880 publiekswerving door de Utrechtse Schouwburg en de koffiehuizen Nellie van Vulpen 119 -138 ill 1995")</f>
        <v>0</v>
      </c>
      <c r="D1775" s="1">
        <f>hyperlink("http://dspace.library.uu.nl/handle/1874/214945","Vermaak in Utrecht 1850-1880 publiekswerving door de Utrechtse Schouwburg en de koffiehuizen Nellie van Vulpen 119 -138 1995")</f>
        <v>0</v>
      </c>
    </row>
    <row r="1776" spans="2:4">
      <c r="B1776">
        <v>96</v>
      </c>
      <c r="C1776" s="1">
        <f>hyperlink("https://hetutrechtsarchief.nl/collectie/3A7C87FC429D5CD7ACC99C693EC3CE2A","Moord op het Domplein dronken studenten drijven bejaarde vrouw de dood in 1883-1884 P D t Hart 163 -176 ill portr 1995")</f>
        <v>0</v>
      </c>
      <c r="D1776" s="1">
        <f>hyperlink("http://dspace.library.uu.nl/handle/1874/214946","Moord op het Domplein dronken studenten drijven bejaarde vrouw de dood in 1883-1884 P D t Hart 163 -176 1995")</f>
        <v>0</v>
      </c>
    </row>
    <row r="1777" spans="2:4">
      <c r="B1777">
        <v>98</v>
      </c>
      <c r="C1777" s="1">
        <f>hyperlink("https://hetutrechtsarchief.nl/collectie/4E48D3390ED755138C8A3658DA9F22CD","Van tingeltangel tot tentoonstelling uitgaan in Utrecht in de negentiende eeuw W W Mijnhardt 87 -94 ill 1995")</f>
        <v>0</v>
      </c>
      <c r="D1777" s="1">
        <f>hyperlink("http://dspace.library.uu.nl/handle/1874/214947","Van tingeltangel tot tentoonstelling uitgaan in Utrecht in de negentiende eeuw W W Mijnhardt 87 -94 1995")</f>
        <v>0</v>
      </c>
    </row>
    <row r="1778" spans="2:4">
      <c r="B1778">
        <v>92</v>
      </c>
      <c r="C1778" s="1">
        <f>hyperlink("https://hetutrechtsarchief.nl/collectie/42AF02D42FD65C2498B3A697D119EE34","Dan zullen velen juichen geschiedenis van twintig jaar conflicten over het archeologisch onderzoek op het Domplein te Utrecht 1929-1949 T J Hoekstra en S L Wynia 126-168 ill plgr portr 1997")</f>
        <v>0</v>
      </c>
      <c r="D1778" s="1">
        <f>hyperlink("http://dspace.library.uu.nl/handle/1874/214948","Dan zullen velen juichen geschiedenis van twintig jaar conflicten over het archeologisch onderzoek op het Domplein te Utrecht 1929-1949 S L Hoekstra T J Wynia 125 -168 1997")</f>
        <v>0</v>
      </c>
    </row>
    <row r="1779" spans="2:4">
      <c r="B1779">
        <v>93</v>
      </c>
      <c r="C1779" s="1">
        <f>hyperlink("https://hetutrechtsarchief.nl/collectie/F06EC16A71B45E91B5AFF9F17A472BCC","Utrecht anno 47 verkenning van een donker tijdvak E J van Ginkel 8-34 ill krt 1997")</f>
        <v>0</v>
      </c>
      <c r="D1779" s="1">
        <f>hyperlink("http://dspace.library.uu.nl/handle/1874/214950","Utrecht anno 47 verkenning van een donker tijdvak E J van Ginkel 7 -34 1997")</f>
        <v>0</v>
      </c>
    </row>
    <row r="1780" spans="2:4">
      <c r="B1780">
        <v>88</v>
      </c>
      <c r="C1780" s="1">
        <f>hyperlink("https://hetutrechtsarchief.nl/collectie/86DA4A8FAF23526C89BBA9F274099F14","Antonia Wiltenburg Traiectum de kennis van het Romeinse verleden van Utrecht door de eeuwen heen C J C Broer en M W J de Bruijn 98-124 ill plgr portr 1997")</f>
        <v>0</v>
      </c>
      <c r="D1780" s="1">
        <f>hyperlink("http://dspace.library.uu.nl/handle/1874/214952","Antonina Wiltenburg Traiectum de kennis van het Romeinse verleden van Utrecht door de eeuwen heen M W J de Broer C J C Bruijn 97 -124 1997")</f>
        <v>0</v>
      </c>
    </row>
    <row r="1781" spans="2:4">
      <c r="B1781">
        <v>93</v>
      </c>
      <c r="C1781" s="1">
        <f>hyperlink("https://hetutrechtsarchief.nl/collectie/DF7B0DFCC1295094A903413177884DB9","Servatius en Johannes over de vroegste geschiedenis van het Utrechtse vrouwenklooster van St Servaas J J van Moolenbroek 170-203 ill krt plgr 1997")</f>
        <v>0</v>
      </c>
      <c r="D1781" s="1">
        <f>hyperlink("http://dspace.library.uu.nl/handle/1874/214953","Servatius en Johannes over de vroegste geschiedenis van het Utrechtse vrouwenklooster van St Servaas J J van Moolenbroek 169 -204 1997")</f>
        <v>0</v>
      </c>
    </row>
    <row r="1782" spans="2:4">
      <c r="B1782">
        <v>91</v>
      </c>
      <c r="C1782" s="1">
        <f>hyperlink("https://hetutrechtsarchief.nl/collectie/1F911E1B87545CA4B595207C1D727E93","Het bemoeilijken van het kwaad de prostitutie in Amersfoort tussen 1856 en 1911 van regulering tot bordeelverbod Th M Wijntjes en D J Noordam 232-260 ill krt portr 1997")</f>
        <v>0</v>
      </c>
      <c r="D1782" s="1">
        <f>hyperlink("http://dspace.library.uu.nl/handle/1874/214954","Het bemoeilijken van het kwaad de prostitutie in Amersfoort tussen 1856 en 1911 van regulering tot bordeelverbod D J Wijntjes Th M Noordam 231 -260 1997")</f>
        <v>0</v>
      </c>
    </row>
    <row r="1783" spans="2:4">
      <c r="B1783">
        <v>97</v>
      </c>
      <c r="C1783" s="1">
        <f>hyperlink("https://hetutrechtsarchief.nl/collectie/C3B2B9FA5DE05B328855F1987E7941CA","Stijlkamers in Utrecht tussen oudheidkamer en kunstnijverheidsopstelling ontstaan en ontwikkeling van de stijlkamers in het Stedelijk Museum van Oudheden en het Centraal Museum Jelmer Prins 262-286 ill plgr 1997")</f>
        <v>0</v>
      </c>
      <c r="D1783" s="1">
        <f>hyperlink("http://dspace.library.uu.nl/handle/1874/214955","Stijlkamers in Utrecht tussen oudheidkamer en kunstnijverheidsopstelling ontstaan en ontwikkeling van de stijlkamers in het Stedelijk Museum van Oudheden en het Centraal Museum Jelmer Prins 261 -286 1997")</f>
        <v>0</v>
      </c>
    </row>
    <row r="1784" spans="2:4">
      <c r="B1784">
        <v>95</v>
      </c>
      <c r="C1784" s="1">
        <f>hyperlink("https://hetutrechtsarchief.nl/collectie/9710BD03686259278FC20A94BCBB7EEE","Consules civitatis ontstaan en opkomst van de Utrechtse gemeenteraad M W J de Bruijn 5-44 ill krt 1996")</f>
        <v>0</v>
      </c>
      <c r="D1784" s="1">
        <f>hyperlink("http://dspace.library.uu.nl/handle/1874/214956","Consules civitatis ontstaan en opkomst van de Utrechtse gemeenteraad M W J de Bruijn 5 -44 1996")</f>
        <v>0</v>
      </c>
    </row>
    <row r="1785" spans="2:4">
      <c r="B1785">
        <v>96</v>
      </c>
      <c r="C1785" s="1">
        <f>hyperlink("https://hetutrechtsarchief.nl/collectie/CC0C0C6506875D7D81588669445E6EC7","Moderata durant Wolter van Byler 1504-1560 kunstlievend balijer van het Utrechtse Catharijneconvent Paul Dirkse 45-68 ill portr 1996")</f>
        <v>0</v>
      </c>
      <c r="D1785" s="1">
        <f>hyperlink("http://dspace.library.uu.nl/handle/1874/214957","Moderata durant Wolter van Byler 1504-1560 kunstlievend balijer van het Utrechtse Catharijneconvent Paul Dirkse 45 -68 1996")</f>
        <v>0</v>
      </c>
    </row>
    <row r="1786" spans="2:4">
      <c r="B1786">
        <v>95</v>
      </c>
      <c r="C1786" s="1">
        <f>hyperlink("https://hetutrechtsarchief.nl/collectie/9F4EAF201AD455DC881BD6F72DBD81E5","Johan Ludolph van Rhenen vicaris te Vleuten paap op Den Ham en redder van de Cunera-relieken Casper Staal 69-86 ill portr 1996")</f>
        <v>0</v>
      </c>
      <c r="D1786" s="1">
        <f>hyperlink("http://dspace.library.uu.nl/handle/1874/214958","Johan Ludolph van Rhenen vicaris te Vleuten paap op Den Ham en redder van de Cunera-relieken Casper Staal 69 -86 1996")</f>
        <v>0</v>
      </c>
    </row>
    <row r="1787" spans="2:4">
      <c r="B1787">
        <v>98</v>
      </c>
      <c r="C1787" s="1">
        <f>hyperlink("https://hetutrechtsarchief.nl/collectie/827C828DFC1754DEB033B5B4C22D7F70","De landbrief van de bisschop van Utrecht van 1375 geplaatst in een fiscaal-historische omlijsting Ferdinand H M Grapperhaus 87-114 ill 1996")</f>
        <v>0</v>
      </c>
      <c r="D1787" s="1">
        <f>hyperlink("http://dspace.library.uu.nl/handle/1874/214959","De landbrief van de bisschop van Utrecht van 1375 geplaatst in een fiscaal-historische omlijsting Ferdinand H M Grapperhaus 87 -114 1996")</f>
        <v>0</v>
      </c>
    </row>
    <row r="1788" spans="2:4">
      <c r="B1788">
        <v>98</v>
      </c>
      <c r="C1788" s="1">
        <f>hyperlink("https://hetutrechtsarchief.nl/collectie/317DB756E8505AC5A2195D71FEB82C94","Beschuldigt zijnde van iets dat niet genaamd behoorde te worden de sodomietenvervolging in de stad Utrecht in 1797-1798 H Tigelaar 115-144 ill 1996")</f>
        <v>0</v>
      </c>
      <c r="D1788" s="1">
        <f>hyperlink("http://dspace.library.uu.nl/handle/1874/214960","Beschuldigt zijnde van iets dat niet genaamd behoorde te worden de sodomietenvervolging in de stad Utrecht in 1797-1798 H Tigelaar 115 -144 1996")</f>
        <v>0</v>
      </c>
    </row>
    <row r="1789" spans="2:4">
      <c r="B1789">
        <v>95</v>
      </c>
      <c r="C1789" s="1">
        <f>hyperlink("https://hetutrechtsarchief.nl/collectie/E8CF7B26BE2A538BB199F81F81CA4192","Om een menswaardig bestaan over werkloosheid en arbeidsverhoudingen in Utrecht omstreeks 1890 P D t Hart 145-175 ill portr 1996")</f>
        <v>0</v>
      </c>
      <c r="D1789" s="1">
        <f>hyperlink("http://dspace.library.uu.nl/handle/1874/214961","Om een menswaardig bestaan over werkloosheid en arbeidsverhoudingen in Utrecht omstreeks 1890 P D t Hart 145 -176 1996")</f>
        <v>0</v>
      </c>
    </row>
    <row r="1790" spans="2:4">
      <c r="B1790">
        <v>92</v>
      </c>
      <c r="C1790" s="1">
        <f>hyperlink("https://hetutrechtsarchief.nl/collectie/153A9B9AD2C3540188EB356AA7A12A34","Voor al de ingezetenen der stad het gebouw voor Kunsten en Wetenschappen te Utrecht 1847-1890 Christine Weijs 139 -162 ill graf portr tab 1995")</f>
        <v>0</v>
      </c>
      <c r="D1790" s="1">
        <f>hyperlink("http://dspace.library.uu.nl/handle/1874/214962","Voor al de ingezetenen der stad het Gebouw voor Kunsten en Wetenschappen te Utrecht 1847-1890 Christine Weijs 139-162 1995")</f>
        <v>0</v>
      </c>
    </row>
    <row r="1791" spans="2:4">
      <c r="B1791">
        <v>58</v>
      </c>
      <c r="C1791" s="1">
        <f>hyperlink("https://hetutrechtsarchief.nl/collectie/73BF16AA3DDB564A9179C0718154B07F","Predikanten in Utrecht vanaf de Kerkhervorming tot 1811 A J van den Elst 1993")</f>
        <v>0</v>
      </c>
      <c r="D1791" s="1">
        <f>hyperlink("http://dspace.library.uu.nl/handle/1874/214963","47 1997 1950 jaar Romeinen in Utrecht red R van der Eerden et al R van der Eerden 1997")</f>
        <v>0</v>
      </c>
    </row>
    <row r="1792" spans="2:4">
      <c r="B1792">
        <v>59</v>
      </c>
      <c r="C1792" s="1">
        <f>hyperlink("https://hetutrechtsarchief.nl/collectie/BAA4C7030B935970A9E9A4F822DDE8E1","Breukelen en de po zie Arie A Manten 153-161 2002")</f>
        <v>0</v>
      </c>
      <c r="D1792" s="1">
        <f>hyperlink("http://dspace.library.uu.nl/handle/1874/214971","Breukelen in oude reisgidsen Johan van Minnen 27-30 1986")</f>
        <v>0</v>
      </c>
    </row>
    <row r="1793" spans="2:4">
      <c r="B1793">
        <v>69</v>
      </c>
      <c r="C1793" s="1">
        <f>hyperlink("https://hetutrechtsarchief.nl/collectie/0E6474208E3E58B2ACB8733D30ED4DD4","Breukelen en omgeving van 1000 tot 2000 Arie A Manten 153-218 1999")</f>
        <v>0</v>
      </c>
      <c r="D1793" s="1">
        <f>hyperlink("http://dspace.library.uu.nl/handle/1874/214972","Gastarbeiders in Breukelen en omgeving in de 10de tot 12de eeuw Arie A Manten 11-20 1986")</f>
        <v>0</v>
      </c>
    </row>
    <row r="1794" spans="2:4">
      <c r="B1794">
        <v>55</v>
      </c>
      <c r="C1794" s="1">
        <f>hyperlink("https://hetutrechtsarchief.nl/collectie/6D675542FCE0C0FBE0534701000A1B17","De Tweede Wereldoorlog in gemeentelijke archieven Herman Smit 1-8 2018")</f>
        <v>0</v>
      </c>
      <c r="D1794" s="1">
        <f>hyperlink("http://dspace.library.uu.nl/handle/1874/214973","Zomaar een brief uit het gemeentelijk archief 1813-1814 H Polderman 21-26 1986")</f>
        <v>0</v>
      </c>
    </row>
    <row r="1795" spans="2:4">
      <c r="B1795">
        <v>57</v>
      </c>
      <c r="C1795" s="1">
        <f>hyperlink("https://hetutrechtsarchief.nl/collectie/312756F67F05504E99A6BC49E34540B2","Opkomst bloei en neergang van molens in de omgeving van Breukelen Arie A Manten 66-81 ill 1998")</f>
        <v>0</v>
      </c>
      <c r="D1795" s="1">
        <f>hyperlink("http://dspace.library.uu.nl/handle/1874/214974","Gegroeide grenzen een verkenning van Breukelens grondgebied H A van Zwieten 5-10 1986")</f>
        <v>0</v>
      </c>
    </row>
    <row r="1796" spans="2:4">
      <c r="B1796">
        <v>99</v>
      </c>
      <c r="C1796" s="1">
        <f>hyperlink("https://hetutrechtsarchief.nl/collectie/1BC5C5A5E0625AA59D16A18E51D6492D","Geen vrolyk geloei der melkzwaare koeijen runderpest in Utrecht in de achttiende eeuw Ronald Rommes 87 -136 2001")</f>
        <v>0</v>
      </c>
      <c r="D1796" s="1">
        <f>hyperlink("http://dspace.library.uu.nl/handle/1874/214975","Geen vrolijk geloei der melkzwaare koeijen runderpest in Utrecht in de achttiende eeuw Ronald Rommes 87 -136 2001")</f>
        <v>0</v>
      </c>
    </row>
    <row r="1797" spans="2:4">
      <c r="B1797">
        <v>61</v>
      </c>
      <c r="C1797" s="1">
        <f>hyperlink("https://hetutrechtsarchief.nl/collectie/C1F2EF466C325B808D860F77EEC735F4","Op geborduurde kussens de familie Martens in politiek en bestuur Renger de Bruin en Arend Pietersma 35 -84 2002")</f>
        <v>0</v>
      </c>
      <c r="D1797" s="1">
        <f>hyperlink("http://dspace.library.uu.nl/handle/1874/214976","Erfgenamen aan het Janskerkhof de familie Martens in Utrecht 1628-1972 eindred Renger de Bruin en Arend Pietersma Arend Bruin Renger de Pietersma 2002")</f>
        <v>0</v>
      </c>
    </row>
    <row r="1798" spans="2:4">
      <c r="B1798">
        <v>100</v>
      </c>
      <c r="C1798" s="1">
        <f>hyperlink("https://hetutrechtsarchief.nl/collectie/52EE9D31946D527AA999B0055215AD73","Twee Romeinse grafst les uit Houten-Molenzoom en hun betekenis voor de romanisering van een grensstreek Ton Derks 5 -32 2003")</f>
        <v>0</v>
      </c>
      <c r="D1798" s="1">
        <f>hyperlink("http://dspace.library.uu.nl/handle/1874/214977","Twee Romeinse grafst les uit Houten-Molenzoom en hun betekenis voor de Romanisering van een grensstreek Ton Derks 5 -32 2003")</f>
        <v>0</v>
      </c>
    </row>
    <row r="1799" spans="2:4">
      <c r="B1799">
        <v>99</v>
      </c>
      <c r="C1799" s="1">
        <f>hyperlink("https://hetutrechtsarchief.nl/collectie/63E684683E4B599EA260812DFEE768F0","Gingen de Utrechtse bisschoppen Hunger Odilbald en Radbod vanwege de Noormannen in ballingschap Luit van der Tuuk 34 -66 2003")</f>
        <v>0</v>
      </c>
      <c r="D1799" s="1">
        <f>hyperlink("http://dspace.library.uu.nl/handle/1874/214978","Gingen de Utrechtse bisschoppen Hunger Odibald en Radbod vanwege de Noormannen in ballingschap Luit van der Tuuk 33 -66 2003")</f>
        <v>0</v>
      </c>
    </row>
    <row r="1800" spans="2:4">
      <c r="B1800">
        <v>98</v>
      </c>
      <c r="C1800" s="1">
        <f>hyperlink("https://hetutrechtsarchief.nl/collectie/F86974D7B2B856378C716178AAA8E263","God wouts de financiering van de Buurkerk 1435-1569 als spiegel van groepsvorming en belangentegenstellingen binnen de parochie Llewellyn C J J Bogaers 67 -122 2003")</f>
        <v>0</v>
      </c>
      <c r="D1800" s="1">
        <f>hyperlink("http://dspace.library.uu.nl/handle/1874/214979","Gods wouts de financiering van de Buurkerk 1435-1569 als spiegel van groepsvorming en belangstellingen binnen de parochie Llewellyn C J J Bogaers 67 -122 2003")</f>
        <v>0</v>
      </c>
    </row>
    <row r="1801" spans="2:4">
      <c r="B1801">
        <v>99</v>
      </c>
      <c r="C1801" s="1">
        <f>hyperlink("https://hetutrechtsarchief.nl/collectie/9BE4C9D62EF357ADA866D626AA63E3CB","Eten met de broeders in de Dom vis vis en nog eens vis A J van den Hoven van Genderen 167 -210 2003")</f>
        <v>0</v>
      </c>
      <c r="D1801" s="1">
        <f>hyperlink("http://dspace.library.uu.nl/handle/1874/214981","Eten met de broeders in de Dom vis vis en nog eens vis A J van den Hoven van Genderen 167 -209 2003")</f>
        <v>0</v>
      </c>
    </row>
    <row r="1802" spans="2:4">
      <c r="B1802">
        <v>93</v>
      </c>
      <c r="C1802" s="1">
        <f>hyperlink("https://hetutrechtsarchief.nl/collectie/8C6A660F6DBA534CADD353C364EC56A8","Een kijkje in de keuken van de Huishoudschool Puntenburg 1895-1982 Jacobine van der Vloed en Carine van der Horst 211 -234 2003")</f>
        <v>0</v>
      </c>
      <c r="D1802" s="1">
        <f>hyperlink("http://dspace.library.uu.nl/handle/1874/214982","Een kijkje in de keuken van de huishoudschool Puntenburg 1895-1982 Carine van der Vloed Jacobine van der Horst 211 -233 2003")</f>
        <v>0</v>
      </c>
    </row>
    <row r="1803" spans="2:4">
      <c r="B1803">
        <v>100</v>
      </c>
      <c r="C1803" s="1">
        <f>hyperlink("https://hetutrechtsarchief.nl/collectie/4FF4B81C320B5E439BD876EE3D3848B2","Heerschappij en ontginning in Woudenberg in de Middeleeuwen C Dekker 123 -166 2003")</f>
        <v>0</v>
      </c>
      <c r="D1803" s="1">
        <f>hyperlink("http://dspace.library.uu.nl/handle/1874/214983","Heerschappij en ontginning in Woudenberg in de Middeleeuwen C Dekker 123 -166 2003")</f>
        <v>0</v>
      </c>
    </row>
    <row r="1804" spans="2:4">
      <c r="B1804">
        <v>89</v>
      </c>
      <c r="C1804" s="1">
        <f>hyperlink("https://hetutrechtsarchief.nl/collectie/F72131AF99655E3BA7A42F4A0A5BDAF4","De Domtafelen nieuw licht op overoude tafelen uit de Utrechtse Dom Arie de Groot en Kaj van Vliet 5 -40 2004")</f>
        <v>0</v>
      </c>
      <c r="D1804" s="1">
        <f>hyperlink("http://dspace.library.uu.nl/handle/1874/214985","De Domtafelen nieuw licht op overoude tafelen uit de Utrechtse Dom Kaj van Groot Arie de Vliet 5 -40 2004")</f>
        <v>0</v>
      </c>
    </row>
    <row r="1805" spans="2:4">
      <c r="B1805">
        <v>100</v>
      </c>
      <c r="C1805" s="1">
        <f>hyperlink("https://hetutrechtsarchief.nl/collectie/71674BFF60A659A6AC171C981DCB50C6","In de ban van Belle nieuw licht op Belle van Zuylen Kees van Strien 41 -62 2004")</f>
        <v>0</v>
      </c>
      <c r="D1805" s="1">
        <f>hyperlink("http://dspace.library.uu.nl/handle/1874/214986","In de ban van Belle nieuw licht op Belle van Zuylen Kees van Strien 41 -62 2004")</f>
        <v>0</v>
      </c>
    </row>
    <row r="1806" spans="2:4">
      <c r="B1806">
        <v>100</v>
      </c>
      <c r="C1806" s="1">
        <f>hyperlink("https://hetutrechtsarchief.nl/collectie/810DEF11E6CD5E3BA35EC8C0F46BBC7A","Een aarzelende machtsstrijd IJsselstein tijdens de eerste patriotse opstand 1785-1788 Fred Vogelzang 63 -118 2004")</f>
        <v>0</v>
      </c>
      <c r="D1806" s="1">
        <f>hyperlink("http://dspace.library.uu.nl/handle/1874/214987","Een aarzelende machtsstrijd IJsselstein tijdens de eerste patriotse opstand 1785-1788 Fred Vogelzang 63 -118 2004")</f>
        <v>0</v>
      </c>
    </row>
    <row r="1807" spans="2:4">
      <c r="B1807">
        <v>100</v>
      </c>
      <c r="C1807" s="1">
        <f>hyperlink("https://hetutrechtsarchief.nl/collectie/25A3442530505C6B8C644A249127AF6D","Progressiviteit in de studentenwereld Utrecht 1848-1853 F G M Frits Broeyer 119 -150 2004")</f>
        <v>0</v>
      </c>
      <c r="D1807" s="1">
        <f>hyperlink("http://dspace.library.uu.nl/handle/1874/214988","Progressiviteit in de studentenwereld Utrecht 1848-1853 F G M Frits Broeyer 119 -150 2004")</f>
        <v>0</v>
      </c>
    </row>
    <row r="1808" spans="2:4">
      <c r="B1808">
        <v>100</v>
      </c>
      <c r="C1808" s="1">
        <f>hyperlink("https://hetutrechtsarchief.nl/collectie/72CD9880C7395E3BBAF0477DE45825E0","De woelziekste gemeente van Nederland politiek in Wijk bij Duurstede 1848-1860 J H von Santen 151 -192 2004")</f>
        <v>0</v>
      </c>
      <c r="D1808" s="1">
        <f>hyperlink("http://dspace.library.uu.nl/handle/1874/214989","De woelziekste gemeente van Nederland politiek in Wijk bij Duurstede 1848-1860 J H von Santen 151 -192 2004")</f>
        <v>0</v>
      </c>
    </row>
    <row r="1809" spans="2:4">
      <c r="B1809">
        <v>100</v>
      </c>
      <c r="C1809" s="1">
        <f>hyperlink("https://hetutrechtsarchief.nl/collectie/19576A9F3B7B529192E85AC23CC06ABE","Utrechters en de nieuwe media film en radio 1907-1940 Bert Hogenkamp 193 -226 2004")</f>
        <v>0</v>
      </c>
      <c r="D1809" s="1">
        <f>hyperlink("http://dspace.library.uu.nl/handle/1874/214990","Utrechters en de nieuwe media film en radio 1907-1940 Bert Hogenkamp 193 -226 2004")</f>
        <v>0</v>
      </c>
    </row>
    <row r="1810" spans="2:4">
      <c r="B1810">
        <v>100</v>
      </c>
      <c r="C1810" s="1">
        <f>hyperlink("https://hetutrechtsarchief.nl/collectie/FFAFDCF961335F82A1B7BC045FCA9CF4","Bekneld door het spoor de spoorwegwerken in Utrecht 1935-1954 Frans Storm van Leeuwen 227 -256 2004")</f>
        <v>0</v>
      </c>
      <c r="D1810" s="1">
        <f>hyperlink("http://dspace.library.uu.nl/handle/1874/214991","Bekneld door het spoor de spoorwegwerken in Utrecht 1935-1954 Frans Storm van Leeuwen 227 -256 2004")</f>
        <v>0</v>
      </c>
    </row>
    <row r="1811" spans="2:4">
      <c r="B1811">
        <v>99</v>
      </c>
      <c r="C1811" s="1">
        <f>hyperlink("https://hetutrechtsarchief.nl/collectie/46F1A81A56B652F8A831158349D62C3F","Denen in Dorestad de Deense rol in de ondergang van Dorestad Luit van der Tuuk 6-40 2005")</f>
        <v>0</v>
      </c>
      <c r="D1811" s="1">
        <f>hyperlink("http://dspace.library.uu.nl/handle/1874/214992","Denen in Dorestad de Deense rol in de ondergang van Dorestad Luit van der Tuuk 6 -40 2005")</f>
        <v>0</v>
      </c>
    </row>
    <row r="1812" spans="2:4">
      <c r="B1812">
        <v>99</v>
      </c>
      <c r="C1812" s="1">
        <f>hyperlink("https://hetutrechtsarchief.nl/collectie/A90F1326DDF75CC78C488B5C7440E8B3","De etymologie van Dorestat Keltisch en Germaans Lauran Toorians 42-54 2005")</f>
        <v>0</v>
      </c>
      <c r="D1812" s="1">
        <f>hyperlink("http://dspace.library.uu.nl/handle/1874/214993","De etymologie van Dorestat Keltisch en Germaans Lauran Toorians 42 -54 2005")</f>
        <v>0</v>
      </c>
    </row>
    <row r="1813" spans="2:4">
      <c r="B1813">
        <v>100</v>
      </c>
      <c r="C1813" s="1">
        <f>hyperlink("https://hetutrechtsarchief.nl/collectie/13C08061C7D35F7C98A7015B6FDE5D31","Een spiegel aller grooten theater als deugdenspiegel voor Utrechtse regenten 1711-1728 Kornee van der Haven 56-76 2005")</f>
        <v>0</v>
      </c>
      <c r="D1813" s="1">
        <f>hyperlink("http://dspace.library.uu.nl/handle/1874/214994","Een spiegel aller grooten theater als deugdenspiegel voor Utrechtse regenten 1711-1728 Kornee van der Haven 56 -76 2005")</f>
        <v>0</v>
      </c>
    </row>
    <row r="1814" spans="2:4">
      <c r="B1814">
        <v>100</v>
      </c>
      <c r="C1814" s="1">
        <f>hyperlink("https://hetutrechtsarchief.nl/collectie/A08384DC15AF50F797276164E14C71F3","Het Utrechtse aandeel in de Nederlandse studentenpers van de negentiende eeuw Frits Broeyer 78-129 2005")</f>
        <v>0</v>
      </c>
      <c r="D1814" s="1">
        <f>hyperlink("http://dspace.library.uu.nl/handle/1874/214995","Het Utrechtse aandeel in de Nederlandse studentenpers van de negentiende eeuw Frits Broeyer 78 -129 2005")</f>
        <v>0</v>
      </c>
    </row>
    <row r="1815" spans="2:4">
      <c r="B1815">
        <v>99</v>
      </c>
      <c r="C1815" s="1">
        <f>hyperlink("https://hetutrechtsarchief.nl/collectie/AAE69FDCDB3F5A119FE4D567E8B3C8D5","Het jaarboek Oud Utrecht tachtig jaar Fred Vogelzang 184-204 2005")</f>
        <v>0</v>
      </c>
      <c r="D1815" s="1">
        <f>hyperlink("http://dspace.library.uu.nl/handle/1874/214996","Het jaarboek Oud Utrecht tachtig jaar Fred Vogelzang 184 -204 2005")</f>
        <v>0</v>
      </c>
    </row>
    <row r="1816" spans="2:4">
      <c r="B1816">
        <v>90</v>
      </c>
      <c r="C1816" s="1">
        <f>hyperlink("https://hetutrechtsarchief.nl/collectie/6C16C8ED84DA5E0CB63814A07B16C87E","Door het geluid muzikale impact van Camp New Amsterdam op Soesterberg en omgeving 1954-1994 Lutgard Mutsaers 154-181 2005")</f>
        <v>0</v>
      </c>
      <c r="D1816" s="1">
        <f>hyperlink("http://dspace.library.uu.nl/handle/1874/214998","Door het geluid muzikale impact van Camp New Amsterdam op Soesterberg en omgeving 1954-1994 Natasja Mutsaers Lutgard Oosten 154 -181 2005")</f>
        <v>0</v>
      </c>
    </row>
    <row r="1817" spans="2:4">
      <c r="B1817">
        <v>99</v>
      </c>
      <c r="C1817" s="1">
        <f>hyperlink("https://hetutrechtsarchief.nl/collectie/D73C832781515C5B919222B2FF454642","Zoudenbalch een Utrechtse familie J W van Maren 6-42 2006")</f>
        <v>0</v>
      </c>
      <c r="D1817" s="1">
        <f>hyperlink("http://dspace.library.uu.nl/handle/1874/214999","Zoudenbalch een Utrechtse familie J W van Maren 6 -42 2006")</f>
        <v>0</v>
      </c>
    </row>
    <row r="1818" spans="2:4">
      <c r="B1818">
        <v>99</v>
      </c>
      <c r="C1818" s="1">
        <f>hyperlink("https://hetutrechtsarchief.nl/collectie/C3D9F6FF9A365595A5526EE32AF16053","Drie ordonnanties van het Utrechtse boekdrukers- en boekverkopersgilde een bijdrage tot de geschiedenis van de Utrechtse boekhandel in de zeventiende eeuw Kuniko Forrer 84-120 2006")</f>
        <v>0</v>
      </c>
      <c r="D1818" s="1">
        <f>hyperlink("http://dspace.library.uu.nl/handle/1874/215000","Drie ordonnanties van het Utrechtse boekdrukkers- en boekverkopersgilde een bijdrage tot de geschiedenis van de Utrechtse boekhandel in de zeventiende eeuw Kuniko Forrer 84 -120 2006")</f>
        <v>0</v>
      </c>
    </row>
    <row r="1819" spans="2:4">
      <c r="B1819">
        <v>100</v>
      </c>
      <c r="C1819" s="1">
        <f>hyperlink("https://hetutrechtsarchief.nl/collectie/EC5CDBCF0F4D5582A7E4BCCB2B501B17","De cirkel gesloten de Utrechtse hugenoot Jean Antoine d Averhoult 1756-1792 en zijn gewelddadig einde als Franse revolutionair Renger E de Bruin 122-148 2006")</f>
        <v>0</v>
      </c>
      <c r="D1819" s="1">
        <f>hyperlink("http://dspace.library.uu.nl/handle/1874/215002","De cirkel gesloten de Utrechtse hugenoot Jean Antoine d Averhoult 1756-1792 en zijn gewelddadig einde als Franse revolutionair Renger E de Bruin 122 -148 2006")</f>
        <v>0</v>
      </c>
    </row>
    <row r="1820" spans="2:4">
      <c r="B1820">
        <v>87</v>
      </c>
      <c r="C1820" s="1">
        <f>hyperlink("https://hetutrechtsarchief.nl/collectie/CE4CDDD82B015795AF5EBBD65E09D171","Doodstraf voor kalverliefde te Rhenen in 1723 Ludo ten Cate en Kees Smit 150-174 2006")</f>
        <v>0</v>
      </c>
      <c r="D1820" s="1">
        <f>hyperlink("http://dspace.library.uu.nl/handle/1874/215005","Doodstraf voor kalverliefde te Rhenen in 1723 Kees Cate Ludo ten Smit 150 -174 2006")</f>
        <v>0</v>
      </c>
    </row>
    <row r="1821" spans="2:4">
      <c r="B1821">
        <v>98</v>
      </c>
      <c r="C1821" s="1">
        <f>hyperlink("https://hetutrechtsarchief.nl/collectie/F087308DBE385C0CABC82E7B789D33F8","Een nieuwe stadsbouwmeester voor Utrecht in 1838 de opvolging van Johannes van Embden 1767-1846 door Johannes van Maurik 1812-1893 H W von der Dunk 176-206 2006")</f>
        <v>0</v>
      </c>
      <c r="D1821" s="1">
        <f>hyperlink("http://dspace.library.uu.nl/handle/1874/215007","Een nieuwe stadsbouwmeester voor Utrecht in 1838 de opvolging van Johannes van Embden 1767-1846 door Johannes van Maurik 1812-1893 Thomas H von der Dunk 176 -206 2006")</f>
        <v>0</v>
      </c>
    </row>
    <row r="1822" spans="2:4">
      <c r="B1822">
        <v>99</v>
      </c>
      <c r="C1822" s="1">
        <f>hyperlink("https://hetutrechtsarchief.nl/collectie/67CEDB29CC30548EB7E17057519D9BC6","Kapelani n in de middeleeuwse Utrechtse dom een introductie Frans Rikhof 44-82 2006")</f>
        <v>0</v>
      </c>
      <c r="D1822" s="1">
        <f>hyperlink("http://dspace.library.uu.nl/handle/1874/215009","Kapelani n in de middeleeuwse Utrechtse dom een introductie Frans Rikhof 44 -82 2006")</f>
        <v>0</v>
      </c>
    </row>
    <row r="1823" spans="2:4">
      <c r="B1823">
        <v>98</v>
      </c>
      <c r="C1823" s="1">
        <f>hyperlink("https://hetutrechtsarchief.nl/collectie/BE63B960E9A5527A9A5B47AB127A41B4","Van kluisters wars en slavernij de zinspreuk hier is dood of vrij de patriotse revolutie te Wijk bij Duurstede 1783-1787 Edwin Maes 70-114 2007")</f>
        <v>0</v>
      </c>
      <c r="D1823" s="1">
        <f>hyperlink("http://dspace.library.uu.nl/handle/1874/215012","Van kluisters wars en slavernij de zinspreuk hier is dood of vrij de patriotse revolutie te Wijk bij Duurstede 1783-1787 Edwin Maes 69 -114 2007")</f>
        <v>0</v>
      </c>
    </row>
    <row r="1824" spans="2:4">
      <c r="B1824">
        <v>99</v>
      </c>
      <c r="C1824" s="1">
        <f>hyperlink("https://hetutrechtsarchief.nl/collectie/3D0F31DC386C5533ACBA82FD8B35FA00","Op de maat en in de pas de populaire danscultuur in de stad Utrecht 1918-1940 Lutgard Mutsaers 116-170 2007")</f>
        <v>0</v>
      </c>
      <c r="D1824" s="1">
        <f>hyperlink("http://dspace.library.uu.nl/handle/1874/215015","Op de maat en in de pas de populaire danscultuur in de stad Utrecht 1918-1940 Lutgard Mutsaers 115 -170 2007")</f>
        <v>0</v>
      </c>
    </row>
    <row r="1825" spans="2:4">
      <c r="B1825">
        <v>96</v>
      </c>
      <c r="C1825" s="1">
        <f>hyperlink("https://hetutrechtsarchief.nl/collectie/C9CA13A941095AA4BED3F69BF0BFB0C5","De route van de wijn wijn en wijnhandel in de stad Utrecht in de veertiende en vijftiende eeuw een eerste kennismaking Mari lla Beukers 6-46 2007")</f>
        <v>0</v>
      </c>
      <c r="D1825" s="1">
        <f>hyperlink("http://dspace.library.uu.nl/handle/1874/215017","De route van de wijn wijn en wijnhandel in de stad Utrecht in de veertiende en vijftiende eeuw een eerste verkenning Mari lla Beukers 5 -46 2007")</f>
        <v>0</v>
      </c>
    </row>
    <row r="1826" spans="2:4">
      <c r="B1826">
        <v>99</v>
      </c>
      <c r="C1826" s="1">
        <f>hyperlink("https://hetutrechtsarchief.nl/collectie/2764CCBEE5DE5F4780627E3522D4CA11","De auteur van De verwoestinge van Bozra G R W Dibbets 48-68 2007")</f>
        <v>0</v>
      </c>
      <c r="D1826" s="1">
        <f>hyperlink("http://dspace.library.uu.nl/handle/1874/215020","De auteur van De verwoestinge van Bozra G R W Dibbets 48 -68 2007")</f>
        <v>0</v>
      </c>
    </row>
    <row r="1827" spans="2:4">
      <c r="B1827">
        <v>100</v>
      </c>
      <c r="C1827" s="1">
        <f>hyperlink("https://hetutrechtsarchief.nl/collectie/4A704AAA7D885BC4845898CC819A7DF0","Kunstenaars versus kunstlievenden Kunstliefde onder voorzitterschap van Jan Engelman 1951-1959 Roman Koot 172-192 2007")</f>
        <v>0</v>
      </c>
      <c r="D1827" s="1">
        <f>hyperlink("http://dspace.library.uu.nl/handle/1874/215022","Kunstenaars versus kunstlievenden Kunstliefde onder voorzitterschap van Jan Engelman 1951-1959 Roman Koot 172 -192 2007")</f>
        <v>0</v>
      </c>
    </row>
    <row r="1828" spans="2:4">
      <c r="B1828">
        <v>100</v>
      </c>
      <c r="C1828" s="1">
        <f>hyperlink("https://hetutrechtsarchief.nl/collectie/7C5188CF0E7F56949D6D913FAFD23CCA","Een curieus paepgen Victor Scorel ca 1540-1617 kapittelvicaris landmeter en missionaris Huib Leeuwenberg 5 -47 2008")</f>
        <v>0</v>
      </c>
      <c r="D1828" s="1">
        <f>hyperlink("http://dspace.library.uu.nl/handle/1874/215024","Een curieus paepgen Victor Scorel ca 1540-1617 kapittelvicaris landmeter en missionaris Huib Leeuwenberg 5 -47 2008")</f>
        <v>0</v>
      </c>
    </row>
    <row r="1829" spans="2:4">
      <c r="B1829">
        <v>100</v>
      </c>
      <c r="C1829" s="1">
        <f>hyperlink("https://hetutrechtsarchief.nl/collectie/837E61276C6F5B57A79C4AD28F445E81","Dimittimini exite Utrechtse remonstranten onder het kruis 1618-1630 Arend Pietersma 49 -100 2008")</f>
        <v>0</v>
      </c>
      <c r="D1829" s="1">
        <f>hyperlink("http://dspace.library.uu.nl/handle/1874/215028","Dimittimini exite Utrechtse remonstranten onder het kruis 1618-1630 Arend Pietersma 49 -100 2008")</f>
        <v>0</v>
      </c>
    </row>
    <row r="1830" spans="2:4">
      <c r="B1830">
        <v>100</v>
      </c>
      <c r="C1830" s="1">
        <f>hyperlink("https://hetutrechtsarchief.nl/collectie/78CB62B96ADA5F3195170E289CD96C31","Buurschap en gerecht de ontwikkeling van twee samenhangende instellingen in middeleeuws Utrecht Martin W J de Bruijn 127 -154 2008")</f>
        <v>0</v>
      </c>
      <c r="D1830" s="1">
        <f>hyperlink("http://dspace.library.uu.nl/handle/1874/215030","Buurschap en gerecht de ontwikkeling van twee samenhangende instellingen in middeleeuws Utrecht Martin W J de Bruijn 127 -154 2008")</f>
        <v>0</v>
      </c>
    </row>
    <row r="1831" spans="2:4">
      <c r="B1831">
        <v>87</v>
      </c>
      <c r="C1831" s="1">
        <f>hyperlink("https://hetutrechtsarchief.nl/collectie/E17369A7B550525EAF452E96A5F9125C","Repliek wie organiseerde de straatfeesten in laatmiddeleeuws Utrecht Dupliek van binnenuit en van onderop of van bovenaf 155 -168 2008")</f>
        <v>0</v>
      </c>
      <c r="D1831" s="1">
        <f>hyperlink("http://dspace.library.uu.nl/handle/1874/215032","Repliek wie organiseerde de straatfeesten in laatmiddeleeuws Utrecht Dupliek van binnenuit en van onderop of van bovenaf Martin W J de Bogaers Llewellyn Bruijn 155 -168 2008")</f>
        <v>0</v>
      </c>
    </row>
    <row r="1832" spans="2:4">
      <c r="B1832">
        <v>100</v>
      </c>
      <c r="C1832" s="1">
        <f>hyperlink("https://hetutrechtsarchief.nl/collectie/139AAE51A9ED5178868FE7E0037B578B","Van ingenieur tot Leider veertien jaar uit het tumultueuze bestaan van Anton Adriaan Mussert 1920-1934 Tessel Pollmann 101 -126 2008")</f>
        <v>0</v>
      </c>
      <c r="D1832" s="1">
        <f>hyperlink("http://dspace.library.uu.nl/handle/1874/215036","Van ingenieur tot Leider veertien jaar uit het tumultueuze bestaan van Anton Adriaan Mussert 1920-1934 Tessel Pollmann 101 -126 2008")</f>
        <v>0</v>
      </c>
    </row>
    <row r="1833" spans="2:4">
      <c r="B1833">
        <v>60</v>
      </c>
      <c r="C1833" s="1">
        <f>hyperlink("https://hetutrechtsarchief.nl/collectie/91DBB57F26635F1F950C406EE7D18E3C","De buitenplaats Slangevecht in de jaren 1914-1922 Arie A Manten 15-20 2008")</f>
        <v>0</v>
      </c>
      <c r="D1833" s="1">
        <f>hyperlink("http://dspace.library.uu.nl/handle/1874/215100","Gevecht bij de Vecht in 1426 Arie A Manten 35-37 1986")</f>
        <v>0</v>
      </c>
    </row>
    <row r="1834" spans="2:4">
      <c r="B1834">
        <v>55</v>
      </c>
      <c r="C1834" s="1">
        <f>hyperlink("https://hetutrechtsarchief.nl/collectie/C1B9EB91BEFF5D1EB19294244812801B","De jubileum- en kroningsfeesten van 1948 in Breukelen Henk J van Es 228-233 2003")</f>
        <v>0</v>
      </c>
      <c r="D1834" s="1">
        <f>hyperlink("http://dspace.library.uu.nl/handle/1874/215101","De schade door de Pruisische troepen in 1787 in Breukelen aangericht Hendrik-Jan van Leusen 100-103 1986")</f>
        <v>0</v>
      </c>
    </row>
    <row r="1835" spans="2:4">
      <c r="B1835">
        <v>60</v>
      </c>
      <c r="C1835" s="1">
        <f>hyperlink("https://hetutrechtsarchief.nl/collectie/E2BFFDCC91555973894D0676855E4651","Het gebied rond Woerdense Verlaat en de Oudendam in de middeleeuwen W J Eijs 84-89 1998")</f>
        <v>0</v>
      </c>
      <c r="D1835" s="1">
        <f>hyperlink("http://dspace.library.uu.nl/handle/1874/215102","Het gebied van Breukelen aan de oostelijke Vechtoever tijdens de middeleeuwen Arie A Manten 14-18 1987")</f>
        <v>0</v>
      </c>
    </row>
    <row r="1836" spans="2:4">
      <c r="B1836">
        <v>77</v>
      </c>
      <c r="C1836" s="1">
        <f>hyperlink("https://hetutrechtsarchief.nl/collectie/161ECD46699052E698357DD541077CD5","Raadsverkiezingen in de gemeente Breukelen-St Pieters 1875-1899 Arie A Manten 25-31 2001")</f>
        <v>0</v>
      </c>
      <c r="D1836" s="1">
        <f>hyperlink("http://dspace.library.uu.nl/handle/1874/215103","Gezinshoofden in de gemeente Breukelen-St Pieters in 1843-1847 Arie A Manten 83-90 1986")</f>
        <v>0</v>
      </c>
    </row>
    <row r="1837" spans="2:4">
      <c r="B1837">
        <v>62</v>
      </c>
      <c r="C1837" s="1">
        <f>hyperlink("https://hetutrechtsarchief.nl/collectie/431EDCFCACB952F8B4743293CD6F6D38","Het gezin van Jan Adriaanse Manten geb 1769 Arie A Manten 20-23 2002")</f>
        <v>0</v>
      </c>
      <c r="D1837" s="1">
        <f>hyperlink("http://dspace.library.uu.nl/handle/1874/215104","Het graven van een wetering in 1455 Arie A Manten 19-23 1987")</f>
        <v>0</v>
      </c>
    </row>
    <row r="1838" spans="2:4">
      <c r="B1838">
        <v>67</v>
      </c>
      <c r="C1838" s="1">
        <f>hyperlink("https://hetutrechtsarchief.nl/collectie/BAA412C4BB89554C9B81E0DFB0DBBD55","Bonifatius Velsen en Breukelen Arie A Manten 147-149 1999")</f>
        <v>0</v>
      </c>
      <c r="D1838" s="1">
        <f>hyperlink("http://dspace.library.uu.nl/handle/1874/215105","Hoe oud is Breukelen Arie A Manten 41-72 1986")</f>
        <v>0</v>
      </c>
    </row>
    <row r="1839" spans="2:4">
      <c r="B1839">
        <v>56</v>
      </c>
      <c r="C1839" s="1">
        <f>hyperlink("https://hetutrechtsarchief.nl/collectie/59090F1CD2655F2AA5986CC16170C3C4","Kees Dudok de Wit beeldig terug in Breukelen Arie A Manten 133-138 2008")</f>
        <v>0</v>
      </c>
      <c r="D1839" s="1">
        <f>hyperlink("http://dspace.library.uu.nl/handle/1874/215106","L C Dudok de Wit een vroolijken tippelaar te Breukelen M Verkuil 91-97 1986")</f>
        <v>0</v>
      </c>
    </row>
    <row r="1840" spans="2:4">
      <c r="B1840">
        <v>54</v>
      </c>
      <c r="C1840" s="1">
        <f>hyperlink("https://hetutrechtsarchief.nl/collectie/5A8EC6D028B553828A7FE1776B8FB77A","Gemeente Kockengen telegrafeerde bondskanselier Adenauer Arie A Manten 178-180 2001")</f>
        <v>0</v>
      </c>
      <c r="D1840" s="1">
        <f>hyperlink("http://dspace.library.uu.nl/handle/1874/215107","Concagne - Kockengen over een oeroude klank in een vrij jonge naam A Kroon 107-109 1986")</f>
        <v>0</v>
      </c>
    </row>
    <row r="1841" spans="2:4">
      <c r="B1841">
        <v>56</v>
      </c>
      <c r="C1841" s="1">
        <f>hyperlink("https://hetutrechtsarchief.nl/collectie/210F0A14C1EA5F00A972FFBE4AEFA996","Brouwerijen langs de Oude Gracht in Utrecht brouwerij de Boog A J van den Elst 671-672 1995")</f>
        <v>0</v>
      </c>
      <c r="D1841" s="1">
        <f>hyperlink("http://dspace.library.uu.nl/handle/1874/215108","Industrie n langs de Vecht in Noord-Breukelen B Barelds 73-82 1986")</f>
        <v>0</v>
      </c>
    </row>
    <row r="1842" spans="2:4">
      <c r="B1842">
        <v>58</v>
      </c>
      <c r="C1842" s="1">
        <f>hyperlink("https://hetutrechtsarchief.nl/collectie/7D5CF5504D9BCE7DE0534701000AF294","De Vroeger en Nu wandeling door Breukelen Juliette Jonker-Duynstee 5-6 2018")</f>
        <v>0</v>
      </c>
      <c r="D1842" s="1">
        <f>hyperlink("http://dspace.library.uu.nl/handle/1874/215109","De verdwenen watermolens van de polder Breukeleveen Jan den Besten 24-30 1987")</f>
        <v>0</v>
      </c>
    </row>
    <row r="1843" spans="2:4">
      <c r="B1843">
        <v>61</v>
      </c>
      <c r="C1843" s="1">
        <f>hyperlink("https://hetutrechtsarchief.nl/collectie/2065CA78D0C75B91BC95E0D273473AC7","Oude gebouwen weer gebruiken Henk Voerman 2-3 ill 1987")</f>
        <v>0</v>
      </c>
      <c r="D1843" s="1">
        <f>hyperlink("http://dspace.library.uu.nl/handle/1874/215110","De Brouwerij H Polderman 4-13 1987")</f>
        <v>0</v>
      </c>
    </row>
    <row r="1844" spans="2:4">
      <c r="B1844">
        <v>64</v>
      </c>
      <c r="C1844" s="1">
        <f>hyperlink("https://hetutrechtsarchief.nl/collectie/0E6474208E3E58B2ACB8733D30ED4DD4","Breukelen en omgeving van 1000 tot 2000 Arie A Manten 153-218 1999")</f>
        <v>0</v>
      </c>
      <c r="D1844" s="1">
        <f>hyperlink("http://dspace.library.uu.nl/handle/1874/215111","Bieraccijnzen in Breukelen en omgeving in de jaren 1426-1430 Arie A Manten 104-106 1986")</f>
        <v>0</v>
      </c>
    </row>
    <row r="1845" spans="2:4">
      <c r="B1845">
        <v>60</v>
      </c>
      <c r="C1845" s="1">
        <f>hyperlink("https://hetutrechtsarchief.nl/collectie/A68C889C2B209174E0534701000A2C9E","De Tweede Wereldoorlog in Breukelen Jan Rutges 19-21 2020")</f>
        <v>0</v>
      </c>
      <c r="D1845" s="1">
        <f>hyperlink("http://dspace.library.uu.nl/handle/1874/215112","Wereldoorlog II in Breukelen historie Dat is gisteren 5 Jan Rutges 55-59 1988")</f>
        <v>0</v>
      </c>
    </row>
    <row r="1846" spans="2:4">
      <c r="B1846">
        <v>53</v>
      </c>
      <c r="C1846" s="1">
        <f>hyperlink("https://hetutrechtsarchief.nl/collectie/8DB2A73427195A62B4B49688DF0EA0F2","Hoe oud is de huidige Kortrijkse molen Jan den Besten 34-36 2001")</f>
        <v>0</v>
      </c>
      <c r="D1846" s="1">
        <f>hyperlink("http://dspace.library.uu.nl/handle/1874/215113","Hoe oud is een dorp in casu Broclede Arthur W A Th Steegh 30-33 1988")</f>
        <v>0</v>
      </c>
    </row>
    <row r="1847" spans="2:4">
      <c r="B1847">
        <v>64</v>
      </c>
      <c r="C1847" s="1">
        <f>hyperlink("https://hetutrechtsarchief.nl/collectie/C3B89E58E1CC59ED9DB13A0E82E2388F","Tijdelijke gemeenteraden van Breukelen-Nijenrode en Breukelen-St Pieters 1945-1946 Otto J Contant en Arie A Manten 161-168 2001")</f>
        <v>0</v>
      </c>
      <c r="D1847" s="1">
        <f>hyperlink("http://dspace.library.uu.nl/handle/1874/215114","Gas en elektra in Breukelen-Nijenrode en Breukelen-St Pieters van 1897 tot 1936 H van Walderveen 4-13 1988")</f>
        <v>0</v>
      </c>
    </row>
    <row r="1848" spans="2:4">
      <c r="B1848">
        <v>59</v>
      </c>
      <c r="C1848" s="1">
        <f>hyperlink("https://hetutrechtsarchief.nl/collectie/38CCC2CEA1D95226B5450F6B54197134","Breukelen in de eerste jaren van de Tweede Wereldoorlog Henk J van Es 87-91 2000")</f>
        <v>0</v>
      </c>
      <c r="D1848" s="1">
        <f>hyperlink("http://dspace.library.uu.nl/handle/1874/215115","Breukelen in de jaren dertig van deze eeuw indrukken en feiten J C Wisse 81-87 1987")</f>
        <v>0</v>
      </c>
    </row>
    <row r="1849" spans="2:4">
      <c r="B1849">
        <v>58</v>
      </c>
      <c r="C1849" s="1">
        <f>hyperlink("https://hetutrechtsarchief.nl/collectie/BFC6B33541075E56A3C3312502A40ECE","Jut van Breukelerwaard L G van Aken 40-45 2008")</f>
        <v>0</v>
      </c>
      <c r="D1849" s="1">
        <f>hyperlink("http://dspace.library.uu.nl/handle/1874/215116","Joan Raye heer van Breukelerwaard 1737-1823 W N Flinkenfl gel 65-70 1988")</f>
        <v>0</v>
      </c>
    </row>
    <row r="1850" spans="2:4">
      <c r="B1850">
        <v>51</v>
      </c>
      <c r="C1850" s="1">
        <f>hyperlink("https://hetutrechtsarchief.nl/collectie/55770879169A52E98918D7676B939E1F","Welvaart in vroegmiddeleeuwse Leidsche Rijn Ren de Kam en Herre Wynia 7-11 2011")</f>
        <v>0</v>
      </c>
      <c r="D1850" s="1">
        <f>hyperlink("http://dspace.library.uu.nl/handle/1874/215117","Breukelerwaard als middeleeuws landschap groter dan de bestuurlijke eenheid Manten Arie A 60-64 1988")</f>
        <v>0</v>
      </c>
    </row>
    <row r="1851" spans="2:4">
      <c r="B1851">
        <v>57</v>
      </c>
      <c r="C1851" s="1">
        <f>hyperlink("https://hetutrechtsarchief.nl/collectie/574B6470889E51B788C8E77DCC88DF63","De voormalige Gemeente Kockengen 3-slot B Barelds 129-132 2001")</f>
        <v>0</v>
      </c>
      <c r="D1851" s="1">
        <f>hyperlink("http://dspace.library.uu.nl/handle/1874/215118","De gemeente Breukelen en haar secretarie n B Barelds 88-101 1987")</f>
        <v>0</v>
      </c>
    </row>
    <row r="1852" spans="2:4">
      <c r="B1852">
        <v>58</v>
      </c>
      <c r="C1852" s="1">
        <f>hyperlink("https://hetutrechtsarchief.nl/collectie/01284FE0363B59C6A407C4E1760E4D98","Het Rooie Dorp te Breukelen in de periode 1940-1960 Arie A Manten 36-48 2004")</f>
        <v>0</v>
      </c>
      <c r="D1852" s="1">
        <f>hyperlink("http://dspace.library.uu.nl/handle/1874/215119","Het ronde dorp van Breukelen buitendijks een antwoord aan A W A Th van Steegh Arie A Manten 33-36 1988")</f>
        <v>0</v>
      </c>
    </row>
    <row r="1853" spans="2:4">
      <c r="B1853">
        <v>57</v>
      </c>
      <c r="C1853" s="1">
        <f>hyperlink("https://hetutrechtsarchief.nl/collectie/44E70DCE73275761BE7D22611FB0E13E","De oude band van kasteel De Haar met Kockengen en Spengen Arie A Manten 60-65 1998")</f>
        <v>0</v>
      </c>
      <c r="D1853" s="1">
        <f>hyperlink("http://dspace.library.uu.nl/handle/1874/215120","Rond de bouw van het brandspuitenhuisje op het Kerkplein Huub A Manten Arie A Manten-Werker 49-54 1988")</f>
        <v>0</v>
      </c>
    </row>
    <row r="1854" spans="2:4">
      <c r="B1854">
        <v>54</v>
      </c>
      <c r="C1854" s="1">
        <f>hyperlink("https://hetutrechtsarchief.nl/collectie/E10B716A7E5A598A92AF55C9DE08E88D","Restauratie van de Rode Boek Bert Bakker 27-29 1984")</f>
        <v>0</v>
      </c>
      <c r="D1854" s="1">
        <f>hyperlink("http://dspace.library.uu.nl/handle/1874/215121","Pieter Bakker visser te Breukeleveen P Bakker 71-77 1988")</f>
        <v>0</v>
      </c>
    </row>
    <row r="1855" spans="2:4">
      <c r="B1855">
        <v>62</v>
      </c>
      <c r="C1855" s="1">
        <f>hyperlink("https://hetutrechtsarchief.nl/collectie/0B0E062B79F85F2E8481F81EBB945ED6","Nieuw Nederland en zijn Breuckelen 1609-1664 Arie A Manten 129-176 2005")</f>
        <v>0</v>
      </c>
      <c r="D1855" s="1">
        <f>hyperlink("http://dspace.library.uu.nl/handle/1874/215122","De tweede watermolen in Breukeleveen in 1684 gesticht Arie A Manten 14-24 1988")</f>
        <v>0</v>
      </c>
    </row>
    <row r="1856" spans="2:4">
      <c r="B1856">
        <v>57</v>
      </c>
      <c r="C1856" s="1">
        <f>hyperlink("https://hetutrechtsarchief.nl/collectie/43E3DC8DF34657D89374BCBA2D8FA97D","Telefoonlijst van Breukelen uit 1939 H van Walderveen 63-66 1999")</f>
        <v>0</v>
      </c>
      <c r="D1856" s="1">
        <f>hyperlink("http://dspace.library.uu.nl/handle/1874/215123","Een spoorwegongeluk bij Breukelen in 1920 M N J van Kralingen 37-38 1988")</f>
        <v>0</v>
      </c>
    </row>
    <row r="1857" spans="2:4">
      <c r="B1857">
        <v>53</v>
      </c>
      <c r="C1857" s="1">
        <f>hyperlink("https://hetutrechtsarchief.nl/collectie/3D7278EDAE5C54EEBB3720548BAFB150","De organisatie van de Breukelse brandweer in de jaren 1869-1931 Arie A Manten 177-187 2002")</f>
        <v>0</v>
      </c>
      <c r="D1857" s="1">
        <f>hyperlink("http://dspace.library.uu.nl/handle/1874/215124","Raadsleden van 1878 willen zelf ook een krant lezen uit oude raadsnotulen 1 A A Manten 13 1987")</f>
        <v>0</v>
      </c>
    </row>
    <row r="1858" spans="2:4">
      <c r="B1858">
        <v>54</v>
      </c>
      <c r="C1858" s="1">
        <f>hyperlink("https://hetutrechtsarchief.nl/collectie/28A6DD4C30515BB0A41EC927C3D974F5","De oude binnenstad aangevreten R C J van Maanen 38 1971")</f>
        <v>0</v>
      </c>
      <c r="D1858" s="1">
        <f>hyperlink("http://dspace.library.uu.nl/handle/1874/215125","Drinkgelag bij de brandweer in 1875 uit oude raadsnotulen 2 A A Manten 38 1987")</f>
        <v>0</v>
      </c>
    </row>
    <row r="1859" spans="2:4">
      <c r="B1859">
        <v>62</v>
      </c>
      <c r="C1859" s="1">
        <f>hyperlink("https://hetutrechtsarchief.nl/collectie/43EB60F9C1275547A36729821FB1A04F","Smeltend ijs in Breukelen het einde van de Griffioen A A Manten 4 tek 1998")</f>
        <v>0</v>
      </c>
      <c r="D1859" s="1">
        <f>hyperlink("http://dspace.library.uu.nl/handle/1874/215126","Bijenhouderij in Breukelen in het begin van de 20ste eeuw M N J van Kralingen 31-33 1986")</f>
        <v>0</v>
      </c>
    </row>
    <row r="1860" spans="2:4">
      <c r="B1860">
        <v>55</v>
      </c>
      <c r="C1860" s="1">
        <f>hyperlink("https://hetutrechtsarchief.nl/collectie/B991172E85615AE280A5BA8559EAA407","Terugblik op Amerongen en Leersum Interview door Jan Meijer 12-16 2016")</f>
        <v>0</v>
      </c>
      <c r="D1860" s="1">
        <f>hyperlink("http://dspace.library.uu.nl/handle/1874/215127","Terugblik van n der eerste Zuidmolukse inwoners van Breukelen 34 1986")</f>
        <v>0</v>
      </c>
    </row>
    <row r="1861" spans="2:4">
      <c r="B1861">
        <v>62</v>
      </c>
      <c r="C1861" s="1">
        <f>hyperlink("https://hetutrechtsarchief.nl/collectie/0B0E062B79F85F2E8481F81EBB945ED6","Nieuw Nederland en zijn Breuckelen 1609-1664 Arie A Manten 129-176 2005")</f>
        <v>0</v>
      </c>
      <c r="D1861" s="1">
        <f>hyperlink("http://dspace.library.uu.nl/handle/1874/215128","De eerste watermolen in Breukeleveen in 1649 gesticht Arie A Manten 31 1987")</f>
        <v>0</v>
      </c>
    </row>
    <row r="1862" spans="2:4">
      <c r="B1862">
        <v>58</v>
      </c>
      <c r="C1862" s="1">
        <f>hyperlink("https://hetutrechtsarchief.nl/collectie/26EB37C4A11D5E4E9B3F586673C28155","Legende en historie van den Domtoren J W C van Campen 6-8 1950")</f>
        <v>0</v>
      </c>
      <c r="D1862" s="1">
        <f>hyperlink("http://dspace.library.uu.nl/handle/1874/215129","De geur van boenwas historie Dat is gisteren 2 Paul van Warmerdam 32-38 1987")</f>
        <v>0</v>
      </c>
    </row>
    <row r="1863" spans="2:4">
      <c r="B1863">
        <v>62</v>
      </c>
      <c r="C1863" s="1">
        <f>hyperlink("https://hetutrechtsarchief.nl/collectie/5CD377A592D65235B41B22941A17F230","Toegangshekken in de Vechtstreek A J A M Lisman 21-70 ill 1994")</f>
        <v>0</v>
      </c>
      <c r="D1863" s="1">
        <f>hyperlink("http://dspace.library.uu.nl/handle/1874/215130","Bezoek van Mattys Decker aan de Vechtstreek in 1748 A C Bijsmans 102-106 1987")</f>
        <v>0</v>
      </c>
    </row>
    <row r="1864" spans="2:4">
      <c r="B1864">
        <v>65</v>
      </c>
      <c r="C1864" s="1">
        <f>hyperlink("https://hetutrechtsarchief.nl/collectie/37438B0127065C35B5C34E734004CFD0","Het Heilige Geesthuis te Breukelen Arie A Manten 121-125 2005")</f>
        <v>0</v>
      </c>
      <c r="D1864" s="1">
        <f>hyperlink("http://dspace.library.uu.nl/handle/1874/215131","Het gerecht Breukelerwaard Arie A Manten 107-118 1987")</f>
        <v>0</v>
      </c>
    </row>
    <row r="1865" spans="2:4">
      <c r="B1865">
        <v>55</v>
      </c>
      <c r="C1865" s="1">
        <f>hyperlink("https://hetutrechtsarchief.nl/collectie/26EB37C4A11D5E4E9B3F586673C28155","Legende en historie van den Domtoren J W C van Campen 6-8 1950")</f>
        <v>0</v>
      </c>
      <c r="D1865" s="1">
        <f>hyperlink("http://dspace.library.uu.nl/handle/1874/215132","Werken als een paard historie Dat is gisteren 4 Paul van Warmerdam 25-29 1988")</f>
        <v>0</v>
      </c>
    </row>
    <row r="1866" spans="2:4">
      <c r="B1866">
        <v>52</v>
      </c>
      <c r="C1866" s="1">
        <f>hyperlink("https://hetutrechtsarchief.nl/collectie/3DDDBB0E01715526A1C59B7B2598402A","Beelden van en opgraving T J Hoekstra 133 ill 1980")</f>
        <v>0</v>
      </c>
      <c r="D1866" s="1">
        <f>hyperlink("http://dspace.library.uu.nl/handle/1874/215133","Breukelen in een encyclopedie uit 1725 J Burggraaf 41-48 1988")</f>
        <v>0</v>
      </c>
    </row>
    <row r="1867" spans="2:4">
      <c r="B1867">
        <v>60</v>
      </c>
      <c r="C1867" s="1">
        <f>hyperlink("https://hetutrechtsarchief.nl/collectie/174D34B93417543AB44F5082E81BCD52","De geschiedenis van deken Roes 10 - 11 1982")</f>
        <v>0</v>
      </c>
      <c r="D1867" s="1">
        <f>hyperlink("http://dspace.library.uu.nl/handle/1874/215134","De geschiedenis herhaalt zich H van Walderveen 78 1988")</f>
        <v>0</v>
      </c>
    </row>
    <row r="1868" spans="2:4">
      <c r="B1868">
        <v>55</v>
      </c>
      <c r="C1868" s="1">
        <f>hyperlink("https://hetutrechtsarchief.nl/collectie/DE52CE1DBF6F5E8FA006E393F0C37DCD","Alarm in de Venen 1588 D Philips 128-132 1959")</f>
        <v>0</v>
      </c>
      <c r="D1868" s="1">
        <f>hyperlink("http://dspace.library.uu.nl/handle/1874/215190","Geharrewar rond de Danne in 1888 B Barelds 98-106 1988")</f>
        <v>0</v>
      </c>
    </row>
    <row r="1869" spans="2:4">
      <c r="B1869">
        <v>59</v>
      </c>
      <c r="C1869" s="1">
        <f>hyperlink("https://hetutrechtsarchief.nl/collectie/38A433132C5D5808BF1CF43AC44724A7","Romeinse Rijk vreesde vrije Germanen Arie A Manten 144-146 1999")</f>
        <v>0</v>
      </c>
      <c r="D1869" s="1">
        <f>hyperlink("http://dspace.library.uu.nl/handle/1874/215191","Aart Dros mocht geen tapperij beginnen Arie A Manten 114-118 1988")</f>
        <v>0</v>
      </c>
    </row>
    <row r="1870" spans="2:4">
      <c r="B1870">
        <v>57</v>
      </c>
      <c r="C1870" s="1">
        <f>hyperlink("https://hetutrechtsarchief.nl/collectie/312756F67F05504E99A6BC49E34540B2","Opkomst bloei en neergang van molens in de omgeving van Breukelen Arie A Manten 66-81 ill 1998")</f>
        <v>0</v>
      </c>
      <c r="D1870" s="1">
        <f>hyperlink("http://dspace.library.uu.nl/handle/1874/215192","Het Utrechtse gezin van Jan en Cathrijn van Leemput had ook inkomsten uit Breukelen Arie A Manten 81-90 1988")</f>
        <v>0</v>
      </c>
    </row>
    <row r="1871" spans="2:4">
      <c r="B1871">
        <v>63</v>
      </c>
      <c r="C1871" s="1">
        <f>hyperlink("https://hetutrechtsarchief.nl/collectie/BAA412C4BB89554C9B81E0DFB0DBBD55","Bonifatius Velsen en Breukelen Arie A Manten 147-149 1999")</f>
        <v>0</v>
      </c>
      <c r="D1871" s="1">
        <f>hyperlink("http://dspace.library.uu.nl/handle/1874/215193","Ambtseed van de Breukeleveense gerechtsbode Arie A Manten 118 1990")</f>
        <v>0</v>
      </c>
    </row>
    <row r="1872" spans="2:4">
      <c r="B1872">
        <v>64</v>
      </c>
      <c r="C1872" s="1">
        <f>hyperlink("https://hetutrechtsarchief.nl/collectie/A68C889C2B229174E0534701000A2C9E","Flight Lieutenant Chris Maltby Philip Burggraaf 22-23 2020")</f>
        <v>0</v>
      </c>
      <c r="D1872" s="1">
        <f>hyperlink("http://dspace.library.uu.nl/handle/1874/215194","Flight Lieutenant Ch J Maltby en Breukelen 25 maart 1945 Ph J Burggraaf 49-53 1990")</f>
        <v>0</v>
      </c>
    </row>
    <row r="1873" spans="2:4">
      <c r="B1873">
        <v>61</v>
      </c>
      <c r="C1873" s="1">
        <f>hyperlink("https://hetutrechtsarchief.nl/collectie/BD16B618BA755A7FAE9C561AC542A3FE","Geld en geluk de familie van der Muelen in gezinshistorisch perspectief 1600-1800 G Coumans 99-120 ill 1984")</f>
        <v>0</v>
      </c>
      <c r="D1873" s="1">
        <f>hyperlink("http://dspace.library.uu.nl/handle/1874/215195","De nieuwe gemeente Breukelen in historisch perspectief A G W Schapenk 4-13 1989")</f>
        <v>0</v>
      </c>
    </row>
    <row r="1874" spans="2:4">
      <c r="B1874">
        <v>59</v>
      </c>
      <c r="C1874" s="1">
        <f>hyperlink("https://hetutrechtsarchief.nl/collectie/161ECD46699052E698357DD541077CD5","Raadsverkiezingen in de gemeente Breukelen-St Pieters 1875-1899 Arie A Manten 25-31 2001")</f>
        <v>0</v>
      </c>
      <c r="D1874" s="1">
        <f>hyperlink("http://dspace.library.uu.nl/handle/1874/215196","Gemeente Breukelen-St Pieters overleefde herindelingsplannen van 1849-1857 Arie A Manten 23-25 1989")</f>
        <v>0</v>
      </c>
    </row>
    <row r="1875" spans="2:4">
      <c r="B1875">
        <v>67</v>
      </c>
      <c r="C1875" s="1">
        <f>hyperlink("https://hetutrechtsarchief.nl/collectie/9C4DA0FFFF1E50529E7DFB306C66B2A8","Streektaal uit Breukelen en omgeving Arie A Manten 106-111 1999")</f>
        <v>0</v>
      </c>
      <c r="D1875" s="1">
        <f>hyperlink("http://dspace.library.uu.nl/handle/1874/215197","De begraafplaats in Breukeleveen Arie A Manten 31-37 1989")</f>
        <v>0</v>
      </c>
    </row>
    <row r="1876" spans="2:4">
      <c r="B1876">
        <v>58</v>
      </c>
      <c r="C1876" s="1">
        <f>hyperlink("https://hetutrechtsarchief.nl/collectie/BF893904B2965ADF948487DF8738144F","De glorietijd van het Rooie Dorp van Breukelen Arie A Manten 198-210 2004")</f>
        <v>0</v>
      </c>
      <c r="D1876" s="1">
        <f>hyperlink("http://dspace.library.uu.nl/handle/1874/215198","Oude bedrijvigheid aan de Vecht ter hoogte van Breukelen Hessel T van Minnen 38-44 1989")</f>
        <v>0</v>
      </c>
    </row>
    <row r="1877" spans="2:4">
      <c r="B1877">
        <v>70</v>
      </c>
      <c r="C1877" s="1">
        <f>hyperlink("https://hetutrechtsarchief.nl/collectie/BAA412C4BB89554C9B81E0DFB0DBBD55","Bonifatius Velsen en Breukelen Arie A Manten 147-149 1999")</f>
        <v>0</v>
      </c>
      <c r="D1877" s="1">
        <f>hyperlink("http://dspace.library.uu.nl/handle/1874/215199","In t Noorteynde van Breuckelen Arie A Manten 45-51 1989")</f>
        <v>0</v>
      </c>
    </row>
    <row r="1878" spans="2:4">
      <c r="B1878">
        <v>67</v>
      </c>
      <c r="C1878" s="1">
        <f>hyperlink("https://hetutrechtsarchief.nl/collectie/A2A84701916A5F8E81C2F9C81835A35C","De kelders onder de boerderij Veldzicht in Oud Aa te Breukelen Arie A Manten 209-215 2001")</f>
        <v>0</v>
      </c>
      <c r="D1878" s="1">
        <f>hyperlink("http://dspace.library.uu.nl/handle/1874/215200","Oude kasteelboerderijen in Breukelen Arie A Manten 52-62 1989")</f>
        <v>0</v>
      </c>
    </row>
    <row r="1879" spans="2:4">
      <c r="B1879">
        <v>59</v>
      </c>
      <c r="C1879" s="1">
        <f>hyperlink("https://hetutrechtsarchief.nl/collectie/43E3DC8DF34657D89374BCBA2D8FA97D","Telefoonlijst van Breukelen uit 1939 H van Walderveen 63-66 1999")</f>
        <v>0</v>
      </c>
      <c r="D1879" s="1">
        <f>hyperlink("http://dspace.library.uu.nl/handle/1874/215201","De vernietiging van Breukelen in rampjaar 1672-73 Jan Slingerland 63-67 1989")</f>
        <v>0</v>
      </c>
    </row>
    <row r="1880" spans="2:4">
      <c r="B1880">
        <v>60</v>
      </c>
      <c r="C1880" s="1">
        <f>hyperlink("https://hetutrechtsarchief.nl/collectie/3994593D5FC751B3923C0DCD17CB7859","De plek het Tinus de Witplantsoen te Breukelen H J van Es 129 ill 1997")</f>
        <v>0</v>
      </c>
      <c r="D1880" s="1">
        <f>hyperlink("http://dspace.library.uu.nl/handle/1874/215202","Het Posthuis van 1884 te Breukelen H J van Es 68-79 nr 2 p 120-131 1989")</f>
        <v>0</v>
      </c>
    </row>
    <row r="1881" spans="2:4">
      <c r="B1881">
        <v>67</v>
      </c>
      <c r="C1881" s="1">
        <f>hyperlink("https://hetutrechtsarchief.nl/collectie/4CF6DB080E8253208983DD84422C9716","De tekenschool te Breukelen in 1908-1910 Huub A Manten-Werker 197-199 2001")</f>
        <v>0</v>
      </c>
      <c r="D1881" s="1">
        <f>hyperlink("http://dspace.library.uu.nl/handle/1874/215203","Gemeenteverslagen van Breukelen over 1851 Huub A Manten-Werker 85-94 1989")</f>
        <v>0</v>
      </c>
    </row>
    <row r="1882" spans="2:4">
      <c r="B1882">
        <v>51</v>
      </c>
      <c r="C1882" s="1">
        <f>hyperlink("https://hetutrechtsarchief.nl/collectie/6E23F7FB1F9A5024A42B390308CE47A6","Verkeerswegen over en langs de Vecht A van Hulzen 97-103 ill 1986")</f>
        <v>0</v>
      </c>
      <c r="D1882" s="1">
        <f>hyperlink("http://dspace.library.uu.nl/handle/1874/215204","Lukas Rotgans 1653-1710 dichter op Cromwijck aan de Vecht W P Halleen 97-106 1989")</f>
        <v>0</v>
      </c>
    </row>
    <row r="1883" spans="2:4">
      <c r="B1883">
        <v>71</v>
      </c>
      <c r="C1883" s="1">
        <f>hyperlink("https://hetutrechtsarchief.nl/collectie/BAA412C4BB89554C9B81E0DFB0DBBD55","Bonifatius Velsen en Breukelen Arie A Manten 147-149 1999")</f>
        <v>0</v>
      </c>
      <c r="D1883" s="1">
        <f>hyperlink("http://dspace.library.uu.nl/handle/1874/215205","De veerschipper van Breukeleveen Arie A Manten 107-114 1989")</f>
        <v>0</v>
      </c>
    </row>
    <row r="1884" spans="2:4">
      <c r="B1884">
        <v>60</v>
      </c>
      <c r="C1884" s="1">
        <f>hyperlink("https://hetutrechtsarchief.nl/collectie/2D5ABAA5D2B1555BB97DC5D53875962A","Comit De Gemeente-Diacones te Breukelen H van Walderveen 215-224 ill 1998")</f>
        <v>0</v>
      </c>
      <c r="D1884" s="1">
        <f>hyperlink("http://dspace.library.uu.nl/handle/1874/215206","Een verordening uit 1605 betreffende de Vechtbrug van Breukelen H van Walderveen 115-119 1989")</f>
        <v>0</v>
      </c>
    </row>
    <row r="1885" spans="2:4">
      <c r="B1885">
        <v>62</v>
      </c>
      <c r="C1885" s="1">
        <f>hyperlink("https://hetutrechtsarchief.nl/collectie/AA33BC73155655F2A4A968CB46DA1E25","Een Middeleeuwse oorkonde uit 1401 Arie A Manten 16-20 2008")</f>
        <v>0</v>
      </c>
      <c r="D1885" s="1">
        <f>hyperlink("http://dspace.library.uu.nl/handle/1874/215207","De middeleeuwse scheepvaartroute via de Aa Arie A Manten 137-148 1989")</f>
        <v>0</v>
      </c>
    </row>
    <row r="1886" spans="2:4">
      <c r="B1886">
        <v>51</v>
      </c>
      <c r="C1886" s="1">
        <f>hyperlink("https://hetutrechtsarchief.nl/collectie/F50695D673E3599293A682A8A781F481","De verhoefslaging van de rivier de Aa B Barelds 54-55 2002")</f>
        <v>0</v>
      </c>
      <c r="D1886" s="1">
        <f>hyperlink("http://dspace.library.uu.nl/handle/1874/215208","Timmer- en aannemersbedrijf Hulsman sinds 1841 in Nieuwer Ter Aa B Barelds 152-158 1989")</f>
        <v>0</v>
      </c>
    </row>
    <row r="1887" spans="2:4">
      <c r="B1887">
        <v>70</v>
      </c>
      <c r="C1887" s="1">
        <f>hyperlink("https://hetutrechtsarchief.nl/collectie/312756F67F05504E99A6BC49E34540B2","Opkomst bloei en neergang van molens in de omgeving van Breukelen Arie A Manten 66-81 ill 1998")</f>
        <v>0</v>
      </c>
      <c r="D1887" s="1">
        <f>hyperlink("http://dspace.library.uu.nl/handle/1874/215209","Opkomst bloei en neergang van het kaasmaken op de boerderij Arie A Manten 159-169 1989")</f>
        <v>0</v>
      </c>
    </row>
    <row r="1888" spans="2:4">
      <c r="B1888">
        <v>51</v>
      </c>
      <c r="C1888" s="1">
        <f>hyperlink("https://hetutrechtsarchief.nl/collectie/7BD34A1709CE5F6BB809684A5540E145","De bestuurlijke elite van Zeist van 1813 tot 1851 R P M Rhoen 88-96 2010")</f>
        <v>0</v>
      </c>
      <c r="D1888" s="1">
        <f>hyperlink("http://dspace.library.uu.nl/handle/1874/215210","De Kaasmarkt in Breukelen H J van Es 177-187 jg 5 1990 nr 1 p 15-27 nr 3 p 88-96 1989-1990")</f>
        <v>0</v>
      </c>
    </row>
    <row r="1889" spans="2:4">
      <c r="B1889">
        <v>67</v>
      </c>
      <c r="C1889" s="1">
        <f>hyperlink("https://hetutrechtsarchief.nl/collectie/BAA412C4BB89554C9B81E0DFB0DBBD55","Bonifatius Velsen en Breukelen Arie A Manten 147-149 1999")</f>
        <v>0</v>
      </c>
      <c r="D1889" s="1">
        <f>hyperlink("http://dspace.library.uu.nl/handle/1874/215211","De nacht- of klepwacht van Breukeleveen Arie A Manten 188-192 1989")</f>
        <v>0</v>
      </c>
    </row>
    <row r="1890" spans="2:4">
      <c r="B1890">
        <v>56</v>
      </c>
      <c r="C1890" s="1">
        <f>hyperlink("https://hetutrechtsarchief.nl/collectie/BAA4C7030B935970A9E9A4F822DDE8E1","Breukelen en de po zie Arie A Manten 153-161 2002")</f>
        <v>0</v>
      </c>
      <c r="D1890" s="1">
        <f>hyperlink("http://dspace.library.uu.nl/handle/1874/215212","Breukelen en de Waterlinie in 1672 1673 Jan Slingerland 193-200 1989")</f>
        <v>0</v>
      </c>
    </row>
    <row r="1891" spans="2:4">
      <c r="B1891">
        <v>56</v>
      </c>
      <c r="C1891" s="1">
        <f>hyperlink("https://hetutrechtsarchief.nl/collectie/C66894C7C81651E199226BF821E50B33","De theorie n over de rivierlopen in de stad Utrecht L A van der Tuuk 36-44 krt 1996")</f>
        <v>0</v>
      </c>
      <c r="D1891" s="1">
        <f>hyperlink("http://dspace.library.uu.nl/handle/1874/215213","De totstandkoming van de drinkwatervoorziening in Noord-West Utrecht Jaap G Bokma 4-14 1990")</f>
        <v>0</v>
      </c>
    </row>
    <row r="1892" spans="2:4">
      <c r="B1892">
        <v>66</v>
      </c>
      <c r="C1892" s="1">
        <f>hyperlink("https://hetutrechtsarchief.nl/collectie/98706A74789954B99D11233A6534F16B","Over Laat-Middeleeuwse nonnen en begijnen Arie A Manten 17-26 2007")</f>
        <v>0</v>
      </c>
      <c r="D1892" s="1">
        <f>hyperlink("http://dspace.library.uu.nl/handle/1874/215214","Middeleeuwse molen aan de Danne Arie A Manten 28-37 1990")</f>
        <v>0</v>
      </c>
    </row>
    <row r="1893" spans="2:4">
      <c r="B1893">
        <v>72</v>
      </c>
      <c r="C1893" s="1">
        <f>hyperlink("https://hetutrechtsarchief.nl/collectie/D5C7E3114B84DB66E0538F04000A2F9F","t Gebeurde in de Tweede Wereldoorlog Door Gijs van den Brink 19-21 2021")</f>
        <v>0</v>
      </c>
      <c r="D1893" s="1">
        <f>hyperlink("http://dspace.library.uu.nl/handle/1874/215215","Breukelen in de Tweede Wereldoorlog J A van den Berg 41-48 1990")</f>
        <v>0</v>
      </c>
    </row>
    <row r="1894" spans="2:4">
      <c r="B1894">
        <v>64</v>
      </c>
      <c r="C1894" s="1">
        <f>hyperlink("https://hetutrechtsarchief.nl/collectie/B67DFF7C23575406A8CE6C646526C78F","Bunschoter verzet tijdens de Tweede Wereldoorlog Derk de Graaf 6-16 2017")</f>
        <v>0</v>
      </c>
      <c r="D1894" s="1">
        <f>hyperlink("http://dspace.library.uu.nl/handle/1874/215216","Groep Albrecht in de Vechtstreek tijdens de Tweede Wereldoorlog W Smits 54-61 1990")</f>
        <v>0</v>
      </c>
    </row>
    <row r="1895" spans="2:4">
      <c r="B1895">
        <v>66</v>
      </c>
      <c r="C1895" s="1">
        <f>hyperlink("https://hetutrechtsarchief.nl/collectie/8AED7513981D5E69B7FC13256709EF62","Klokkenspel Kees van den Berg 6-9 1985")</f>
        <v>0</v>
      </c>
      <c r="D1895" s="1">
        <f>hyperlink("http://dspace.library.uu.nl/handle/1874/215217","Kockengen in verzet J A van den Berg 62-65 1990")</f>
        <v>0</v>
      </c>
    </row>
    <row r="1896" spans="2:4">
      <c r="B1896">
        <v>53</v>
      </c>
      <c r="C1896" s="1">
        <f>hyperlink("https://hetutrechtsarchief.nl/collectie/5EBCBFC2AF62519EBEDE556DC2E02BE9","De hoofdpoort van de ridderhofstad Gunterstein te Breukelen H J van Es 6-20 2008")</f>
        <v>0</v>
      </c>
      <c r="D1896" s="1">
        <f>hyperlink("http://dspace.library.uu.nl/handle/1874/215218","De landbouwschool de oudste vorm van vervolg-dagonderwijs in Breukelen L F de Weys 81-87 1990")</f>
        <v>0</v>
      </c>
    </row>
    <row r="1897" spans="2:4">
      <c r="B1897">
        <v>64</v>
      </c>
      <c r="C1897" s="1">
        <f>hyperlink("https://hetutrechtsarchief.nl/collectie/14A96C0765365398A1D77761BDB3F05D","De Vechtstreek in het midden van de 17de eeuw Arie A Manten 76-82 2009")</f>
        <v>0</v>
      </c>
      <c r="D1897" s="1">
        <f>hyperlink("http://dspace.library.uu.nl/handle/1874/215219","De directe omgeving van Nijenrode in de 16de en 17de eeuw Arie A Manten 97-106 1990")</f>
        <v>0</v>
      </c>
    </row>
    <row r="1898" spans="2:4">
      <c r="B1898">
        <v>55</v>
      </c>
      <c r="C1898" s="1">
        <f>hyperlink("https://hetutrechtsarchief.nl/collectie/82937AC264825E0AA195F19EA82BDB6B","Een duik in de archieven met de hoed in de hand J van der Meulen 134 1979")</f>
        <v>0</v>
      </c>
      <c r="D1898" s="1">
        <f>hyperlink("http://dspace.library.uu.nl/handle/1874/215220","Type en plaats van de korenmolen die nabij Nijenrode stond Jan den Besten 107-112 1990")</f>
        <v>0</v>
      </c>
    </row>
    <row r="1899" spans="2:4">
      <c r="B1899">
        <v>66</v>
      </c>
      <c r="C1899" s="1">
        <f>hyperlink("https://hetutrechtsarchief.nl/collectie/4CF6DB080E8253208983DD84422C9716","De tekenschool te Breukelen in 1908-1910 Huub A Manten-Werker 197-199 2001")</f>
        <v>0</v>
      </c>
      <c r="D1899" s="1">
        <f>hyperlink("http://dspace.library.uu.nl/handle/1874/215221","Omstreden schoolmeester in Ter Aa 1844 Huub A Manten-Werker 113-117 1990")</f>
        <v>0</v>
      </c>
    </row>
    <row r="1900" spans="2:4">
      <c r="B1900">
        <v>58</v>
      </c>
      <c r="C1900" s="1">
        <f>hyperlink("https://hetutrechtsarchief.nl/collectie/DAB0B0D4E90F5820BC66ECD541316E65","De oostzijde van de Mariastraat M G Brits-Oversteegen 1-36 ill plgr tek 1998")</f>
        <v>0</v>
      </c>
      <c r="D1900" s="1">
        <f>hyperlink("http://dspace.library.uu.nl/handle/1874/215222","De oostzijde van de Klapstraat Herenstraat omstreeks 1540 en in 1474 Arie A Manten 121-136 1990")</f>
        <v>0</v>
      </c>
    </row>
    <row r="1901" spans="2:4">
      <c r="B1901">
        <v>67</v>
      </c>
      <c r="C1901" s="1">
        <f>hyperlink("https://hetutrechtsarchief.nl/collectie/7C20DFE8209E5A46B66463F4E6ECC539","Tweeduizend jaar op en aan de Vecht Arie A Manten 198-225 1999")</f>
        <v>0</v>
      </c>
      <c r="D1901" s="1">
        <f>hyperlink("http://dspace.library.uu.nl/handle/1874/215223","Oudste landgoed bij Breukelen aan de Vecht Arie A Manten 137-149 1990")</f>
        <v>0</v>
      </c>
    </row>
    <row r="1902" spans="2:4">
      <c r="B1902">
        <v>67</v>
      </c>
      <c r="C1902" s="1">
        <f>hyperlink("https://hetutrechtsarchief.nl/collectie/A19974514A9E5725AEDE5E2CA46B4D8B","Het klooster Bethlehem of Bielhem bij Doetinchem 1-53 1854")</f>
        <v>0</v>
      </c>
      <c r="D1902" s="1">
        <f>hyperlink("http://dspace.library.uu.nl/handle/1874/215224","Het klooster Bethlehem te Breukelen H J van Es 150-163 1990")</f>
        <v>0</v>
      </c>
    </row>
    <row r="1903" spans="2:4">
      <c r="B1903">
        <v>63</v>
      </c>
      <c r="C1903" s="1">
        <f>hyperlink("https://hetutrechtsarchief.nl/collectie/9C4DA0FFFF1E50529E7DFB306C66B2A8","Streektaal uit Breukelen en omgeving Arie A Manten 106-111 1999")</f>
        <v>0</v>
      </c>
      <c r="D1903" s="1">
        <f>hyperlink("http://dspace.library.uu.nl/handle/1874/215225","Kasteel Ruwiel en het geslacht Van Ruele Arie A Manten 174-187 1991")</f>
        <v>0</v>
      </c>
    </row>
    <row r="1904" spans="2:4">
      <c r="B1904">
        <v>63</v>
      </c>
      <c r="C1904" s="1">
        <f>hyperlink("https://hetutrechtsarchief.nl/collectie/BAA412C4BB89554C9B81E0DFB0DBBD55","Bonifatius Velsen en Breukelen Arie A Manten 147-149 1999")</f>
        <v>0</v>
      </c>
      <c r="D1904" s="1">
        <f>hyperlink("http://dspace.library.uu.nl/handle/1874/215226","De laatste eeuw van kasteel Ruwiel Arie A Manten 188-199 1991")</f>
        <v>0</v>
      </c>
    </row>
    <row r="1905" spans="2:4">
      <c r="B1905">
        <v>65</v>
      </c>
      <c r="C1905" s="1">
        <f>hyperlink("https://hetutrechtsarchief.nl/collectie/1EF0C9FD44A75D6C8A15190D2C0729F3","Sterfte en ruimen van vee in Kockengen 1816-1817 Arie A Manten 58-60 2003")</f>
        <v>0</v>
      </c>
      <c r="D1905" s="1">
        <f>hyperlink("http://dspace.library.uu.nl/handle/1874/215228","Grote brand in Kockengen in 1812 Arie A Manten 207-219 1991")</f>
        <v>0</v>
      </c>
    </row>
    <row r="1906" spans="2:4">
      <c r="B1906">
        <v>70</v>
      </c>
      <c r="C1906" s="1">
        <f>hyperlink("https://hetutrechtsarchief.nl/collectie/43E3DC8DF34657D89374BCBA2D8FA97D","Telefoonlijst van Breukelen uit 1939 H van Walderveen 63-66 1999")</f>
        <v>0</v>
      </c>
      <c r="D1906" s="1">
        <f>hyperlink("http://dspace.library.uu.nl/handle/1874/215229","Voetballen in Breukelen 1913-1924 H van Walderveen 28-33 1991")</f>
        <v>0</v>
      </c>
    </row>
    <row r="1907" spans="2:4">
      <c r="B1907">
        <v>58</v>
      </c>
      <c r="C1907" s="1">
        <f>hyperlink("https://hetutrechtsarchief.nl/collectie/63CEE14336E352998F1C57F9E24AE281","Proloog en start van de Historische Kring Breukelen Arie A Manten 40-44 2011")</f>
        <v>0</v>
      </c>
      <c r="D1907" s="1">
        <f>hyperlink("http://dspace.library.uu.nl/handle/1874/215230","De kosten door Pruisische troepen in 1787 in Breukeleveen veroorzaakt Arie A Manten 34-35 1991")</f>
        <v>0</v>
      </c>
    </row>
    <row r="1908" spans="2:4">
      <c r="B1908">
        <v>58</v>
      </c>
      <c r="C1908" s="1">
        <f>hyperlink("https://hetutrechtsarchief.nl/collectie/D2522DA1B2305C6ABBC0299E99907A3C","Het Genootschap voor Landbouw en Kruidkunde in Utrecht 1841-1916 XVI -XIX 1917")</f>
        <v>0</v>
      </c>
      <c r="D1908" s="1">
        <f>hyperlink("http://dspace.library.uu.nl/handle/1874/215231","De afdeling Breukelen van het Genootschap voor Landbouw en Kruidkunde in de tweede helft van de 19de eeuw H H J Doude van Troostwijk 36-39 1991")</f>
        <v>0</v>
      </c>
    </row>
    <row r="1909" spans="2:4">
      <c r="B1909">
        <v>59</v>
      </c>
      <c r="C1909" s="1">
        <f>hyperlink("https://hetutrechtsarchief.nl/collectie/96551C393F895B6AB5D9D8527CDB8294","De Poel en Het State Wapen te Breukelen van de Middeleeuwen tot omstreeks 1810 Henk J van Es 216-228 2001")</f>
        <v>0</v>
      </c>
      <c r="D1909" s="1">
        <f>hyperlink("http://dspace.library.uu.nl/handle/1874/215233","De korenmolen van Breukelen in de 17de tot 19de eeuw H J van Es 68-80 1991")</f>
        <v>0</v>
      </c>
    </row>
    <row r="1910" spans="2:4">
      <c r="B1910">
        <v>66</v>
      </c>
      <c r="C1910" s="1">
        <f>hyperlink("https://hetutrechtsarchief.nl/collectie/43E3DC8DF34657D89374BCBA2D8FA97D","Telefoonlijst van Breukelen uit 1939 H van Walderveen 63-66 1999")</f>
        <v>0</v>
      </c>
      <c r="D1910" s="1">
        <f>hyperlink("http://dspace.library.uu.nl/handle/1874/215234","Gemeentelijk ziekenhuis in Breukelen-Nijenrode 1873-1923 H van Walderveen 83-90 1991")</f>
        <v>0</v>
      </c>
    </row>
    <row r="1911" spans="2:4">
      <c r="B1911">
        <v>53</v>
      </c>
      <c r="C1911" s="1">
        <f>hyperlink("https://hetutrechtsarchief.nl/collectie/EDEFDC11B1FD5F8F97702346A3EFC26C","De Utrechtse familie Pelt E J Wolleswinkel 24-41 1991")</f>
        <v>0</v>
      </c>
      <c r="D1911" s="1">
        <f>hyperlink("http://dspace.library.uu.nl/handle/1874/215235","De hulpmarechaussee K J Onderweegs 91-98 1991")</f>
        <v>0</v>
      </c>
    </row>
    <row r="1912" spans="2:4">
      <c r="B1912">
        <v>61</v>
      </c>
      <c r="C1912" s="1">
        <f>hyperlink("https://hetutrechtsarchief.nl/collectie/38A433132C5D5808BF1CF43AC44724A7","Romeinse Rijk vreesde vrije Germanen Arie A Manten 144-146 1999")</f>
        <v>0</v>
      </c>
      <c r="D1912" s="1">
        <f>hyperlink("http://dspace.library.uu.nl/handle/1874/215237","Dienstplicht bij de Portengse brandweer Arie A Manten 99-100 1991")</f>
        <v>0</v>
      </c>
    </row>
    <row r="1913" spans="2:4">
      <c r="B1913">
        <v>52</v>
      </c>
      <c r="C1913" s="1">
        <f>hyperlink("https://hetutrechtsarchief.nl/collectie/4BB5849AE0C05BB6A4598AC29301689B","Herinneringen aan Vreeland in de mobilisatietijd vanaf augustus 1914 W G van de Hulst 21-28 2011")</f>
        <v>0</v>
      </c>
      <c r="D1913" s="1">
        <f>hyperlink("http://dspace.library.uu.nl/handle/1874/215238","Wegbewakingsdienst Breukelen-Nijenrode dinsdag woensdag 26 27 september 1944 W M van der Horst 108-110 1991")</f>
        <v>0</v>
      </c>
    </row>
    <row r="1914" spans="2:4">
      <c r="B1914">
        <v>54</v>
      </c>
      <c r="C1914" s="1">
        <f>hyperlink("https://hetutrechtsarchief.nl/collectie/1BB41F2970DB53DE9D97C346E1232548","De boerderij-herberg Galgerwaard 1 Henk J van Es 4-12 ill krt 1999")</f>
        <v>0</v>
      </c>
      <c r="D1914" s="1">
        <f>hyperlink("http://dspace.library.uu.nl/handle/1874/215239","De Oude Batterij op boerderij Cromwijk Henk J van Es 113-126 jg 7 1992 nr 1 p 61-63 1991-1992")</f>
        <v>0</v>
      </c>
    </row>
    <row r="1915" spans="2:4">
      <c r="B1915">
        <v>60</v>
      </c>
      <c r="C1915" s="1">
        <f>hyperlink("https://hetutrechtsarchief.nl/collectie/BAA412C4BB89554C9B81E0DFB0DBBD55","Bonifatius Velsen en Breukelen Arie A Manten 147-149 1999")</f>
        <v>0</v>
      </c>
      <c r="D1915" s="1">
        <f>hyperlink("http://dspace.library.uu.nl/handle/1874/215240","De nacht- of klepwacht van Kockengen Arie A Manten 127-132 1991")</f>
        <v>0</v>
      </c>
    </row>
    <row r="1916" spans="2:4">
      <c r="B1916">
        <v>57</v>
      </c>
      <c r="C1916" s="1">
        <f>hyperlink("https://hetutrechtsarchief.nl/collectie/3F3BBF5D70925428A1DDE6E2CEF9A2F5","Het geslacht Schuurman M G Wildeman en D G van Epen 145 -168 193 -200 241 -253 1914")</f>
        <v>0</v>
      </c>
      <c r="D1916" s="1">
        <f>hyperlink("http://dspace.library.uu.nl/handle/1874/215241","Het geslacht Van Mijnden en kasteel Ruwiel Arie A Manten 4-14 nr 2 p 41-53 54-67 nr 3 p 140-155 1991")</f>
        <v>0</v>
      </c>
    </row>
    <row r="1917" spans="2:4">
      <c r="B1917">
        <v>67</v>
      </c>
      <c r="C1917" s="1">
        <f>hyperlink("https://hetutrechtsarchief.nl/collectie/3994593D5FC751B3923C0DCD17CB7859","De plek het Tinus de Witplantsoen te Breukelen H J van Es 129 ill 1997")</f>
        <v>0</v>
      </c>
      <c r="D1917" s="1">
        <f>hyperlink("http://dspace.library.uu.nl/handle/1874/215242","Het huis Guarda te Breukelen H J van Es 15-19 1991")</f>
        <v>0</v>
      </c>
    </row>
    <row r="1918" spans="2:4">
      <c r="B1918">
        <v>63</v>
      </c>
      <c r="C1918" s="1">
        <f>hyperlink("https://hetutrechtsarchief.nl/collectie/14A96C0765365398A1D77761BDB3F05D","De Vechtstreek in het midden van de 17de eeuw Arie A Manten 76-82 2009")</f>
        <v>0</v>
      </c>
      <c r="D1918" s="1">
        <f>hyperlink("http://dspace.library.uu.nl/handle/1874/215243","De Wagendijk te Kockengen in de 18de eeuw Arie A Manten 20-27 1991")</f>
        <v>0</v>
      </c>
    </row>
    <row r="1919" spans="2:4">
      <c r="B1919">
        <v>57</v>
      </c>
      <c r="C1919" s="1">
        <f>hyperlink("https://hetutrechtsarchief.nl/collectie/757F23C7BEAE552EAA6D8E6A80BEE82C","Geschiedvervalsing Jan Slingerland 133-139 ill 1998")</f>
        <v>0</v>
      </c>
      <c r="D1919" s="1">
        <f>hyperlink("http://dspace.library.uu.nl/handle/1874/215244","Oude torenklokken en klokkenrovers J Slingerland 133-139 1991")</f>
        <v>0</v>
      </c>
    </row>
    <row r="1920" spans="2:4">
      <c r="B1920">
        <v>61</v>
      </c>
      <c r="C1920" s="1">
        <f>hyperlink("https://hetutrechtsarchief.nl/collectie/BBB31DBFD6195DCEA1A43A030B5EFA67","De tekenschool te Breukelen-Nijenrode Henk van Walderveen 153-162 2000")</f>
        <v>0</v>
      </c>
      <c r="D1920" s="1">
        <f>hyperlink("http://dspace.library.uu.nl/handle/1874/215245","Verkeersmaatregelen in Breukelen-Nijenrode in de jaren 1920-1925 H van Walderveen 161-165 1991")</f>
        <v>0</v>
      </c>
    </row>
    <row r="1921" spans="2:4">
      <c r="B1921">
        <v>53</v>
      </c>
      <c r="C1921" s="1">
        <f>hyperlink("https://hetutrechtsarchief.nl/collectie/51AE63F41B2954BBB5E2D2E165D06B06","Nakomelingen van Bertus Cornelis Manten geb 1899 Arie A Manten 96-103 2008")</f>
        <v>0</v>
      </c>
      <c r="D1921" s="1">
        <f>hyperlink("http://dspace.library.uu.nl/handle/1874/215246","Benoeming van veearts J J Noest in 1851 uit oude raadsnotulen 4 A A Manten 48 1988")</f>
        <v>0</v>
      </c>
    </row>
    <row r="1922" spans="2:4">
      <c r="B1922">
        <v>52</v>
      </c>
      <c r="C1922" s="1">
        <f>hyperlink("https://hetutrechtsarchief.nl/collectie/DA82695B563751AE8F8DDE964E54FB7B","Installatie van burgemeester Van Holthe tot Echten in Breukelen-St Pieter 1946 uit oude raadsnotulen 29 H A M -W 99-101 2002")</f>
        <v>0</v>
      </c>
      <c r="D1922" s="1">
        <f>hyperlink("http://dspace.library.uu.nl/handle/1874/215247","Ruwielse foxterriers als rattenvangers 1934 uit oude raadsnotulen 5 H A Manten-Werker 163 1990")</f>
        <v>0</v>
      </c>
    </row>
    <row r="1923" spans="2:4">
      <c r="B1923">
        <v>52</v>
      </c>
      <c r="C1923" s="1">
        <f>hyperlink("https://hetutrechtsarchief.nl/collectie/511E4670F3CA5DB4BD24D7524B701E52","Drinkgelagen en dobbelspelen in de Domstad P D t Hart 131-132 1999")</f>
        <v>0</v>
      </c>
      <c r="D1923" s="1">
        <f>hyperlink("http://dspace.library.uu.nl/handle/1874/215248","Dranklokalen bleven in 1905 op Zondag open uit oude raadsnotulen 6 A A Manten 33 1991")</f>
        <v>0</v>
      </c>
    </row>
    <row r="1924" spans="2:4">
      <c r="B1924">
        <v>60</v>
      </c>
      <c r="C1924" s="1">
        <f>hyperlink("https://hetutrechtsarchief.nl/collectie/DA82695B563751AE8F8DDE964E54FB7B","Installatie van burgemeester Van Holthe tot Echten in Breukelen-St Pieter 1946 uit oude raadsnotulen 29 H A M -W 99-101 2002")</f>
        <v>0</v>
      </c>
      <c r="D1924" s="1">
        <f>hyperlink("http://dspace.library.uu.nl/handle/1874/215249","Bouw van een nieuw tolhuis in Breukeleveen 1779 uit oude raadsnotulen 7 A A Manten 225 1991")</f>
        <v>0</v>
      </c>
    </row>
    <row r="1925" spans="2:4">
      <c r="B1925">
        <v>56</v>
      </c>
      <c r="C1925" s="1">
        <f>hyperlink("https://hetutrechtsarchief.nl/collectie/CB3EB7298DB758CCA7A13D1028201B3A","Gein en wee in het oude Wijk C Jan van der Molen 11-13 1986")</f>
        <v>0</v>
      </c>
      <c r="D1925" s="1">
        <f>hyperlink("http://dspace.library.uu.nl/handle/1874/215251","Zoeken naar Breukelen in het Franse legerarchief Jan Slingerland 111-113 1988")</f>
        <v>0</v>
      </c>
    </row>
    <row r="1926" spans="2:4">
      <c r="B1926">
        <v>55</v>
      </c>
      <c r="C1926" s="1">
        <f>hyperlink("https://hetutrechtsarchief.nl/collectie/4D5FE92E197059E885BC2A9866ED7FA9","Het graf van den H Hungerus J H Hofman 213-315 1894")</f>
        <v>0</v>
      </c>
      <c r="D1926" s="1">
        <f>hyperlink("http://dspace.library.uu.nl/handle/1874/215252","Het luilekkerland van Kockengen M E M Kuulkers-Jungman 14-18 1989")</f>
        <v>0</v>
      </c>
    </row>
    <row r="1927" spans="2:4">
      <c r="B1927">
        <v>52</v>
      </c>
      <c r="C1927" s="1">
        <f>hyperlink("https://hetutrechtsarchief.nl/collectie/49CF4971CE3E5EF499F9741DBB4EED06","Rioolwaterzuivering en centrale riolering redactie H de Winter en J W Puttenstein 2-5 1948")</f>
        <v>0</v>
      </c>
      <c r="D1927" s="1">
        <f>hyperlink("http://dspace.library.uu.nl/handle/1874/215253","Over heiligelanders looddieven en kerktorens historie Dat is gisteren 7 Jan Rutges 19-22 1989")</f>
        <v>0</v>
      </c>
    </row>
    <row r="1928" spans="2:4">
      <c r="B1928">
        <v>59</v>
      </c>
      <c r="C1928" s="1">
        <f>hyperlink("https://hetutrechtsarchief.nl/collectie/AE3516FFF14359638A7C2A6C61FD51C5","Een tragisch ongeval en een gedicht O Dekkers 88-92 ill 1999")</f>
        <v>0</v>
      </c>
      <c r="D1928" s="1">
        <f>hyperlink("http://dspace.library.uu.nl/handle/1874/215254","Tragisch ongeval op de plas 70 jaar geleden P Bakker 26-30 1989")</f>
        <v>0</v>
      </c>
    </row>
    <row r="1929" spans="2:4">
      <c r="B1929">
        <v>56</v>
      </c>
      <c r="C1929" s="1">
        <f>hyperlink("https://hetutrechtsarchief.nl/collectie/26EB37C4A11D5E4E9B3F586673C28155","Legende en historie van den Domtoren J W C van Campen 6-8 1950")</f>
        <v>0</v>
      </c>
      <c r="D1929" s="1">
        <f>hyperlink("http://dspace.library.uu.nl/handle/1874/215255","Gezondheid in Breukelen historie Dat is gisteren 8 Paul van Warmerdam 80-93 1989")</f>
        <v>0</v>
      </c>
    </row>
    <row r="1930" spans="2:4">
      <c r="B1930">
        <v>56</v>
      </c>
      <c r="C1930" s="1">
        <f>hyperlink("https://hetutrechtsarchief.nl/collectie/0FD812526B7A54EDAB64F653859A8EDD","Vergeten voetbalhistorie Soesterberg Jan de Mos 12-18 2014")</f>
        <v>0</v>
      </c>
      <c r="D1930" s="1">
        <f>hyperlink("http://dspace.library.uu.nl/handle/1874/215256","Breukelen waterland historie Dat is gisteren 9 Jan Rutges 132-134 1989")</f>
        <v>0</v>
      </c>
    </row>
    <row r="1931" spans="2:4">
      <c r="B1931">
        <v>59</v>
      </c>
      <c r="C1931" s="1">
        <f>hyperlink("https://hetutrechtsarchief.nl/collectie/9538A9CF69C55F9AB545CE2D0B231090","Een kijk van nu op een kiek van toen 8 Rosanna Del Negro 24-25 2011")</f>
        <v>0</v>
      </c>
      <c r="D1931" s="1">
        <f>hyperlink("http://dspace.library.uu.nl/handle/1874/215257","Een familie van nu in een huis van toen Dannegracht 12-13 Nel Albers-van Os 149-151 1989")</f>
        <v>0</v>
      </c>
    </row>
    <row r="1932" spans="2:4">
      <c r="B1932">
        <v>100</v>
      </c>
      <c r="C1932" s="1">
        <f>hyperlink("https://hetutrechtsarchief.nl/collectie/3FA34E48BE115787877FD5CE64922EED","Een Nederlandse componist uit Amersfoort componist Tristan Keuris 1946-1996 en Amersfoort Henk van Tilburg 6 -25 2011")</f>
        <v>0</v>
      </c>
      <c r="D1932" s="1">
        <f>hyperlink("http://dspace.library.uu.nl/handle/1874/215258","Een Nederlandse componist uit Amersfoort componist Tristan Keuris 1946-1996 en Amersfoort Henk van Tilburg 6-25 2011")</f>
        <v>0</v>
      </c>
    </row>
    <row r="1933" spans="2:4">
      <c r="B1933">
        <v>91</v>
      </c>
      <c r="C1933" s="1">
        <f>hyperlink("https://hetutrechtsarchief.nl/collectie/DB48229D47FC54EEA0C8BFEDF1F12E94","Hilhorst te Stoutenburg Jos G M Hilhorst 26 -41 2011")</f>
        <v>0</v>
      </c>
      <c r="D1933" s="1">
        <f>hyperlink("http://dspace.library.uu.nl/handle/1874/215259","Het goed Hilhorst te Stoutenburg Jos G M Hilhorst 26-41 2011")</f>
        <v>0</v>
      </c>
    </row>
    <row r="1934" spans="2:4">
      <c r="B1934">
        <v>100</v>
      </c>
      <c r="C1934" s="1">
        <f>hyperlink("https://hetutrechtsarchief.nl/collectie/73C74191AB175D88A2FC806CF3E5D537","De beste reclame voor de deugdelijkheid van ons fabrikaat sociaal-economische geschiedenis van de wielersport 1885-1900 Addy Schuurman 42 -75 2011")</f>
        <v>0</v>
      </c>
      <c r="D1934" s="1">
        <f>hyperlink("http://dspace.library.uu.nl/handle/1874/215260","De beste reclame voor de deugdelijkheid van ons fabrikaat Sociaal-economische geschiedenis van de wielersport 1885 1900 Addy Schuurman 42-75 2011")</f>
        <v>0</v>
      </c>
    </row>
    <row r="1935" spans="2:4">
      <c r="B1935">
        <v>58</v>
      </c>
      <c r="C1935" s="1">
        <f>hyperlink("https://hetutrechtsarchief.nl/collectie/DA5EF26AECCA5C3E99C7245BE702BB7F","Maarssen in beelden deel 2 Astrid Kuiper 14-17 2016")</f>
        <v>0</v>
      </c>
      <c r="D1935" s="1">
        <f>hyperlink("http://dspace.library.uu.nl/handle/1874/215261","Aardgas in Breukeleveen P Bakker 170-173 1989")</f>
        <v>0</v>
      </c>
    </row>
    <row r="1936" spans="2:4">
      <c r="B1936">
        <v>55</v>
      </c>
      <c r="C1936" s="1">
        <f>hyperlink("https://hetutrechtsarchief.nl/collectie/0B22C36AF28B51B9A6400B60188E7C8A","Heda gestorven in 1522 J H Hofman 280-281 1896")</f>
        <v>0</v>
      </c>
      <c r="D1936" s="1">
        <f>hyperlink("http://dspace.library.uu.nl/handle/1874/215262","Hagelslag in 1891 H Polderman 174-175 1989")</f>
        <v>0</v>
      </c>
    </row>
    <row r="1937" spans="2:4">
      <c r="B1937">
        <v>100</v>
      </c>
      <c r="C1937" s="1">
        <f>hyperlink("https://hetutrechtsarchief.nl/collectie/64BA4D6DEF3155CC82954244EFF2D20E","Joannes Tollius Amersfoort ca 1550-Amersfoort 1628 29 een kei van een componist Simon Groot 76 -97 2011")</f>
        <v>0</v>
      </c>
      <c r="D1937" s="1">
        <f>hyperlink("http://dspace.library.uu.nl/handle/1874/215263","Joannes Tollius Amersfoort ca 1550-Amersfoort 1628 29 een kei van een componist Simon Groot 76-97 2011")</f>
        <v>0</v>
      </c>
    </row>
    <row r="1938" spans="2:4">
      <c r="B1938">
        <v>99</v>
      </c>
      <c r="C1938" s="1">
        <f>hyperlink("https://hetutrechtsarchief.nl/collectie/C581258F60C55DF583EFDA246A6E1F98","De Papenhofstede Andr Clazing 98 -113 2011")</f>
        <v>0</v>
      </c>
      <c r="D1938" s="1">
        <f>hyperlink("http://dspace.library.uu.nl/handle/1874/215264","De Papenhofstede Andr Clazing 98-113 2011")</f>
        <v>0</v>
      </c>
    </row>
    <row r="1939" spans="2:4">
      <c r="B1939">
        <v>100</v>
      </c>
      <c r="C1939" s="1">
        <f>hyperlink("https://hetutrechtsarchief.nl/collectie/5D91ACE249C75F40890C4B63F776BC5F","De Kaarte van de Polders der Eemlandtsche Leege Landen etc van Dirk Brekensz van Groenouw de populairste polderkaart van Eemland 1666-1824 Marc Hameleers 114 -127 2011")</f>
        <v>0</v>
      </c>
      <c r="D1939" s="1">
        <f>hyperlink("http://dspace.library.uu.nl/handle/1874/215265","De Kaarte van de Polders der Eemlandtsche Leege Landen etc van Dirk Brekensz van Groenouw de populairste polderkaart van Eemland 1666-1824 Marc Hameleers 114-127 2011")</f>
        <v>0</v>
      </c>
    </row>
    <row r="1940" spans="2:4">
      <c r="B1940">
        <v>62</v>
      </c>
      <c r="C1940" s="1">
        <f>hyperlink("https://hetutrechtsarchief.nl/collectie/D5AA513E8EB15F0F97E5BFD65B9F0915","Jeugd-herinneringen P A J Cocural 14-15 1987")</f>
        <v>0</v>
      </c>
      <c r="D1940" s="1">
        <f>hyperlink("http://dspace.library.uu.nl/handle/1874/215266","Jeugdherinneringen van een oud-Breukelaar W H Boom 201-203 1989")</f>
        <v>0</v>
      </c>
    </row>
    <row r="1941" spans="2:4">
      <c r="B1941">
        <v>99</v>
      </c>
      <c r="C1941" s="1">
        <f>hyperlink("https://hetutrechtsarchief.nl/collectie/10D1200EB59B53D6B91FAB1C8ADD733B","De ontwikkelingsgeschiedenis van begraafplaats Rusthof Saskia Schrijer 128 -139 2011")</f>
        <v>0</v>
      </c>
      <c r="D1941" s="1">
        <f>hyperlink("http://dspace.library.uu.nl/handle/1874/215267","De ontwikkelingsgeschiedenis van begraafplaats Rusthof Saskia Schrijer 128-139 2011")</f>
        <v>0</v>
      </c>
    </row>
    <row r="1942" spans="2:4">
      <c r="B1942">
        <v>56</v>
      </c>
      <c r="C1942" s="1">
        <f>hyperlink("https://hetutrechtsarchief.nl/collectie/91DBB57F26635F1F950C406EE7D18E3C","De buitenplaats Slangevecht in de jaren 1914-1922 Arie A Manten 15-20 2008")</f>
        <v>0</v>
      </c>
      <c r="D1942" s="1">
        <f>hyperlink("http://dspace.library.uu.nl/handle/1874/215268","De hoek Brugstraat - Dannestraat - Danne tussen circa 1440 en 1570 Arie A Manten 204-208 1989")</f>
        <v>0</v>
      </c>
    </row>
    <row r="1943" spans="2:4">
      <c r="B1943">
        <v>60</v>
      </c>
      <c r="C1943" s="1">
        <f>hyperlink("https://hetutrechtsarchief.nl/collectie/A9F0FB8647C25DC6A5C86F22CFFF14A0","De veldslag op het Herderplein 28 mei 1965 Ton van den Berg 10-15 2015")</f>
        <v>0</v>
      </c>
      <c r="D1943" s="1">
        <f>hyperlink("http://dspace.library.uu.nl/handle/1874/215269","De schout op het matje geroepen in 1744 J A van den Berg 81-82 1991")</f>
        <v>0</v>
      </c>
    </row>
    <row r="1944" spans="2:4">
      <c r="B1944">
        <v>57</v>
      </c>
      <c r="C1944" s="1">
        <f>hyperlink("https://hetutrechtsarchief.nl/collectie/1421348450025E74B279D47A6B5DCC5A","De Ronde Venen wie keert de wereld om Wim Bos 101-122 1999")</f>
        <v>0</v>
      </c>
      <c r="D1944" s="1">
        <f>hyperlink("http://dspace.library.uu.nl/handle/1874/215270","Met C A A Dudok de Wit de wereld rond Regina Kluvers 101-107 1991")</f>
        <v>0</v>
      </c>
    </row>
    <row r="1945" spans="2:4">
      <c r="B1945">
        <v>62</v>
      </c>
      <c r="C1945" s="1">
        <f>hyperlink("https://hetutrechtsarchief.nl/collectie/0407F6D668F55689BFCCBA65C06B9E6E","Mant Lambertsz schout van de gerechtsheerlijkheid Breukeleveen in 1385-1400 Arie A Manten 14-22 2004")</f>
        <v>0</v>
      </c>
      <c r="D1945" s="1">
        <f>hyperlink("http://dspace.library.uu.nl/handle/1874/215271","Armen niet gewenst in de gerechtsheerlijkheid Breukelen-Nijenrode J A van den Berg 169-173 1991")</f>
        <v>0</v>
      </c>
    </row>
    <row r="1946" spans="2:4">
      <c r="B1946">
        <v>54</v>
      </c>
      <c r="C1946" s="1">
        <f>hyperlink("https://hetutrechtsarchief.nl/collectie/19B1245F382B5808AB3EBD245E11ADC4","L C Dudok de Wit in de publiciteit Irma Gondrie 13-21 2012")</f>
        <v>0</v>
      </c>
      <c r="D1946" s="1">
        <f>hyperlink("http://dspace.library.uu.nl/handle/1874/215272","Stichting L C Dudok de Wit s Fonds B Barelds 200-206 1991")</f>
        <v>0</v>
      </c>
    </row>
    <row r="1947" spans="2:4">
      <c r="B1947">
        <v>56</v>
      </c>
      <c r="C1947" s="1">
        <f>hyperlink("https://hetutrechtsarchief.nl/collectie/70F106CF1C3E5FD6B05C9437C7AF536E","Opening van de nieuwe kaasmarkt te Breukelen in 1927 Henk van Walderveen 32-34 2006")</f>
        <v>0</v>
      </c>
      <c r="D1947" s="1">
        <f>hyperlink("http://dspace.library.uu.nl/handle/1874/215273","Slechte toestand van de bestrating van een deel van de Herenstraat in 1922 H van Walderveen 220 1991")</f>
        <v>0</v>
      </c>
    </row>
    <row r="1948" spans="2:4">
      <c r="B1948">
        <v>71</v>
      </c>
      <c r="C1948" s="1">
        <f>hyperlink("https://hetutrechtsarchief.nl/collectie/161ECD46699052E698357DD541077CD5","Raadsverkiezingen in de gemeente Breukelen-St Pieters 1875-1899 Arie A Manten 25-31 2001")</f>
        <v>0</v>
      </c>
      <c r="D1948" s="1">
        <f>hyperlink("http://dspace.library.uu.nl/handle/1874/215274","De invoering van hondenbelasting in de gemeente Breukelen-St Pieters Arie A Manten 221-224 1991")</f>
        <v>0</v>
      </c>
    </row>
    <row r="1949" spans="2:4">
      <c r="B1949">
        <v>56</v>
      </c>
      <c r="C1949" s="1">
        <f>hyperlink("https://hetutrechtsarchief.nl/collectie/88C137D9068067D1E0534701000A2229","Amerongen gezien door Henk van Lienden De Tienden Henk van Lienden 8 2019")</f>
        <v>0</v>
      </c>
      <c r="D1949" s="1">
        <f>hyperlink("http://dspace.library.uu.nl/handle/1874/215275","Vergunning in 1915 voor schuitenhuis van Kasteel Nijenrode aan de Vecht H van Walderveen 37-38 1990")</f>
        <v>0</v>
      </c>
    </row>
    <row r="1950" spans="2:4">
      <c r="B1950">
        <v>90</v>
      </c>
      <c r="C1950" s="1">
        <f>hyperlink("https://hetutrechtsarchief.nl/collectie/979556C7F42050F58D229E4492F22DB3","Kinderzegening en doop in Dom en Oudmunster een zeldzaam liturgisch gebruik in het kathedraalcomplex van Utrecht Arie de Groot en Louise van Tongerloo 209-232 ill plgr 1997")</f>
        <v>0</v>
      </c>
      <c r="D1950" s="1">
        <f>hyperlink("http://dspace.library.uu.nl/handle/1874/215276","Kinderzegening en doop in Dom en Oudmunster een zeldzaam liturgisch gebruik in het kathedraalcomplex van Utrecht Louise van Groot Arie de Tongerloo 209-232 1997")</f>
        <v>0</v>
      </c>
    </row>
    <row r="1951" spans="2:4">
      <c r="B1951">
        <v>53</v>
      </c>
      <c r="C1951" s="1">
        <f>hyperlink("https://hetutrechtsarchief.nl/collectie/E544546911375C4697020A4A98F8C9DA","Nederlanders in Belgi Belgen in Nederland een vergelijking Sabine Jansen en Peter Verzijl 26-58 1991")</f>
        <v>0</v>
      </c>
      <c r="D1951" s="1">
        <f>hyperlink("http://dspace.library.uu.nl/handle/1874/215277","Engeland-Breukelen-Engeland binnen een halve week H T B Rebel 66-68 1990")</f>
        <v>0</v>
      </c>
    </row>
    <row r="1952" spans="2:4">
      <c r="B1952">
        <v>54</v>
      </c>
      <c r="C1952" s="1">
        <f>hyperlink("https://hetutrechtsarchief.nl/collectie/B94EFC9F4706524E8392CE466F865E9E","Lederen schoen uit de 17e 18e eeuw opgegraven in Breukelen A M Bakker 115-119 2002")</f>
        <v>0</v>
      </c>
      <c r="D1952" s="1">
        <f>hyperlink("http://dspace.library.uu.nl/handle/1874/215311","De ijsschuur bij Breukeleveen P Bakker 170-173 1992")</f>
        <v>0</v>
      </c>
    </row>
    <row r="1953" spans="2:4">
      <c r="B1953">
        <v>60</v>
      </c>
      <c r="C1953" s="1">
        <f>hyperlink("https://hetutrechtsarchief.nl/collectie/3DDA9CA5658A51CFA18AB72EFD0C6FB4","Herinneringen uit Soest Piet van den Breemer 22-25 2012")</f>
        <v>0</v>
      </c>
      <c r="D1953" s="1">
        <f>hyperlink("http://dspace.library.uu.nl/handle/1874/215312","Herinneringen aan het huis van mijn jeugd Herenweg 129 Breukeleveen P Bakker 232-235 1992")</f>
        <v>0</v>
      </c>
    </row>
    <row r="1954" spans="2:4">
      <c r="B1954">
        <v>62</v>
      </c>
      <c r="C1954" s="1">
        <f>hyperlink("https://hetutrechtsarchief.nl/collectie/44F65C3DF2765182AEE70B8075703D5E","De boerderij-herberg Galgerwaard 2 Henk J van Es 77-85 1999")</f>
        <v>0</v>
      </c>
      <c r="D1954" s="1">
        <f>hyperlink("http://dspace.library.uu.nl/handle/1874/215313","Boerderij Sterreschans in Oukoop Henk J van Es 98-103 1992")</f>
        <v>0</v>
      </c>
    </row>
    <row r="1955" spans="2:4">
      <c r="B1955">
        <v>61</v>
      </c>
      <c r="C1955" s="1">
        <f>hyperlink("https://hetutrechtsarchief.nl/collectie/8E80F5A351F656E3A77CA521D1E351DF","Onderduikers en verzetslieden in Breukelen Henk J van Es 108-112 2000")</f>
        <v>0</v>
      </c>
      <c r="D1955" s="1">
        <f>hyperlink("http://dspace.library.uu.nl/handle/1874/215314","Gravers grondeigenaren en gevolgen van het Merwedekanaal bij Breukelen Henk J van Es 121-137 1992")</f>
        <v>0</v>
      </c>
    </row>
    <row r="1956" spans="2:4">
      <c r="B1956">
        <v>57</v>
      </c>
      <c r="C1956" s="1">
        <f>hyperlink("https://hetutrechtsarchief.nl/collectie/7225F466C0F25B90A50A0E95B443F83C","Breukels bedrijf verlichtte plein in Antwerpen Wim den Hartog 29-35 2004")</f>
        <v>0</v>
      </c>
      <c r="D1956" s="1">
        <f>hyperlink("http://dspace.library.uu.nl/handle/1874/215315","Breukelse Bad- en Zweminrichting een eeuw geleden opgericht W den Hartog 201-206 1992")</f>
        <v>0</v>
      </c>
    </row>
    <row r="1957" spans="2:4">
      <c r="B1957">
        <v>52</v>
      </c>
      <c r="C1957" s="1">
        <f>hyperlink("https://hetutrechtsarchief.nl/collectie/C6A0A7B6379855C897415FA786E02508","Van parlevinken in Breukelen tot kruidenieren in Hamersveld Frans van Loenen 380-382 1999")</f>
        <v>0</v>
      </c>
      <c r="D1957" s="1">
        <f>hyperlink("http://dspace.library.uu.nl/handle/1874/215316","Heel Breukelen huldigde in 1961 zijn wereldkampioen schaatsen B Hoornstra 38-42 1992")</f>
        <v>0</v>
      </c>
    </row>
    <row r="1958" spans="2:4">
      <c r="B1958">
        <v>63</v>
      </c>
      <c r="C1958" s="1">
        <f>hyperlink("https://hetutrechtsarchief.nl/collectie/F2077BC2283E54ACA7A71FE7ED66A23F","Zoeken naar verhalen achter namen en jaartallen Arie A Manten 4-18 2006")</f>
        <v>0</v>
      </c>
      <c r="D1958" s="1">
        <f>hyperlink("http://dspace.library.uu.nl/handle/1874/215317","Keulse Vaart vervangen door het Merwedekanaal Arie A Manten 4-17 1992")</f>
        <v>0</v>
      </c>
    </row>
    <row r="1959" spans="2:4">
      <c r="B1959">
        <v>60</v>
      </c>
      <c r="C1959" s="1">
        <f>hyperlink("https://hetutrechtsarchief.nl/collectie/79AE2ECBCDE05D47B1971A4E5C23A421","Het adellijke geslacht Radinc en het gebied Vijfhoeven bij Breukelen Arie A Manten 218-228 2005")</f>
        <v>0</v>
      </c>
      <c r="D1959" s="1">
        <f>hyperlink("http://dspace.library.uu.nl/handle/1874/215318","De Middeleeuwse geslachten Van den Poel en Van Rijn en de hofstede De Poel te Breukelen Arie A Manten 43-59 1992")</f>
        <v>0</v>
      </c>
    </row>
    <row r="1960" spans="2:4">
      <c r="B1960">
        <v>66</v>
      </c>
      <c r="C1960" s="1">
        <f>hyperlink("https://hetutrechtsarchief.nl/collectie/14A96C0765365398A1D77761BDB3F05D","De Vechtstreek in het midden van de 17de eeuw Arie A Manten 76-82 2009")</f>
        <v>0</v>
      </c>
      <c r="D1960" s="1">
        <f>hyperlink("http://dspace.library.uu.nl/handle/1874/215319","De kerstening van de Vechtstreek Arie A Manten 65-82 1992")</f>
        <v>0</v>
      </c>
    </row>
    <row r="1961" spans="2:4">
      <c r="B1961">
        <v>69</v>
      </c>
      <c r="C1961" s="1">
        <f>hyperlink("https://hetutrechtsarchief.nl/collectie/79F8DA291ED55BDCB27E08C6CA646BE5","De aanleg van het Merwedekanaal en zijn gevolgen voor Maarssen Arie de Zwart 50-71 1999")</f>
        <v>0</v>
      </c>
      <c r="D1961" s="1">
        <f>hyperlink("http://dspace.library.uu.nl/handle/1874/215320","De aanleg van het Merwedekanaal langs Breukelen en de directe gevolgen daarvan Arie A Manten 112-119 1992")</f>
        <v>0</v>
      </c>
    </row>
    <row r="1962" spans="2:4">
      <c r="B1962">
        <v>63</v>
      </c>
      <c r="C1962" s="1">
        <f>hyperlink("https://hetutrechtsarchief.nl/collectie/0ACA0FDE627151F39AEA857B57487C89","Jan Jansz Pos turfhandelaar in Nieuw-Loosdrecht in de tweede helft van de 18e eeuw Arie A Manten 89-97 ill 1998")</f>
        <v>0</v>
      </c>
      <c r="D1962" s="1">
        <f>hyperlink("http://dspace.library.uu.nl/handle/1874/215321","De grote huizen van Nieuwer Ter Aa in de tweede helft 17de en begin 18de eeuw Arie A Manten 162-169 1992")</f>
        <v>0</v>
      </c>
    </row>
    <row r="1963" spans="2:4">
      <c r="B1963">
        <v>56</v>
      </c>
      <c r="C1963" s="1">
        <f>hyperlink("https://hetutrechtsarchief.nl/collectie/E010BE6CFC645C1481120E7955050BFD","Gemengde zangvereniging in Kockengen eind 19de eeuw een omstreden zaak Huub A Manten-Werker 41-44 2002")</f>
        <v>0</v>
      </c>
      <c r="D1963" s="1">
        <f>hyperlink("http://dspace.library.uu.nl/handle/1874/215322","Gemeenteraad van Kockengen in 1903 en 1907 tegen een telefoonverbinding met Breukelen uit oude raadsnotulen 8 H A Manten-Werker 60 1992")</f>
        <v>0</v>
      </c>
    </row>
    <row r="1964" spans="2:4">
      <c r="B1964">
        <v>66</v>
      </c>
      <c r="C1964" s="1">
        <f>hyperlink("https://hetutrechtsarchief.nl/collectie/DA82695B563751AE8F8DDE964E54FB7B","Installatie van burgemeester Van Holthe tot Echten in Breukelen-St Pieter 1946 uit oude raadsnotulen 29 H A M -W 99-101 2002")</f>
        <v>0</v>
      </c>
      <c r="D1964" s="1">
        <f>hyperlink("http://dspace.library.uu.nl/handle/1874/215323","Vaststelling van de begroting van de gemeente Breukelen-St Pieters over 1916 uit oude raadsnotulen 9 A A Manten 45 1993")</f>
        <v>0</v>
      </c>
    </row>
    <row r="1965" spans="2:4">
      <c r="B1965">
        <v>54</v>
      </c>
      <c r="C1965" s="1">
        <f>hyperlink("https://hetutrechtsarchief.nl/collectie/9EC56FF446A757C2BBD07D93D3448465","Het archief van het kasteel De Haar te Haarzuilens A J van de Ven 4-5 1960")</f>
        <v>0</v>
      </c>
      <c r="D1965" s="1">
        <f>hyperlink("http://dspace.library.uu.nl/handle/1874/215324","Oud-archief een ongewenste kostenpost uit oude raadsnotulen 10 A A Manten 53 1993")</f>
        <v>0</v>
      </c>
    </row>
    <row r="1966" spans="2:4">
      <c r="B1966">
        <v>54</v>
      </c>
      <c r="C1966" s="1">
        <f>hyperlink("https://hetutrechtsarchief.nl/collectie/161ECD46699052E698357DD541077CD5","Raadsverkiezingen in de gemeente Breukelen-St Pieters 1875-1899 Arie A Manten 25-31 2001")</f>
        <v>0</v>
      </c>
      <c r="D1966" s="1">
        <f>hyperlink("http://dspace.library.uu.nl/handle/1874/215325","Raadslieden wilden geen typhus maar wel koffie uit oude raadsnotulen 11 A A Manten 43 1994")</f>
        <v>0</v>
      </c>
    </row>
    <row r="1967" spans="2:4">
      <c r="B1967">
        <v>59</v>
      </c>
      <c r="C1967" s="1">
        <f>hyperlink("https://hetutrechtsarchief.nl/collectie/91BB4CD2D860582D9054A6B861E544EE","Enkele bijzondere oorlogsverhalen 1940-1945 Arie A Manten 4-8 2005")</f>
        <v>0</v>
      </c>
      <c r="D1967" s="1">
        <f>hyperlink("http://dspace.library.uu.nl/handle/1874/215326","Kockengen en Spengen en de landsverdediging in 1794-1795 Arie A Manten 174-181 1992")</f>
        <v>0</v>
      </c>
    </row>
    <row r="1968" spans="2:4">
      <c r="B1968">
        <v>61</v>
      </c>
      <c r="C1968" s="1">
        <f>hyperlink("https://hetutrechtsarchief.nl/collectie/98706A74789954B99D11233A6534F16B","Over Laat-Middeleeuwse nonnen en begijnen Arie A Manten 17-26 2007")</f>
        <v>0</v>
      </c>
      <c r="D1968" s="1">
        <f>hyperlink("http://dspace.library.uu.nl/handle/1874/215327","De na-Middeleeuwse kerkelijke Reformatie in onze omgeving Arie A Manten 207-209 1992")</f>
        <v>0</v>
      </c>
    </row>
    <row r="1969" spans="2:4">
      <c r="B1969">
        <v>60</v>
      </c>
      <c r="C1969" s="1">
        <f>hyperlink("https://hetutrechtsarchief.nl/collectie/9D076C5BDC9E58F4B60C9E1B03412A76","Ons muntgeld Arie A Manten 4-12 2002")</f>
        <v>0</v>
      </c>
      <c r="D1969" s="1">
        <f>hyperlink("http://dspace.library.uu.nl/handle/1874/215328","De Zwarte Dood Arie A Manten 227-231 1992")</f>
        <v>0</v>
      </c>
    </row>
    <row r="1970" spans="2:4">
      <c r="B1970">
        <v>57</v>
      </c>
      <c r="C1970" s="1">
        <f>hyperlink("https://hetutrechtsarchief.nl/collectie/962F8E03C73454038A01C050850A6C1B","Korte geschiedenis van het geslacht Van Isselt in Eemnes samengesteld door Henk van Hees en Bertie van Wijk-Blom 81-108 1999")</f>
        <v>0</v>
      </c>
      <c r="D1970" s="1">
        <f>hyperlink("http://dspace.library.uu.nl/handle/1874/215329","Oorsprong van het geslacht Van Ruele en de relatie met de geloofsprediker Liudger Klaes Manten Arie A Sierksma 138-147 1992")</f>
        <v>0</v>
      </c>
    </row>
    <row r="1971" spans="2:4">
      <c r="B1971">
        <v>58</v>
      </c>
      <c r="C1971" s="1">
        <f>hyperlink("https://hetutrechtsarchief.nl/collectie/00C20ABD803359728C88AC61F7D7DCEF","De voormalige gemeente Kockengen B Barelds 116-122 1999")</f>
        <v>0</v>
      </c>
      <c r="D1971" s="1">
        <f>hyperlink("http://dspace.library.uu.nl/handle/1874/215331","De gemeente Kockengen en haar veldwachters 1812-1827 K J Onderweegs 104-111 1992")</f>
        <v>0</v>
      </c>
    </row>
    <row r="1972" spans="2:4">
      <c r="B1972">
        <v>58</v>
      </c>
      <c r="C1972" s="1">
        <f>hyperlink("https://hetutrechtsarchief.nl/collectie/00C20ABD803359728C88AC61F7D7DCEF","De voormalige gemeente Kockengen B Barelds 116-122 1999")</f>
        <v>0</v>
      </c>
      <c r="D1972" s="1">
        <f>hyperlink("http://dspace.library.uu.nl/handle/1874/215332","De gemeente Kockengen en haar veldwachters 1827-1839 K J Onderweegs 210-217 1992")</f>
        <v>0</v>
      </c>
    </row>
    <row r="1973" spans="2:4">
      <c r="B1973">
        <v>60</v>
      </c>
      <c r="C1973" s="1">
        <f>hyperlink("https://hetutrechtsarchief.nl/collectie/59090F1CD2655F2AA5986CC16170C3C4","Kees Dudok de Wit beeldig terug in Breukelen Arie A Manten 133-138 2008")</f>
        <v>0</v>
      </c>
      <c r="D1973" s="1">
        <f>hyperlink("http://dspace.library.uu.nl/handle/1874/215333","Verslag van de Dudok de Wit Feestweek 1993 Arie A Manten 230-237 1993")</f>
        <v>0</v>
      </c>
    </row>
    <row r="1974" spans="2:4">
      <c r="B1974">
        <v>65</v>
      </c>
      <c r="C1974" s="1">
        <f>hyperlink("https://hetutrechtsarchief.nl/collectie/FD2E27CE470E5D908B9D0C00897C3146","Kees de Tippelaar herdenkingen in het midden van de jaren 1950 Arie A Manten 235-239 2004")</f>
        <v>0</v>
      </c>
      <c r="D1974" s="1">
        <f>hyperlink("http://dspace.library.uu.nl/handle/1874/215334","Kees de Tippelaar 150 jaar geleden geboren Arie A Manten 215-229 1993")</f>
        <v>0</v>
      </c>
    </row>
    <row r="1975" spans="2:4">
      <c r="B1975">
        <v>58</v>
      </c>
      <c r="C1975" s="1">
        <f>hyperlink("https://hetutrechtsarchief.nl/collectie/9C4DA0FFFF1E50529E7DFB306C66B2A8","Streektaal uit Breukelen en omgeving Arie A Manten 106-111 1999")</f>
        <v>0</v>
      </c>
      <c r="D1975" s="1">
        <f>hyperlink("http://dspace.library.uu.nl/handle/1874/215335","Eeuwfeest van het koninkrijk te Breukeleveen en omgeving in 1913 P Bakker 212-214 1993")</f>
        <v>0</v>
      </c>
    </row>
    <row r="1976" spans="2:4">
      <c r="B1976">
        <v>58</v>
      </c>
      <c r="C1976" s="1">
        <f>hyperlink("https://hetutrechtsarchief.nl/collectie/10E5CD7244045F84880A2A5D2637494F","Vier heren en de Sijpekerk rond 1900 B de Ligt 180-189 2001")</f>
        <v>0</v>
      </c>
      <c r="D1976" s="1">
        <f>hyperlink("http://dspace.library.uu.nl/handle/1874/215336","De Scheendijk te Breukelen rond 1920 Bertus Heus 196-200 1993")</f>
        <v>0</v>
      </c>
    </row>
    <row r="1977" spans="2:4">
      <c r="B1977">
        <v>59</v>
      </c>
      <c r="C1977" s="1">
        <f>hyperlink("https://hetutrechtsarchief.nl/collectie/01152A242E8F5A51A2066C9851CCD19D","Twee zeepziederijen in Zeist R H C van Maanen 84-95 1999")</f>
        <v>0</v>
      </c>
      <c r="D1977" s="1">
        <f>hyperlink("http://dspace.library.uu.nl/handle/1874/215337","Het tiendblok Otterspoor v r 1811 R H C van Maanen 186-195 1993")</f>
        <v>0</v>
      </c>
    </row>
    <row r="1978" spans="2:4">
      <c r="B1978">
        <v>60</v>
      </c>
      <c r="C1978" s="1">
        <f>hyperlink("https://hetutrechtsarchief.nl/collectie/0172BCED01B65E4D840C1B43D8B1BEFC","De eerste Utrechtsche steendrukker - E 69 1928")</f>
        <v>0</v>
      </c>
      <c r="D1978" s="1">
        <f>hyperlink("http://dspace.library.uu.nl/handle/1874/215338","De eerste echte Breukelse Sinterklaas J C van Ee 169-171 1993")</f>
        <v>0</v>
      </c>
    </row>
    <row r="1979" spans="2:4">
      <c r="B1979">
        <v>62</v>
      </c>
      <c r="C1979" s="1">
        <f>hyperlink("https://hetutrechtsarchief.nl/collectie/1BF2AF25B7465D65A260DCA6159948FF","Woningbouwvereeniging Breukelen in problemen door het wegraken van de statuten 1916 Arie A Manten 15-17 2003")</f>
        <v>0</v>
      </c>
      <c r="D1979" s="1">
        <f>hyperlink("http://dspace.library.uu.nl/handle/1874/215339","Gezondheidszorg in Breukelen in het eerste kwart van de 20ste eeuw Arie A Manten 151-165 1993")</f>
        <v>0</v>
      </c>
    </row>
    <row r="1980" spans="2:4">
      <c r="B1980">
        <v>57</v>
      </c>
      <c r="C1980" s="1">
        <f>hyperlink("https://hetutrechtsarchief.nl/collectie/EC3DBEDEE31D56C087E7CE9B8F551B41","Liefde huwelijk en gezin in de 17de en 18de eeuw Judith Hokke 177-192 ill 1998")</f>
        <v>0</v>
      </c>
      <c r="D1980" s="1">
        <f>hyperlink("http://dspace.library.uu.nl/handle/1874/215340","Een Breukelse organist en zijn gezin in de 19de eeuw W J Grondelle 147-150 1993")</f>
        <v>0</v>
      </c>
    </row>
    <row r="1981" spans="2:4">
      <c r="B1981">
        <v>54</v>
      </c>
      <c r="C1981" s="1">
        <f>hyperlink("https://hetutrechtsarchief.nl/collectie/1E0222E4BB3F5331A3F310D936713C7C","Beeld van een duizendjarige Karakteristiek van het hedendaagse veenweidelandschap Adriaan Haartsen 3-14 2012")</f>
        <v>0</v>
      </c>
      <c r="D1981" s="1">
        <f>hyperlink("http://dspace.library.uu.nl/handle/1874/215341","Breukelse Bad- en Zweminrichting verplaatst van het Merwedekanaal naar de Meent W den Hartog 143-146 1993")</f>
        <v>0</v>
      </c>
    </row>
    <row r="1982" spans="2:4">
      <c r="B1982">
        <v>61</v>
      </c>
      <c r="C1982" s="1">
        <f>hyperlink("https://hetutrechtsarchief.nl/collectie/0EB3A77DC68A5F3C9BB5A5697C4F1F6B","Polderjongens de gravers van het Merwedekanaal rond 1890 Hans van Bemmel 48-53 2010")</f>
        <v>0</v>
      </c>
      <c r="D1982" s="1">
        <f>hyperlink("http://dspace.library.uu.nl/handle/1874/215342","De gravers van het Merwedekanaal B Barelds 138-142 1993")</f>
        <v>0</v>
      </c>
    </row>
    <row r="1983" spans="2:4">
      <c r="B1983">
        <v>56</v>
      </c>
      <c r="C1983" s="1">
        <f>hyperlink("https://hetutrechtsarchief.nl/collectie/41803AAAF5E45544BB853FB028224415","De agrarische geschiedenis van de familie Manten Arie A Manten 4-10 2005")</f>
        <v>0</v>
      </c>
      <c r="D1983" s="1">
        <f>hyperlink("http://dspace.library.uu.nl/handle/1874/215343","Het geslacht Pechlin en de faam van het huis Angola C L ten Manten Arie A Cate 132-137 1993")</f>
        <v>0</v>
      </c>
    </row>
    <row r="1984" spans="2:4">
      <c r="B1984">
        <v>60</v>
      </c>
      <c r="C1984" s="1">
        <f>hyperlink("https://hetutrechtsarchief.nl/collectie/43E3DC8DF34657D89374BCBA2D8FA97D","Telefoonlijst van Breukelen uit 1939 H van Walderveen 63-66 1999")</f>
        <v>0</v>
      </c>
      <c r="D1984" s="1">
        <f>hyperlink("http://dspace.library.uu.nl/handle/1874/215344","Breukelse leenakten uit 1757 en 1796 H van Walderveen 129-131 1993")</f>
        <v>0</v>
      </c>
    </row>
    <row r="1985" spans="2:4">
      <c r="B1985">
        <v>61</v>
      </c>
      <c r="C1985" s="1">
        <f>hyperlink("https://hetutrechtsarchief.nl/collectie/F2077BC2283E54ACA7A71FE7ED66A23F","Zoeken naar verhalen achter namen en jaartallen Arie A Manten 4-18 2006")</f>
        <v>0</v>
      </c>
      <c r="D1985" s="1">
        <f>hyperlink("http://dspace.library.uu.nl/handle/1874/215346","Op zoek naar een verdwenen kasteel aan de Kromme Angstel Arie A Manten 113-118 1993")</f>
        <v>0</v>
      </c>
    </row>
    <row r="1986" spans="2:4">
      <c r="B1986">
        <v>85</v>
      </c>
      <c r="C1986" s="1">
        <f>hyperlink("https://hetutrechtsarchief.nl/collectie/6C9936AC7F3F5723AC888D552E65FF43","Het Armenland en buitenarmen van Ruwiel deel 1 G Versloot 80-89 2013")</f>
        <v>0</v>
      </c>
      <c r="D1986" s="1">
        <f>hyperlink("http://dspace.library.uu.nl/handle/1874/215347","Het Armenland en de buitenarmen van Ruwiel G Versloot 74-85 1993")</f>
        <v>0</v>
      </c>
    </row>
    <row r="1987" spans="2:4">
      <c r="B1987">
        <v>59</v>
      </c>
      <c r="C1987" s="1">
        <f>hyperlink("https://hetutrechtsarchief.nl/collectie/88A9A7A026FA5CE390D9FDC7F05D302C","De Werkhovense Autobus Onderneming WABO in de Tweede Wereldoorlog Ton Gelok 26-32 2014")</f>
        <v>0</v>
      </c>
      <c r="D1987" s="1">
        <f>hyperlink("http://dspace.library.uu.nl/handle/1874/215348","De zwerftocht van Peter een Breukelse kerkklok tijdens de Tweede Wereldoorlog Jan Slingerland 67-73 1993")</f>
        <v>0</v>
      </c>
    </row>
    <row r="1988" spans="2:4">
      <c r="B1988">
        <v>65</v>
      </c>
      <c r="C1988" s="1">
        <f>hyperlink("https://hetutrechtsarchief.nl/collectie/B6493A63A9CF5A3A92D6F9C74D5CB4E6","De Rhenense elite in de eerste helft van de 18e eeuw Willem H Strous 7-31 2009")</f>
        <v>0</v>
      </c>
      <c r="D1988" s="1">
        <f>hyperlink("http://dspace.library.uu.nl/handle/1874/215349","Het Regthuys van Breukelen in de eerste helft van de 16de eeuw Arie A Manten 122-128 1993")</f>
        <v>0</v>
      </c>
    </row>
    <row r="1989" spans="2:4">
      <c r="B1989">
        <v>68</v>
      </c>
      <c r="C1989" s="1">
        <f>hyperlink("https://hetutrechtsarchief.nl/collectie/BAA412C4BB89554C9B81E0DFB0DBBD55","Bonifatius Velsen en Breukelen Arie A Manten 147-149 1999")</f>
        <v>0</v>
      </c>
      <c r="D1989" s="1">
        <f>hyperlink("http://dspace.library.uu.nl/handle/1874/215350","Sint-Annaverering in en rond Breukelen Arie A Manten 57-66 1993")</f>
        <v>0</v>
      </c>
    </row>
    <row r="1990" spans="2:4">
      <c r="B1990">
        <v>88</v>
      </c>
      <c r="C1990" s="1">
        <f>hyperlink("https://hetutrechtsarchief.nl/collectie/7CA73297667D5128A87EC53368010298","Breuekeln Brooklyn en Bruickleen R T van de Geer 14-16 2009")</f>
        <v>0</v>
      </c>
      <c r="D1990" s="1">
        <f>hyperlink("http://dspace.library.uu.nl/handle/1874/215351","Breukelen Brooklyn en Bruickleen R T van de Geer 48-53 1993")</f>
        <v>0</v>
      </c>
    </row>
    <row r="1991" spans="2:4">
      <c r="B1991">
        <v>63</v>
      </c>
      <c r="C1991" s="1">
        <f>hyperlink("https://hetutrechtsarchief.nl/collectie/9C4DA0FFFF1E50529E7DFB306C66B2A8","Streektaal uit Breukelen en omgeving Arie A Manten 106-111 1999")</f>
        <v>0</v>
      </c>
      <c r="D1991" s="1">
        <f>hyperlink("http://dspace.library.uu.nl/handle/1874/215352","Het Regthuys van Breukelen met bijbehoren in 1597 Arie A Manten 46-47 1993")</f>
        <v>0</v>
      </c>
    </row>
    <row r="1992" spans="2:4">
      <c r="B1992">
        <v>56</v>
      </c>
      <c r="C1992" s="1">
        <f>hyperlink("https://hetutrechtsarchief.nl/collectie/661CB54E5ED253E6A7D6938C07FA6E75","Nogmaals de heraldiek in de dorpskerk van Nieuwer Ter Aa Arie A Manten 67-72 2007")</f>
        <v>0</v>
      </c>
      <c r="D1992" s="1">
        <f>hyperlink("http://dspace.library.uu.nl/handle/1874/215353","Drie 17de- en 18de-eeuwse plattegronden van het landgoed Quackenburg te Nieuwer Ter Aa Arie A Manten 207-211 1993")</f>
        <v>0</v>
      </c>
    </row>
    <row r="1993" spans="2:4">
      <c r="B1993">
        <v>56</v>
      </c>
      <c r="C1993" s="1">
        <f>hyperlink("https://hetutrechtsarchief.nl/collectie/0E6474208E3E58B2ACB8733D30ED4DD4","Breukelen en omgeving van 1000 tot 2000 Arie A Manten 153-218 1999")</f>
        <v>0</v>
      </c>
      <c r="D1993" s="1">
        <f>hyperlink("http://dspace.library.uu.nl/handle/1874/215354","Nieuwer Ter Aa en omgeving van 1914 tot 1945 in de mondelinge overlevering Arie A Manten 23-31 nr 2 p 94-100 1993")</f>
        <v>0</v>
      </c>
    </row>
    <row r="1994" spans="2:4">
      <c r="B1994">
        <v>64</v>
      </c>
      <c r="C1994" s="1">
        <f>hyperlink("https://hetutrechtsarchief.nl/collectie/00C20ABD803359728C88AC61F7D7DCEF","De voormalige gemeente Kockengen B Barelds 116-122 1999")</f>
        <v>0</v>
      </c>
      <c r="D1994" s="1">
        <f>hyperlink("http://dspace.library.uu.nl/handle/1874/215355","De bakker op de hoek van Spengen B Barelds 119-121 1993")</f>
        <v>0</v>
      </c>
    </row>
    <row r="1995" spans="2:4">
      <c r="B1995">
        <v>58</v>
      </c>
      <c r="C1995" s="1">
        <f>hyperlink("https://hetutrechtsarchief.nl/collectie/00C20ABD803359728C88AC61F7D7DCEF","De voormalige gemeente Kockengen B Barelds 116-122 1999")</f>
        <v>0</v>
      </c>
      <c r="D1995" s="1">
        <f>hyperlink("http://dspace.library.uu.nl/handle/1874/215356","De gemeente Kockengen en haar veldwachters 1872-1881 K J Onderweegs 201-206 1993")</f>
        <v>0</v>
      </c>
    </row>
    <row r="1996" spans="2:4">
      <c r="B1996">
        <v>59</v>
      </c>
      <c r="C1996" s="1">
        <f>hyperlink("https://hetutrechtsarchief.nl/collectie/00C20ABD803359728C88AC61F7D7DCEF","De voormalige gemeente Kockengen B Barelds 116-122 1999")</f>
        <v>0</v>
      </c>
      <c r="D1996" s="1">
        <f>hyperlink("http://dspace.library.uu.nl/handle/1874/215357","De gemeente Kockengen en haar veldwachters 1866-1872 K J Onderweegs 86-93 1993")</f>
        <v>0</v>
      </c>
    </row>
    <row r="1997" spans="2:4">
      <c r="B1997">
        <v>60</v>
      </c>
      <c r="C1997" s="1">
        <f>hyperlink("https://hetutrechtsarchief.nl/collectie/00C20ABD803359728C88AC61F7D7DCEF","De voormalige gemeente Kockengen B Barelds 116-122 1999")</f>
        <v>0</v>
      </c>
      <c r="D1997" s="1">
        <f>hyperlink("http://dspace.library.uu.nl/handle/1874/215358","De gemeente Kockengen en haar veldwachters 1839-1865 K J Onderweegs 14-21 1993")</f>
        <v>0</v>
      </c>
    </row>
    <row r="1998" spans="2:4">
      <c r="B1998">
        <v>56</v>
      </c>
      <c r="C1998" s="1">
        <f>hyperlink("https://hetutrechtsarchief.nl/collectie/525652EA51E056888AB9F53236C9D49A","Rapportage ledenonderzoek van de Historische Kring Tussen Rijn en Lek F Vogelzang en N Vugts 97-102 1998")</f>
        <v>0</v>
      </c>
      <c r="D1998" s="1">
        <f>hyperlink("http://dspace.library.uu.nl/handle/1874/215360","Hervormde Kerk van Kockengen rijk aan historische herinneringen M van Vliet 7-13 1993")</f>
        <v>0</v>
      </c>
    </row>
    <row r="1999" spans="2:4">
      <c r="B1999">
        <v>58</v>
      </c>
      <c r="C1999" s="1">
        <f>hyperlink("https://hetutrechtsarchief.nl/collectie/C2C296A1ED685E06A12A2047B53B2C3A","Plichten tegenover het verleden - A N L O 42-44 1943")</f>
        <v>0</v>
      </c>
      <c r="D1999" s="1">
        <f>hyperlink("http://dspace.library.uu.nl/handle/1874/215361","Schetsend door het verleden van Breukelen M Verweij 4 - 6 22 32 1993")</f>
        <v>0</v>
      </c>
    </row>
    <row r="2000" spans="2:4">
      <c r="B2000">
        <v>53</v>
      </c>
      <c r="C2000" s="1">
        <f>hyperlink("https://hetutrechtsarchief.nl/collectie/EFACB5F59D6855808CC86A461343058A","Interview in en over de Buurkerk Cees van Dijk en J N van der Meulen 14 - 19 1983")</f>
        <v>0</v>
      </c>
      <c r="D2000" s="1">
        <f>hyperlink("http://dspace.library.uu.nl/handle/1874/215362","Honderdnegentig jaren boerderij Dorpzicht aan de Kockengense Wagendijk P N van der Paauw 30-37 1992")</f>
        <v>0</v>
      </c>
    </row>
    <row r="2001" spans="2:4">
      <c r="B2001">
        <v>59</v>
      </c>
      <c r="C2001" s="1">
        <f>hyperlink("https://hetutrechtsarchief.nl/collectie/26FA2660CBAA5104B4A0BD229E6D953E","Oprichting en hoogtepunten van de eerste jaren van de Historische Kring Arie de Zwart 75-77 2012")</f>
        <v>0</v>
      </c>
      <c r="D2001" s="1">
        <f>hyperlink("http://dspace.library.uu.nl/handle/1874/215363","Oprichtingsnotulen van de Societeit de Breukelensche Bad- en Zweminrichting W den Hartog 37-43 1994")</f>
        <v>0</v>
      </c>
    </row>
    <row r="2002" spans="2:4">
      <c r="B2002">
        <v>64</v>
      </c>
      <c r="C2002" s="1">
        <f>hyperlink("https://hetutrechtsarchief.nl/collectie/8C0EFA17F82496FDE0534701000A870E","Schilderij van Jan Bander voor de HKE Henk van Hees 24-25 2019")</f>
        <v>0</v>
      </c>
      <c r="D2002" s="1">
        <f>hyperlink("http://dspace.library.uu.nl/handle/1874/215365","Geschiedenis van brouwerij De vijfhoek Henk J van Es 10-26 1994")</f>
        <v>0</v>
      </c>
    </row>
    <row r="2003" spans="2:4">
      <c r="B2003">
        <v>53</v>
      </c>
      <c r="C2003" s="1">
        <f>hyperlink("https://hetutrechtsarchief.nl/collectie/12102A7FD3015525B8214A13748A9E4F","Het oude en nieuwe wapen van de gemeente Maarssen A E Rientjes 14-17 ill 1950")</f>
        <v>0</v>
      </c>
      <c r="D2003" s="1">
        <f>hyperlink("http://dspace.library.uu.nl/handle/1874/215366","Huis Het Honderd te Nieuwer Ter Aa was van 1578 tot 1652 een R K schuilkerk Arie A Manten 4-9 1994")</f>
        <v>0</v>
      </c>
    </row>
    <row r="2004" spans="2:4">
      <c r="B2004">
        <v>59</v>
      </c>
      <c r="C2004" s="1">
        <f>hyperlink("https://hetutrechtsarchief.nl/collectie/38A433132C5D5808BF1CF43AC44724A7","Romeinse Rijk vreesde vrije Germanen Arie A Manten 144-146 1999")</f>
        <v>0</v>
      </c>
      <c r="D2004" s="1">
        <f>hyperlink("http://dspace.library.uu.nl/handle/1874/215368","In Brokel bij de Plaets en boven aen die Kerckstrate Arie A Manten 27-36 1994")</f>
        <v>0</v>
      </c>
    </row>
    <row r="2005" spans="2:4">
      <c r="B2005">
        <v>54</v>
      </c>
      <c r="C2005" s="1">
        <f>hyperlink("https://hetutrechtsarchief.nl/collectie/EA26A52BE1545FD093979AB905E312A1","Jan Manten de bakker geb 1882 10 01 mocht nachtarbeid verrichten Arie A Manten 94-98 2002")</f>
        <v>0</v>
      </c>
      <c r="D2005" s="1">
        <f>hyperlink("http://dspace.library.uu.nl/handle/1874/215370","Jan Barte Fokkert 1721-1782 uit Spengen schreef zijn eigen levensverhaal Arie A Manten 44-50 1994")</f>
        <v>0</v>
      </c>
    </row>
    <row r="2006" spans="2:4">
      <c r="B2006">
        <v>62</v>
      </c>
      <c r="C2006" s="1">
        <f>hyperlink("https://hetutrechtsarchief.nl/collectie/14A96C0765365398A1D77761BDB3F05D","De Vechtstreek in het midden van de 17de eeuw Arie A Manten 76-82 2009")</f>
        <v>0</v>
      </c>
      <c r="D2006" s="1">
        <f>hyperlink("http://dspace.library.uu.nl/handle/1874/215371","Po zie in het leven van L C Dudok de Wit Arie A Manten 56-61 1994")</f>
        <v>0</v>
      </c>
    </row>
    <row r="2007" spans="2:4">
      <c r="B2007">
        <v>54</v>
      </c>
      <c r="C2007" s="1">
        <f>hyperlink("https://hetutrechtsarchief.nl/collectie/A8778438A80B55A1A4D7E85A7589AC19","Raadsleden van de gemeente Breukelen-Nijenrode 1850-1950 Otto J Contant 23-44 2007")</f>
        <v>0</v>
      </c>
      <c r="D2007" s="1">
        <f>hyperlink("http://dspace.library.uu.nl/handle/1874/215373","Begraafplaatsen in de gemeente Breukelen Jan Slingerland 51-55 nr 2 p 65-70 jg 11 1996 nr 1 p 39-42 1994-1996")</f>
        <v>0</v>
      </c>
    </row>
    <row r="2008" spans="2:4">
      <c r="B2008">
        <v>60</v>
      </c>
      <c r="C2008" s="1">
        <f>hyperlink("https://hetutrechtsarchief.nl/collectie/689635E1852A51E9A619AEB9FB233E9D","Oude huizennamen in ere hersteld - E 70 1929")</f>
        <v>0</v>
      </c>
      <c r="D2008" s="1">
        <f>hyperlink("http://dspace.library.uu.nl/handle/1874/215374","De huizen in de Koekenbuurt Henk J van Es 71-83 1994")</f>
        <v>0</v>
      </c>
    </row>
    <row r="2009" spans="2:4">
      <c r="B2009">
        <v>61</v>
      </c>
      <c r="C2009" s="1">
        <f>hyperlink("https://hetutrechtsarchief.nl/collectie/01152A242E8F5A51A2066C9851CCD19D","Twee zeepziederijen in Zeist R H C van Maanen 84-95 1999")</f>
        <v>0</v>
      </c>
      <c r="D2009" s="1">
        <f>hyperlink("http://dspace.library.uu.nl/handle/1874/215375","Het tiendblok Otterspoor n 1811 R H C van Maanen 94-99 1994")</f>
        <v>0</v>
      </c>
    </row>
    <row r="2010" spans="2:4">
      <c r="B2010">
        <v>56</v>
      </c>
      <c r="C2010" s="1">
        <f>hyperlink("https://hetutrechtsarchief.nl/collectie/00C20ABD803359728C88AC61F7D7DCEF","De voormalige gemeente Kockengen B Barelds 116-122 1999")</f>
        <v>0</v>
      </c>
      <c r="D2010" s="1">
        <f>hyperlink("http://dspace.library.uu.nl/handle/1874/215376","De gemeente Kockengen en haar veldwachters 1882-1891 K J Onderweegs 100-106 1994")</f>
        <v>0</v>
      </c>
    </row>
    <row r="2011" spans="2:4">
      <c r="B2011">
        <v>62</v>
      </c>
      <c r="C2011" s="1">
        <f>hyperlink("https://hetutrechtsarchief.nl/collectie/EEEFE9E5F6DD5568833B45FB950BFBB2","De muziektent in het park van Boom en Bosch Henk J van Es en A A Manten 59-62 1999")</f>
        <v>0</v>
      </c>
      <c r="D2011" s="1">
        <f>hyperlink("http://dspace.library.uu.nl/handle/1874/215377","De vestigingsplaats van Boom en Bosch tussen 1439 en 1663 Arie A Manten 84-93 1994")</f>
        <v>0</v>
      </c>
    </row>
    <row r="2012" spans="2:4">
      <c r="B2012">
        <v>56</v>
      </c>
      <c r="C2012" s="1">
        <f>hyperlink("https://hetutrechtsarchief.nl/collectie/0E6474208E3E58B2ACB8733D30ED4DD4","Breukelen en omgeving van 1000 tot 2000 Arie A Manten 153-218 1999")</f>
        <v>0</v>
      </c>
      <c r="D2012" s="1">
        <f>hyperlink("http://dspace.library.uu.nl/handle/1874/215378","Nieuwer Ter Aa en omgeving van 1945 tot 1970 in de mondelinge overlevering Arie A Manten 107-116 nr 3 p 151-160 1994")</f>
        <v>0</v>
      </c>
    </row>
    <row r="2013" spans="2:4">
      <c r="B2013">
        <v>62</v>
      </c>
      <c r="C2013" s="1">
        <f>hyperlink("https://hetutrechtsarchief.nl/collectie/3022CCF772E45937B73FA2A6D14F4434","De heilige Radboud veertiende bisschop van Utrecht P Albers 244-296 1894")</f>
        <v>0</v>
      </c>
      <c r="D2013" s="1">
        <f>hyperlink("http://dspace.library.uu.nl/handle/1874/215379","De grote machtsingreep rond Breukelen door de bisschop van Utrecht Arie A Manten 121-127 1994")</f>
        <v>0</v>
      </c>
    </row>
    <row r="2014" spans="2:4">
      <c r="B2014">
        <v>62</v>
      </c>
      <c r="C2014" s="1">
        <f>hyperlink("https://hetutrechtsarchief.nl/collectie/14A96C0765365398A1D77761BDB3F05D","De Vechtstreek in het midden van de 17de eeuw Arie A Manten 76-82 2009")</f>
        <v>0</v>
      </c>
      <c r="D2014" s="1">
        <f>hyperlink("http://dspace.library.uu.nl/handle/1874/215380","Jan Barte Fokkert boer in Spengen in de 18de eeuw Arie A Manten 133-142 1994")</f>
        <v>0</v>
      </c>
    </row>
    <row r="2015" spans="2:4">
      <c r="B2015">
        <v>62</v>
      </c>
      <c r="C2015" s="1">
        <f>hyperlink("https://hetutrechtsarchief.nl/collectie/2B4982AFB904583CAEEC5A7A42BAFEBE","Begin van een beruchte oorlog Arie A Manten 104-115 2009")</f>
        <v>0</v>
      </c>
      <c r="D2015" s="1">
        <f>hyperlink("http://dspace.library.uu.nl/handle/1874/215381","Varen op de Vecht een excursieverslag Arie A Manten 170-175 1994")</f>
        <v>0</v>
      </c>
    </row>
    <row r="2016" spans="2:4">
      <c r="B2016">
        <v>60</v>
      </c>
      <c r="C2016" s="1">
        <f>hyperlink("https://hetutrechtsarchief.nl/collectie/2D5ABAA5D2B1555BB97DC5D53875962A","Comit De Gemeente-Diacones te Breukelen H van Walderveen 215-224 ill 1998")</f>
        <v>0</v>
      </c>
      <c r="D2016" s="1">
        <f>hyperlink("http://dspace.library.uu.nl/handle/1874/215382","Haardstenen uit 1598 in de consistoriekamer van de Pieterskerk te Breukelen H van Walderveen 128-130 1994")</f>
        <v>0</v>
      </c>
    </row>
    <row r="2017" spans="2:4">
      <c r="B2017">
        <v>57</v>
      </c>
      <c r="C2017" s="1">
        <f>hyperlink("https://hetutrechtsarchief.nl/collectie/C0794376131E510A91C398E3B08631AF","De verdediging van Utrecht in 1672 G H Kurtz 9-13 1931")</f>
        <v>0</v>
      </c>
      <c r="D2017" s="1">
        <f>hyperlink("http://dspace.library.uu.nl/handle/1874/215383","Proces-verbaal voor het Hof van Utrecht in 1721 J E Hilhorst-Haars 131-132 1994")</f>
        <v>0</v>
      </c>
    </row>
    <row r="2018" spans="2:4">
      <c r="B2018">
        <v>56</v>
      </c>
      <c r="C2018" s="1">
        <f>hyperlink("https://hetutrechtsarchief.nl/collectie/FB56271D26EF5C35B2CEA45F92E085D3","De sociale werkvoorziening in Zeist tussen 1960 en 1993 deel 2 Herman uit de Bosch 34-43 ill 1998")</f>
        <v>0</v>
      </c>
      <c r="D2018" s="1">
        <f>hyperlink("http://dspace.library.uu.nl/handle/1874/215384","De Societeit de Breukelensche Bad- en Zweminrichting tussen 1900 en 1930 W den Hartog 143-150 1994")</f>
        <v>0</v>
      </c>
    </row>
    <row r="2019" spans="2:4">
      <c r="B2019">
        <v>58</v>
      </c>
      <c r="C2019" s="1">
        <f>hyperlink("https://hetutrechtsarchief.nl/collectie/9257B9ACED2D2725E0534701000A1F1B","De Tweede Wereldoorlog herdenken Jan van Es 68-69 2019")</f>
        <v>0</v>
      </c>
      <c r="D2019" s="1">
        <f>hyperlink("http://dspace.library.uu.nl/handle/1874/215385","Dirk de Jager de onvermoeide polsstokdrager Henk J van Es 161-165 1994")</f>
        <v>0</v>
      </c>
    </row>
    <row r="2020" spans="2:4">
      <c r="B2020">
        <v>54</v>
      </c>
      <c r="C2020" s="1">
        <f>hyperlink("https://hetutrechtsarchief.nl/collectie/DC20D41F295252F296CD75E3F72EC46C","Hare Majesteits mijnenveger Breukelen 1954-1971 Ties Verkuil Sr 177-179 2000")</f>
        <v>0</v>
      </c>
      <c r="D2020" s="1">
        <f>hyperlink("http://dspace.library.uu.nl/handle/1874/215386","Erepoort in de Breukelse Achterstraat in 1930 Ties Verkuil 166-167 1994")</f>
        <v>0</v>
      </c>
    </row>
    <row r="2021" spans="2:4">
      <c r="B2021">
        <v>64</v>
      </c>
      <c r="C2021" s="1">
        <f>hyperlink("https://hetutrechtsarchief.nl/collectie/0407F6D668F55689BFCCBA65C06B9E6E","Mant Lambertsz schout van de gerechtsheerlijkheid Breukeleveen in 1385-1400 Arie A Manten 14-22 2004")</f>
        <v>0</v>
      </c>
      <c r="D2021" s="1">
        <f>hyperlink("http://dspace.library.uu.nl/handle/1874/215387","Leenmannen en -vrouwen van de gerechtsheerlijkheid Laag-Nieuwkoop 1392-1727 Arie A Manten 177-192 1994")</f>
        <v>0</v>
      </c>
    </row>
    <row r="2022" spans="2:4">
      <c r="B2022">
        <v>59</v>
      </c>
      <c r="C2022" s="1">
        <f>hyperlink("https://hetutrechtsarchief.nl/collectie/00C20ABD803359728C88AC61F7D7DCEF","De voormalige gemeente Kockengen B Barelds 116-122 1999")</f>
        <v>0</v>
      </c>
      <c r="D2022" s="1">
        <f>hyperlink("http://dspace.library.uu.nl/handle/1874/215388","De gemeente Kockengen en haar veldwachters 1891-1908 K J Onderweegs 207-216 1994")</f>
        <v>0</v>
      </c>
    </row>
    <row r="2023" spans="2:4">
      <c r="B2023">
        <v>57</v>
      </c>
      <c r="C2023" s="1">
        <f>hyperlink("https://hetutrechtsarchief.nl/collectie/C926742D8B95502585314EB85760EBF2","Het orgel van de Nederlandse Hervormde kerk te Nieuwer Ter Aa N J Doornenbal 27-40 2002")</f>
        <v>0</v>
      </c>
      <c r="D2023" s="1">
        <f>hyperlink("http://dspace.library.uu.nl/handle/1874/215389","Erkentelijkheid van de Hervormde Gemeente van Nieuwer Ter Aa jegens G H Earle 1899 B Barelds 217-221 1994")</f>
        <v>0</v>
      </c>
    </row>
    <row r="2024" spans="2:4">
      <c r="B2024">
        <v>57</v>
      </c>
      <c r="C2024" s="1">
        <f>hyperlink("https://hetutrechtsarchief.nl/collectie/669EF0B482A85983A6DBCFF8A4E90132","De oostgrens van Holland langs het Gooi na 1300 Jaap Groeneveld 268-286 2004")</f>
        <v>0</v>
      </c>
      <c r="D2024" s="1">
        <f>hyperlink("http://dspace.library.uu.nl/handle/1874/215390","De polder en molen van Oukoop het octrooi van 1642 D Reyneveld 222-236 1994")</f>
        <v>0</v>
      </c>
    </row>
    <row r="2025" spans="2:4">
      <c r="B2025">
        <v>62</v>
      </c>
      <c r="C2025" s="1">
        <f>hyperlink("https://hetutrechtsarchief.nl/collectie/A15D2E4B8F32537C827971E51B525EDB","Fragmenten uit de geschiedenis van de buurtschap Austerlitz W Grapendaal 133-143 1970")</f>
        <v>0</v>
      </c>
      <c r="D2025" s="1">
        <f>hyperlink("http://dspace.library.uu.nl/handle/1874/215391","Fragmenten uit de geschiedenis van de R K -parochie van de H Johannes de Doper te Breukelen M A Perdon 18-29 1992")</f>
        <v>0</v>
      </c>
    </row>
    <row r="2026" spans="2:4">
      <c r="B2026">
        <v>54</v>
      </c>
      <c r="C2026" s="1">
        <f>hyperlink("https://hetutrechtsarchief.nl/collectie/D20A630AD38F5648B1EB44841D80B61F","Een foto met een bijzonder verhaal Arie de Kloet 169-172 2001")</f>
        <v>0</v>
      </c>
      <c r="D2026" s="1">
        <f>hyperlink("http://dspace.library.uu.nl/handle/1874/215392","Pont over het kanaal bij Nieuwer Ter Aa D Reyneveld 192-200 1992")</f>
        <v>0</v>
      </c>
    </row>
    <row r="2027" spans="2:4">
      <c r="B2027">
        <v>58</v>
      </c>
      <c r="C2027" s="1">
        <f>hyperlink("https://hetutrechtsarchief.nl/collectie/CF77683FD59C5030B63C3D89A18A675F","Toekomstverkenning uit het verleden biedt stof tot nadenken Marc Wortman 79-83 1999")</f>
        <v>0</v>
      </c>
      <c r="D2027" s="1">
        <f>hyperlink("http://dspace.library.uu.nl/handle/1874/215393","Brokstukken uit het verleden in Broeckland A H Verroen 83-97 1992")</f>
        <v>0</v>
      </c>
    </row>
    <row r="2028" spans="2:4">
      <c r="B2028">
        <v>56</v>
      </c>
      <c r="C2028" s="1">
        <f>hyperlink("https://hetutrechtsarchief.nl/collectie/8756A211D7649253E0534701000AF8B7","Een 18de-eeuwse tabaksdoos uit de Vechtstreek E Munnig Schmidt 114-115 2018")</f>
        <v>0</v>
      </c>
      <c r="D2028" s="1">
        <f>hyperlink("http://dspace.library.uu.nl/handle/1874/215395","Twee 16de eeuwse haardstenen uit Breukelen Hilde Vries 148-153 1992")</f>
        <v>0</v>
      </c>
    </row>
    <row r="2029" spans="2:4">
      <c r="B2029">
        <v>57</v>
      </c>
      <c r="C2029" s="1">
        <f>hyperlink("https://hetutrechtsarchief.nl/collectie/3677D54FF9915132AE946F41E7B46502","Bob van Walderveen Sione van Walderveen 18-27 2000")</f>
        <v>0</v>
      </c>
      <c r="D2029" s="1">
        <f>hyperlink("http://dspace.library.uu.nl/handle/1874/215396","De Buurtvereniging Korenpad H van Walderveen 1992")</f>
        <v>0</v>
      </c>
    </row>
    <row r="2030" spans="2:4">
      <c r="B2030">
        <v>67</v>
      </c>
      <c r="C2030" s="1">
        <f>hyperlink("https://hetutrechtsarchief.nl/collectie/79F8DA291ED55BDCB27E08C6CA646BE5","De aanleg van het Merwedekanaal en zijn gevolgen voor Maarssen Arie de Zwart 50-71 1999")</f>
        <v>0</v>
      </c>
      <c r="D2030" s="1">
        <f>hyperlink("http://dspace.library.uu.nl/handle/1874/215397","Aanleg van het Merwedekanaal had gevolgen voor de Breukelse Poeldijk H van Walderveen 185-191 1992")</f>
        <v>0</v>
      </c>
    </row>
    <row r="2031" spans="2:4">
      <c r="B2031">
        <v>65</v>
      </c>
      <c r="C2031" s="1">
        <f>hyperlink("https://hetutrechtsarchief.nl/collectie/FC4B49511114585E8A872D614BD26B27","Hebben de Romeinen ingegrepen in de loop van de Vecht bij Breukelen Arie A Manten 63-66 2007")</f>
        <v>0</v>
      </c>
      <c r="D2031" s="1">
        <f>hyperlink("http://dspace.library.uu.nl/handle/1874/215399","De voormalige ridderhofstad Rietveld aan de Vecht bij Breukelen Arie A Manten 168 1994")</f>
        <v>0</v>
      </c>
    </row>
    <row r="2032" spans="2:4">
      <c r="B2032">
        <v>60</v>
      </c>
      <c r="C2032" s="1">
        <f>hyperlink("https://hetutrechtsarchief.nl/collectie/51F29316361C5897A98A67544E722264","Het voormalige klooster der Zakbroeders binnen Utrecht medeged door J J de Geer van Oudegein 287 -296 1877")</f>
        <v>0</v>
      </c>
      <c r="D2032" s="1">
        <f>hyperlink("http://dspace.library.uu.nl/handle/1874/215418","Iets over de oudste Heeren van Beverwaard onder Werkhoven 1277 J J de Geer van Oudegein 296-302 1877")</f>
        <v>0</v>
      </c>
    </row>
    <row r="2033" spans="2:4">
      <c r="B2033">
        <v>93</v>
      </c>
      <c r="C2033" s="1">
        <f>hyperlink("https://hetutrechtsarchief.nl/collectie/51F29316361C5897A98A67544E722264","Het voormalige klooster der Zakbroeders binnen Utrecht medeged door J J de Geer van Oudegein 287 -296 1877")</f>
        <v>0</v>
      </c>
      <c r="D2033" s="1">
        <f>hyperlink("http://dspace.library.uu.nl/handle/1874/215419","Het voormalige klooster der Zakbroeders binnen Utrecht J J de Geer van Oudegein 287-296 1877")</f>
        <v>0</v>
      </c>
    </row>
    <row r="2034" spans="2:4">
      <c r="B2034">
        <v>59</v>
      </c>
      <c r="C2034" s="1">
        <f>hyperlink("https://hetutrechtsarchief.nl/collectie/9C23BE1056A15C77A12F65E1BBDE93CC","Interview met de Eemnesser smid Jaap Eek Henk van Hees 21-27 2001")</f>
        <v>0</v>
      </c>
      <c r="D2034" s="1">
        <f>hyperlink("http://dspace.library.uu.nl/handle/1874/215420","Vervuilde sloten en een te smal vaarwater Henk J van Es 220-226 1995")</f>
        <v>0</v>
      </c>
    </row>
    <row r="2035" spans="2:4">
      <c r="B2035">
        <v>57</v>
      </c>
      <c r="C2035" s="1">
        <f>hyperlink("https://hetutrechtsarchief.nl/collectie/43EB60F9C1275547A36729821FB1A04F","Smeltend ijs in Breukelen het einde van de Griffioen A A Manten 4 tek 1998")</f>
        <v>0</v>
      </c>
      <c r="D2035" s="1">
        <f>hyperlink("http://dspace.library.uu.nl/handle/1874/215421","Maximum snelheid in 1920 in Breukeleveen 18 km per uur uit oude raadsnotulen 12 A A Manten 194 1996")</f>
        <v>0</v>
      </c>
    </row>
    <row r="2036" spans="2:4">
      <c r="B2036">
        <v>53</v>
      </c>
      <c r="C2036" s="1">
        <f>hyperlink("https://hetutrechtsarchief.nl/collectie/62982EC61141585CBAB95B0F3492ACAE","Op zoek naar het gemeentewapen van Breukelen-St Pieters 1910-1911 uit oude raadsnotulen 31 172-174 2002")</f>
        <v>0</v>
      </c>
      <c r="D2036" s="1">
        <f>hyperlink("http://dspace.library.uu.nl/handle/1874/215422","Problemen met autoverkeer over het Zandpad in 1927-1928 uit oude raadsnotulen 13 A A Manten 118 1997")</f>
        <v>0</v>
      </c>
    </row>
    <row r="2037" spans="2:4">
      <c r="B2037">
        <v>58</v>
      </c>
      <c r="C2037" s="1">
        <f>hyperlink("https://hetutrechtsarchief.nl/collectie/4349673C987A503E8AB686278220F353","De wandkleden van Riet van der Wens-van Spanjen Cees van der Wens 17-23 2016")</f>
        <v>0</v>
      </c>
      <c r="D2037" s="1">
        <f>hyperlink("http://dspace.library.uu.nl/handle/1874/215423","De tuinderij van Langezaal later de werf van Van Stam Henk J van Es 193-206 1994")</f>
        <v>0</v>
      </c>
    </row>
    <row r="2038" spans="2:4">
      <c r="B2038">
        <v>73</v>
      </c>
      <c r="C2038" s="1">
        <f>hyperlink("https://hetutrechtsarchief.nl/collectie/5EF45ADE0CE655C1883BC3ACB6BB0CB9","Een spreeuwenpot uit de gracht van kasteel Nijenrode Gert Immerzeel 65-70 2005")</f>
        <v>0</v>
      </c>
      <c r="D2038" s="1">
        <f>hyperlink("http://dspace.library.uu.nl/handle/1874/215424","Een middeleeuwse vuurdover van kasteel Nijenrode Gert Immerzeel 105-109 1997")</f>
        <v>0</v>
      </c>
    </row>
    <row r="2039" spans="2:4">
      <c r="B2039">
        <v>63</v>
      </c>
      <c r="C2039" s="1">
        <f>hyperlink("https://hetutrechtsarchief.nl/collectie/BAA4C7030B935970A9E9A4F822DDE8E1","Breukelen en de po zie Arie A Manten 153-161 2002")</f>
        <v>0</v>
      </c>
      <c r="D2039" s="1">
        <f>hyperlink("http://dspace.library.uu.nl/handle/1874/215425","Breukelen en Nieuwer Ter Aa in de Romeinse Tijd Arie A Manten 57-64 1997")</f>
        <v>0</v>
      </c>
    </row>
    <row r="2040" spans="2:4">
      <c r="B2040">
        <v>61</v>
      </c>
      <c r="C2040" s="1">
        <f>hyperlink("https://hetutrechtsarchief.nl/collectie/D91899B4CF6354B9896B64EB5C2020CF","Het karakter van het Rooie Dorp te Breukelen bij zijn ontstaan in 1916-1919 Arie A Manten 30-41 2003")</f>
        <v>0</v>
      </c>
      <c r="D2040" s="1">
        <f>hyperlink("http://dspace.library.uu.nl/handle/1874/215426","Het Huis Rietveld aan Vecht en Vaart te Breukelen en zijn bewoners Arie A Manten 4-19 1995")</f>
        <v>0</v>
      </c>
    </row>
    <row r="2041" spans="2:4">
      <c r="B2041">
        <v>56</v>
      </c>
      <c r="C2041" s="1">
        <f>hyperlink("https://hetutrechtsarchief.nl/collectie/5E312338D3CB5AC7B26F58FF5E00D455","Utrechtse beelden na 1950 1- 25 ill 1959")</f>
        <v>0</v>
      </c>
      <c r="D2041" s="1">
        <f>hyperlink("http://dspace.library.uu.nl/handle/1874/215427","De Scheendijk te Breukelen na 1940 Bertus Heus 33-38 1995")</f>
        <v>0</v>
      </c>
    </row>
    <row r="2042" spans="2:4">
      <c r="B2042">
        <v>55</v>
      </c>
      <c r="C2042" s="1">
        <f>hyperlink("https://hetutrechtsarchief.nl/collectie/72EC98101B155258AC348A07FA92ACE0","De heren van de Lek en graven van Nassau-La Lecq II de heren van de Lek tussen 1445 en 1824 2-16 2012")</f>
        <v>0</v>
      </c>
      <c r="D2042" s="1">
        <f>hyperlink("http://dspace.library.uu.nl/handle/1874/215428","De inwoners van de gemeente Breukelen vroeger en nu Wat cijfers en gegevens R T van de Geer 39-44 nr 4 p 205-210 1995")</f>
        <v>0</v>
      </c>
    </row>
    <row r="2043" spans="2:4">
      <c r="B2043">
        <v>66</v>
      </c>
      <c r="C2043" s="1">
        <f>hyperlink("https://hetutrechtsarchief.nl/collectie/14A96C0765365398A1D77761BDB3F05D","De Vechtstreek in het midden van de 17de eeuw Arie A Manten 76-82 2009")</f>
        <v>0</v>
      </c>
      <c r="D2043" s="1">
        <f>hyperlink("http://dspace.library.uu.nl/handle/1874/215429","Een boerengezin in Spengen in de 18de eeuw Arie A Manten 45-57 1995")</f>
        <v>0</v>
      </c>
    </row>
    <row r="2044" spans="2:4">
      <c r="B2044">
        <v>56</v>
      </c>
      <c r="C2044" s="1">
        <f>hyperlink("https://hetutrechtsarchief.nl/collectie/19B1245F382B5808AB3EBD245E11ADC4","L C Dudok de Wit in de publiciteit Irma Gondrie 13-21 2012")</f>
        <v>0</v>
      </c>
      <c r="D2044" s="1">
        <f>hyperlink("http://dspace.library.uu.nl/handle/1874/215430","L C Dudok de Wit Kees de Tippelaar Marcel M Claassen 1995")</f>
        <v>0</v>
      </c>
    </row>
    <row r="2045" spans="2:4">
      <c r="B2045">
        <v>58</v>
      </c>
      <c r="C2045" s="1">
        <f>hyperlink("https://hetutrechtsarchief.nl/collectie/FC28CD4663B15982BBF516BCC5354358","Overzicht van de archeologische vindplaatsen in de gemeente Vianen bew door Martin Brand 4-17 2011")</f>
        <v>0</v>
      </c>
      <c r="D2045" s="1">
        <f>hyperlink("http://dspace.library.uu.nl/handle/1874/215431","Inventarisatie van de archieven in de archiefbewaarplaats van de gemeente Breukelen W F M Ahoud 61-62 1995")</f>
        <v>0</v>
      </c>
    </row>
    <row r="2046" spans="2:4">
      <c r="B2046">
        <v>66</v>
      </c>
      <c r="C2046" s="1">
        <f>hyperlink("https://hetutrechtsarchief.nl/collectie/B9FE7030C639597C86469286B38B5047","Berichtgeving in oorlogstijd - v C 77-79 1968")</f>
        <v>0</v>
      </c>
      <c r="D2046" s="1">
        <f>hyperlink("http://dspace.library.uu.nl/handle/1874/215432","Breukelen in oorlogstijd Henk J van Es 67-92 1995")</f>
        <v>0</v>
      </c>
    </row>
    <row r="2047" spans="2:4">
      <c r="B2047">
        <v>58</v>
      </c>
      <c r="C2047" s="1">
        <f>hyperlink("https://hetutrechtsarchief.nl/collectie/E4A173057A205893BD1C4B33B64E383A","De ontwikkelingen in het onderwijs in Weesp van de Franse Tijd tot aan de Tweede Wereldoorlog A J Zondergeld-Hamer 131-148 1999")</f>
        <v>0</v>
      </c>
      <c r="D2047" s="1">
        <f>hyperlink("http://dspace.library.uu.nl/handle/1874/215433","Het protestants-christelijk onderwijs in Breukelen en de Tweede Wereldoorlog Henk J van Manten Arie A Es 93-101 1995")</f>
        <v>0</v>
      </c>
    </row>
    <row r="2048" spans="2:4">
      <c r="B2048">
        <v>63</v>
      </c>
      <c r="C2048" s="1">
        <f>hyperlink("https://hetutrechtsarchief.nl/collectie/FFB1C22240D15E91924C24318868FE40","Oude grenspaal van Kockengen teruggevonden Arie A Manten 48-49 2006")</f>
        <v>0</v>
      </c>
      <c r="D2048" s="1">
        <f>hyperlink("http://dspace.library.uu.nl/handle/1874/215434","Henk Brunt symbool van Kockengens verzet Arie A Manten 102-114 1995")</f>
        <v>0</v>
      </c>
    </row>
    <row r="2049" spans="2:4">
      <c r="B2049">
        <v>70</v>
      </c>
      <c r="C2049" s="1">
        <f>hyperlink("https://hetutrechtsarchief.nl/collectie/B9F5BB4316DE6A4DE0538F04000AF594","Ooggetuigen van de Tweede Wereldoorlog in Breukelen Kim Schoonman 58-59 2020")</f>
        <v>0</v>
      </c>
      <c r="D2049" s="1">
        <f>hyperlink("http://dspace.library.uu.nl/handle/1874/215435","Het einde van de Tweede Wereldoorlog in Breukeleveen Arie A Manten 115-117 1995")</f>
        <v>0</v>
      </c>
    </row>
    <row r="2050" spans="2:4">
      <c r="B2050">
        <v>62</v>
      </c>
      <c r="C2050" s="1">
        <f>hyperlink("https://hetutrechtsarchief.nl/collectie/090CC3EFEDCE5DB284EF5734EBDF276B","Streektaal uit Breukelen en omgeving 3 Arie A Manten 119-122 2001")</f>
        <v>0</v>
      </c>
      <c r="D2050" s="1">
        <f>hyperlink("http://dspace.library.uu.nl/handle/1874/215436","Gemeenteraad van Ruwiel opgeheven 1941 Arie A Manten 118-120 1995")</f>
        <v>0</v>
      </c>
    </row>
    <row r="2051" spans="2:4">
      <c r="B2051">
        <v>58</v>
      </c>
      <c r="C2051" s="1">
        <f>hyperlink("https://hetutrechtsarchief.nl/collectie/0AFB34EBC6D85608964275CC4B0F2625","Iets over de Vechtstreek R van Luttervelt 16-19 1950")</f>
        <v>0</v>
      </c>
      <c r="D2051" s="1">
        <f>hyperlink("http://dspace.library.uu.nl/handle/1874/215437","De inundaties 1944 1945 in de Vechtstreek D Reyneveld 121-127 1995")</f>
        <v>0</v>
      </c>
    </row>
    <row r="2052" spans="2:4">
      <c r="B2052">
        <v>65</v>
      </c>
      <c r="C2052" s="1">
        <f>hyperlink("https://hetutrechtsarchief.nl/collectie/B23143D1C72954D7984920BEA37EE9AF","Nog een en ander over het geslacht Freys van Dolre P M van Walchren 168-170 1902")</f>
        <v>0</v>
      </c>
      <c r="D2052" s="1">
        <f>hyperlink("http://dspace.library.uu.nl/handle/1874/215438","Een andere kijk op het geslacht Van Rietvelt B F van Wallene 129-135 1995")</f>
        <v>0</v>
      </c>
    </row>
    <row r="2053" spans="2:4">
      <c r="B2053">
        <v>66</v>
      </c>
      <c r="C2053" s="1">
        <f>hyperlink("https://hetutrechtsarchief.nl/collectie/38A433132C5D5808BF1CF43AC44724A7","Romeinse Rijk vreesde vrije Germanen Arie A Manten 144-146 1999")</f>
        <v>0</v>
      </c>
      <c r="D2053" s="1">
        <f>hyperlink("http://dspace.library.uu.nl/handle/1874/215439","In Brokel beneden aen die Kerckstraete Arie A Manten 136-146 1995")</f>
        <v>0</v>
      </c>
    </row>
    <row r="2054" spans="2:4">
      <c r="B2054">
        <v>52</v>
      </c>
      <c r="C2054" s="1">
        <f>hyperlink("https://hetutrechtsarchief.nl/collectie/4D60F00D98F15E3E8466464DAD172938","Utrechtse Studenten tussen 1815 en 1877 M van de Vrugt 141-146 1989")</f>
        <v>0</v>
      </c>
      <c r="D2054" s="1">
        <f>hyperlink("http://dspace.library.uu.nl/handle/1874/215440","Breukelen tussen 1914 en 1940 Henk J van Es 147-159 jg 11 1996 nr 3 p 131-144 1995-1996")</f>
        <v>0</v>
      </c>
    </row>
    <row r="2055" spans="2:4">
      <c r="B2055">
        <v>58</v>
      </c>
      <c r="C2055" s="1">
        <f>hyperlink("https://hetutrechtsarchief.nl/collectie/00C20ABD803359728C88AC61F7D7DCEF","De voormalige gemeente Kockengen B Barelds 116-122 1999")</f>
        <v>0</v>
      </c>
      <c r="D2055" s="1">
        <f>hyperlink("http://dspace.library.uu.nl/handle/1874/215441","De gemeente Kockengen en haar veldwachters 1908-1911 K J Onderweegs 160-166 1995")</f>
        <v>0</v>
      </c>
    </row>
    <row r="2056" spans="2:4">
      <c r="B2056">
        <v>56</v>
      </c>
      <c r="C2056" s="1">
        <f>hyperlink("https://hetutrechtsarchief.nl/collectie/3D7278EDAE5C54EEBB3720548BAFB150","De organisatie van de Breukelse brandweer in de jaren 1869-1931 Arie A Manten 177-187 2002")</f>
        <v>0</v>
      </c>
      <c r="D2056" s="1">
        <f>hyperlink("http://dspace.library.uu.nl/handle/1874/215442","Oorlogservaringen op de boerderij van J W Winkel in Oukoop 1939-1945 Arie A Manten 167-176 1995")</f>
        <v>0</v>
      </c>
    </row>
    <row r="2057" spans="2:4">
      <c r="B2057">
        <v>54</v>
      </c>
      <c r="C2057" s="1">
        <f>hyperlink("https://hetutrechtsarchief.nl/collectie/7B40ECBDD78052C1B584B18ADE4EEBA8","Uit de oude schoenendoos nr 42 peleton van de Binnenlandse Strijdkrachten te Maarssen J H Sagel 56 2010")</f>
        <v>0</v>
      </c>
      <c r="D2057" s="1">
        <f>hyperlink("http://dspace.library.uu.nl/handle/1874/215443","De gewapende conflicten tussen Nederlandse Binnenlandse Strijdkrachten en Duitse bezettingsmacht op 5 mei 1945 Arie A Manten 177-180 1995")</f>
        <v>0</v>
      </c>
    </row>
    <row r="2058" spans="2:4">
      <c r="B2058">
        <v>57</v>
      </c>
      <c r="C2058" s="1">
        <f>hyperlink("https://hetutrechtsarchief.nl/collectie/770479E81EEA5EB5A33AEA3339AB9261","Kasteel De Haar in de tweede wereldoorlog het werd een flop Jules Braat 30-33 2016")</f>
        <v>0</v>
      </c>
      <c r="D2058" s="1">
        <f>hyperlink("http://dspace.library.uu.nl/handle/1874/215444","HKB-activiteiten bij de herdenking dat 50 jaar geleden de Tweede Wereldoorlog eindigde een kort verslag 181-183 1995")</f>
        <v>0</v>
      </c>
    </row>
    <row r="2059" spans="2:4">
      <c r="B2059">
        <v>58</v>
      </c>
      <c r="C2059" s="1">
        <f>hyperlink("https://hetutrechtsarchief.nl/collectie/D91FA1E2A26B522787118BD5468AC925","Het veen en de herberg van De Dolder Harm Sok 11-16 1998")</f>
        <v>0</v>
      </c>
      <c r="D2059" s="1">
        <f>hyperlink("http://dspace.library.uu.nl/handle/1874/215445","De eerste jaren in het bestaan van de polder Oukoop 1 D Reyneveld 185-196 1995")</f>
        <v>0</v>
      </c>
    </row>
    <row r="2060" spans="2:4">
      <c r="B2060">
        <v>57</v>
      </c>
      <c r="C2060" s="1">
        <f>hyperlink("https://hetutrechtsarchief.nl/collectie/10964850A7315239ACAC65180D3FCBC0","Frontieren vestigingen waterlinies en het leger van de Republiek Arie A Manten 93-103 2009")</f>
        <v>0</v>
      </c>
      <c r="D2060" s="1">
        <f>hyperlink("http://dspace.library.uu.nl/handle/1874/215446","Joost van Rietveld als getuige ten behoeve van het Leenhof van Nijenrode Arie A Manten 197-204 1995")</f>
        <v>0</v>
      </c>
    </row>
    <row r="2061" spans="2:4">
      <c r="B2061">
        <v>64</v>
      </c>
      <c r="C2061" s="1">
        <f>hyperlink("https://hetutrechtsarchief.nl/collectie/B07A97594F31556886A29874213F3038","Hoofdstukken uit de geschiedenis van het Nedersticht K Heeringa 15 -62 1931")</f>
        <v>0</v>
      </c>
      <c r="D2061" s="1">
        <f>hyperlink("http://dspace.library.uu.nl/handle/1874/215448","Het Kockengense gedeelte uit de geschiedenis van het geslacht Borra Herman H Borra 211-219 1995")</f>
        <v>0</v>
      </c>
    </row>
    <row r="2062" spans="2:4">
      <c r="B2062">
        <v>67</v>
      </c>
      <c r="C2062" s="1">
        <f>hyperlink("https://hetutrechtsarchief.nl/collectie/3A27AD89783B5E809ADD1D2911013583","Manten en Kalle Arie A Manten 4-10 2002")</f>
        <v>0</v>
      </c>
      <c r="D2062" s="1">
        <f>hyperlink("http://dspace.library.uu.nl/handle/1874/215449","Kaatsen en kaatsbanen Arie A Manten 227-230 1995")</f>
        <v>0</v>
      </c>
    </row>
    <row r="2063" spans="2:4">
      <c r="B2063">
        <v>74</v>
      </c>
      <c r="C2063" s="1">
        <f>hyperlink("https://hetutrechtsarchief.nl/collectie/37438B0127065C35B5C34E734004CFD0","Het Heilige Geesthuis te Breukelen Arie A Manten 121-125 2005")</f>
        <v>0</v>
      </c>
      <c r="D2063" s="1">
        <f>hyperlink("http://dspace.library.uu.nl/handle/1874/215450","De Heilige Antonius en Breukelen Arie A Manten 4-17 1996")</f>
        <v>0</v>
      </c>
    </row>
    <row r="2064" spans="2:4">
      <c r="B2064">
        <v>59</v>
      </c>
      <c r="C2064" s="1">
        <f>hyperlink("https://hetutrechtsarchief.nl/collectie/A68C889C2B209174E0534701000A2C9E","De Tweede Wereldoorlog in Breukelen Jan Rutges 19-21 2020")</f>
        <v>0</v>
      </c>
      <c r="D2064" s="1">
        <f>hyperlink("http://dspace.library.uu.nl/handle/1874/215451","Tweede Kamerverkiezing in Breukelen 1909 17 1996")</f>
        <v>0</v>
      </c>
    </row>
    <row r="2065" spans="2:4">
      <c r="B2065">
        <v>62</v>
      </c>
      <c r="C2065" s="1">
        <f>hyperlink("https://hetutrechtsarchief.nl/collectie/FCE57ED9507B5F32B745358752B1120C","De ontwikkeling van sluisdeuren in Nederland G J Arends 73-89 ill fig 1994")</f>
        <v>0</v>
      </c>
      <c r="D2065" s="1">
        <f>hyperlink("http://dspace.library.uu.nl/handle/1874/215453","De ontwikkeling van de post in Nederland tussen 1843 en 1913 G Hogesteeger 18-23 1996")</f>
        <v>0</v>
      </c>
    </row>
    <row r="2066" spans="2:4">
      <c r="B2066">
        <v>59</v>
      </c>
      <c r="C2066" s="1">
        <f>hyperlink("https://hetutrechtsarchief.nl/collectie/FFBAFE830FD05C5A80E76A7C1E5231AC","Tussen s-Heerenwagenweg en Danne te Breukelen Henk J van Es 163-171 ill portr 1998")</f>
        <v>0</v>
      </c>
      <c r="D2066" s="1">
        <f>hyperlink("http://dspace.library.uu.nl/handle/1874/215454","Krijn Scheepmaker 1790-1851 veldwachter en dichter te Breukelen Henk J van Es 24-33 1996")</f>
        <v>0</v>
      </c>
    </row>
    <row r="2067" spans="2:4">
      <c r="B2067">
        <v>54</v>
      </c>
      <c r="C2067" s="1">
        <f>hyperlink("https://hetutrechtsarchief.nl/collectie/B97E81E86BAA521F8B64CFE694FA7938","De Oude en de Nieuwe Kerk te Amsterdam 42-43 1968")</f>
        <v>0</v>
      </c>
      <c r="D2067" s="1">
        <f>hyperlink("http://dspace.library.uu.nl/handle/1874/215455","Mijn oude fietszadel Paul van Warmerdam 34 1996")</f>
        <v>0</v>
      </c>
    </row>
    <row r="2068" spans="2:4">
      <c r="B2068">
        <v>58</v>
      </c>
      <c r="C2068" s="1">
        <f>hyperlink("https://hetutrechtsarchief.nl/collectie/43EB60F9C1275547A36729821FB1A04F","Smeltend ijs in Breukelen het einde van de Griffioen A A Manten 4 tek 1998")</f>
        <v>0</v>
      </c>
      <c r="D2068" s="1">
        <f>hyperlink("http://dspace.library.uu.nl/handle/1874/215456","Het ijspakhuis van Griffioen in Oud Aa Arie A Manten 35-38 1996")</f>
        <v>0</v>
      </c>
    </row>
    <row r="2069" spans="2:4">
      <c r="B2069">
        <v>68</v>
      </c>
      <c r="C2069" s="1">
        <f>hyperlink("https://hetutrechtsarchief.nl/collectie/FFB1C22240D15E91924C24318868FE40","Oude grenspaal van Kockengen teruggevonden Arie A Manten 48-49 2006")</f>
        <v>0</v>
      </c>
      <c r="D2069" s="1">
        <f>hyperlink("http://dspace.library.uu.nl/handle/1874/215457","Oude geschiedenis van Kockengen Arie A Manten 43-50 1996")</f>
        <v>0</v>
      </c>
    </row>
    <row r="2070" spans="2:4">
      <c r="B2070">
        <v>61</v>
      </c>
      <c r="C2070" s="1">
        <f>hyperlink("https://hetutrechtsarchief.nl/collectie/89A3171554C25139841ED9235610D9FC","Bijdragen tot de geschiedenis van het klokkenspel in Nederland 141-144 1846")</f>
        <v>0</v>
      </c>
      <c r="D2070" s="1">
        <f>hyperlink("http://dspace.library.uu.nl/handle/1874/215458","Zichtbare getuigen van de geschiedenis van het landschap Paul Vlaanderen 51-53 1996")</f>
        <v>0</v>
      </c>
    </row>
    <row r="2071" spans="2:4">
      <c r="B2071">
        <v>54</v>
      </c>
      <c r="C2071" s="1">
        <f>hyperlink("https://hetutrechtsarchief.nl/collectie/6A8FD300703E522D8B06AF92EBFA8D3A","Jan R van Nijendaal 1880-1975 huisschilder en kunstfotograaf Jan Coppens 25-33 ill 1999")</f>
        <v>0</v>
      </c>
      <c r="D2071" s="1">
        <f>hyperlink("http://dspace.library.uu.nl/handle/1874/215459","Jacob Schippers Jr 1871-1939 kaashandelaar en fotograaf Henk J van Es 58-96 1996")</f>
        <v>0</v>
      </c>
    </row>
    <row r="2072" spans="2:4">
      <c r="B2072">
        <v>67</v>
      </c>
      <c r="C2072" s="1">
        <f>hyperlink("https://hetutrechtsarchief.nl/collectie/BAA412C4BB89554C9B81E0DFB0DBBD55","Bonifatius Velsen en Breukelen Arie A Manten 147-149 1999")</f>
        <v>0</v>
      </c>
      <c r="D2072" s="1">
        <f>hyperlink("http://dspace.library.uu.nl/handle/1874/215460","De melkfabriek van Hoekstra te Breukelen Arie A Manten 97-111 1996")</f>
        <v>0</v>
      </c>
    </row>
    <row r="2073" spans="2:4">
      <c r="B2073">
        <v>76</v>
      </c>
      <c r="C2073" s="1">
        <f>hyperlink("https://hetutrechtsarchief.nl/collectie/EFE87D31FF925CAA8BA6AC2BF1C4E94B","Gijsbrecht II van Nijenrode en de omstreden datering van de Kabeljauwse Verbondsakte B F van Wallene 105-108 1998")</f>
        <v>0</v>
      </c>
      <c r="D2073" s="1">
        <f>hyperlink("http://dspace.library.uu.nl/handle/1874/215461","Gijsbrecht II van Nijenrode in 1350 betrokken in de Kabeljauwse politiek B F van Wallene 112-123 1996")</f>
        <v>0</v>
      </c>
    </row>
    <row r="2074" spans="2:4">
      <c r="B2074">
        <v>57</v>
      </c>
      <c r="C2074" s="1">
        <f>hyperlink("https://hetutrechtsarchief.nl/collectie/8CCB24FF9E285F3CB07ED9F495DF3E17","De Gelderse en Stichtse wagen Janneke van Wakeren 130-143 1999")</f>
        <v>0</v>
      </c>
      <c r="D2074" s="1">
        <f>hyperlink("http://dspace.library.uu.nl/handle/1874/215462","De Hoeksgezinde zonen van Wigger van Nijenrode B F van Wallene 124-130 1996")</f>
        <v>0</v>
      </c>
    </row>
    <row r="2075" spans="2:4">
      <c r="B2075">
        <v>63</v>
      </c>
      <c r="C2075" s="1">
        <f>hyperlink("https://hetutrechtsarchief.nl/collectie/6038326654B757C2B7CF96AF2011EDA1","De Christelijke Naaischool te Breukelen-Nijenrode Henk van Walderveen 22-25 2000")</f>
        <v>0</v>
      </c>
      <c r="D2075" s="1">
        <f>hyperlink("http://dspace.library.uu.nl/handle/1874/215463","De Christelijke Historische Kiesvereniging te Breukelen van 1911-1940 H van Walderveen 145-152 1996")</f>
        <v>0</v>
      </c>
    </row>
    <row r="2076" spans="2:4">
      <c r="B2076">
        <v>55</v>
      </c>
      <c r="C2076" s="1">
        <f>hyperlink("https://hetutrechtsarchief.nl/collectie/004CCECCB7F055FA965AD8E45E2D20BA","In memoriam Johannes Jacobus Zoon 1902-1958 L A Hulst 11-14 1957")</f>
        <v>0</v>
      </c>
      <c r="D2076" s="1">
        <f>hyperlink("http://dspace.library.uu.nl/handle/1874/215464","Johannes Wilhelmus H rst 1904-1955 A J H rst 153-156 1996")</f>
        <v>0</v>
      </c>
    </row>
    <row r="2077" spans="2:4">
      <c r="B2077">
        <v>62</v>
      </c>
      <c r="C2077" s="1">
        <f>hyperlink("https://hetutrechtsarchief.nl/collectie/26204C73AEFE5DEABBFCD568453F6AF6","De kleine gemeente Portengen 1816-1856 Arie A Manten 14-19 2001")</f>
        <v>0</v>
      </c>
      <c r="D2077" s="1">
        <f>hyperlink("http://dspace.library.uu.nl/handle/1874/215465","Klompenschaarste in Kockengen 1942-1945 Arie A Manten 157-159 1996")</f>
        <v>0</v>
      </c>
    </row>
    <row r="2078" spans="2:4">
      <c r="B2078">
        <v>62</v>
      </c>
      <c r="C2078" s="1">
        <f>hyperlink("https://hetutrechtsarchief.nl/collectie/979CADC1E4D1DCF8E0534701000A6613","Hoezo De Zegepraalende Vecht Jos Odekerken 130-140 2019")</f>
        <v>0</v>
      </c>
      <c r="D2078" s="1">
        <f>hyperlink("http://dspace.library.uu.nl/handle/1874/215466","De zegepralende Vecht in Japan R Plomp 160-165 1996")</f>
        <v>0</v>
      </c>
    </row>
    <row r="2079" spans="2:4">
      <c r="B2079">
        <v>64</v>
      </c>
      <c r="C2079" s="1">
        <f>hyperlink("https://hetutrechtsarchief.nl/collectie/6BC9F35EE0145912B58A93D37C5BC927","De eerste straatverlichting in Breukelen Jaap G Bokma 9-12 2005")</f>
        <v>0</v>
      </c>
      <c r="D2079" s="1">
        <f>hyperlink("http://dspace.library.uu.nl/handle/1874/215467","De watertoren van Breukelen J G Bokma 169-175 1996")</f>
        <v>0</v>
      </c>
    </row>
    <row r="2080" spans="2:4">
      <c r="B2080">
        <v>64</v>
      </c>
      <c r="C2080" s="1">
        <f>hyperlink("https://hetutrechtsarchief.nl/collectie/9C4DA0FFFF1E50529E7DFB306C66B2A8","Streektaal uit Breukelen en omgeving Arie A Manten 106-111 1999")</f>
        <v>0</v>
      </c>
      <c r="D2080" s="1">
        <f>hyperlink("http://dspace.library.uu.nl/handle/1874/215468","Het Regthuys van Breukelen v r 1400 gesticht Arie A Manten 176-182 1996")</f>
        <v>0</v>
      </c>
    </row>
    <row r="2081" spans="2:4">
      <c r="B2081">
        <v>74</v>
      </c>
      <c r="C2081" s="1">
        <f>hyperlink("https://hetutrechtsarchief.nl/collectie/39F6E2C5793E59FBAABE81D6B308B761","De oorsprong van het geslacht Van Heurn W Wijnaendts van Resandt 181-198 1965")</f>
        <v>0</v>
      </c>
      <c r="D2081" s="1">
        <f>hyperlink("http://dspace.library.uu.nl/handle/1874/215470","De oorsprong van het geslacht Van Rietvelt B F van Wallene 183-194 1996")</f>
        <v>0</v>
      </c>
    </row>
    <row r="2082" spans="2:4">
      <c r="B2082">
        <v>59</v>
      </c>
      <c r="C2082" s="1">
        <f>hyperlink("https://hetutrechtsarchief.nl/collectie/179588215EDC58F9B1867D0CBE0F2843","De oude molens van Otterspoorbroek Kortrijk en Kockengen Arie A Manten 210-216 2000")</f>
        <v>0</v>
      </c>
      <c r="D2082" s="1">
        <f>hyperlink("http://dspace.library.uu.nl/handle/1874/215471","Verordening voor de openbare lagere school in Kockengen uit 1860 Arie A Manten 209-214 1996")</f>
        <v>0</v>
      </c>
    </row>
    <row r="2083" spans="2:4">
      <c r="B2083">
        <v>65</v>
      </c>
      <c r="C2083" s="1">
        <f>hyperlink("https://hetutrechtsarchief.nl/collectie/84E2304596735AA5837963867960E6BB","Brandspuitenhuisje op het Breukelse Kerkplein in 1869 niet gebouwd op de plek van eerste keus Arie A Manten en Henk van Walderveen 172-173 1998")</f>
        <v>0</v>
      </c>
      <c r="D2083" s="1">
        <f>hyperlink("http://dspace.library.uu.nl/handle/1874/215472","Brandspuitenhuisje op het Kerkplein in 1929 zwaar gehavend en herbouwd Huub A Manten Arie A Manten-Werker 15-218 1996")</f>
        <v>0</v>
      </c>
    </row>
    <row r="2084" spans="2:4">
      <c r="B2084">
        <v>56</v>
      </c>
      <c r="C2084" s="1">
        <f>hyperlink("https://hetutrechtsarchief.nl/collectie/7C2F543BA5BB501CE0534701000A2DB2","Boerderij Keulen en zijn bewoners Een middeleeuwse boerenplaats Cees van Loen 86-97 2018")</f>
        <v>0</v>
      </c>
      <c r="D2084" s="1">
        <f>hyperlink("http://dspace.library.uu.nl/handle/1874/215473","Breukelen tijdens de Middeleeuwen kort verslag van een cursus Irma Gondrie 219-222 1996")</f>
        <v>0</v>
      </c>
    </row>
    <row r="2085" spans="2:4">
      <c r="B2085">
        <v>63</v>
      </c>
      <c r="C2085" s="1">
        <f>hyperlink("https://hetutrechtsarchief.nl/collectie/5937F1A2177E5CB2B9E54CA5507A36B5","De theekoepel van de buitenplaats Vroeglust te Breukelen Henk J van Es 254-258 2001")</f>
        <v>0</v>
      </c>
      <c r="D2085" s="1">
        <f>hyperlink("http://dspace.library.uu.nl/handle/1874/215474","De gevelstenen van Het Huys te Keyseryck terug in Breukelen Henk J van Es 223 1996")</f>
        <v>0</v>
      </c>
    </row>
    <row r="2086" spans="2:4">
      <c r="B2086">
        <v>65</v>
      </c>
      <c r="C2086" s="1">
        <f>hyperlink("https://hetutrechtsarchief.nl/collectie/BBC6F46857165D28BA0C741280AFEB2B","De melkfabriek Sterovita te Breukelen 2 Zeger Provily 242-250 2005")</f>
        <v>0</v>
      </c>
      <c r="D2086" s="1">
        <f>hyperlink("http://dspace.library.uu.nl/handle/1874/215477","De melkfabriek Insulinde te Breukelen Zeger Provily 225-238 jg 12 1997 nr 3 p 147-160 1996-1997")</f>
        <v>0</v>
      </c>
    </row>
    <row r="2087" spans="2:4">
      <c r="B2087">
        <v>63</v>
      </c>
      <c r="C2087" s="1">
        <f>hyperlink("https://hetutrechtsarchief.nl/collectie/84E2304596735AA5837963867960E6BB","Brandspuitenhuisje op het Breukelse Kerkplein in 1869 niet gebouwd op de plek van eerste keus Arie A Manten en Henk van Walderveen 172-173 1998")</f>
        <v>0</v>
      </c>
      <c r="D2087" s="1">
        <f>hyperlink("http://dspace.library.uu.nl/handle/1874/215479","Brandspuitenhuisje op het Kerkplein verloor in 1930 zijn functie Huub A Manten Arie A Manten-Werker 239-241 1996")</f>
        <v>0</v>
      </c>
    </row>
    <row r="2088" spans="2:4">
      <c r="B2088">
        <v>54</v>
      </c>
      <c r="C2088" s="1">
        <f>hyperlink("https://hetutrechtsarchief.nl/collectie/920DF29F5D7E572FA75F229C598F86BD","Vreeswijk-Vianen via Amsterdamse dekschuiten J M Kraaijeveld 88-89 2006")</f>
        <v>0</v>
      </c>
      <c r="D2088" s="1">
        <f>hyperlink("http://dspace.library.uu.nl/handle/1874/215480","Vechtstreek als leverancier van Amsterdams drinkwater J G Bokma 242-248 1996")</f>
        <v>0</v>
      </c>
    </row>
    <row r="2089" spans="2:4">
      <c r="B2089">
        <v>70</v>
      </c>
      <c r="C2089" s="1">
        <f>hyperlink("https://hetutrechtsarchief.nl/collectie/44E70DCE73275761BE7D22611FB0E13E","De oude band van kasteel De Haar met Kockengen en Spengen Arie A Manten 60-65 1998")</f>
        <v>0</v>
      </c>
      <c r="D2089" s="1">
        <f>hyperlink("http://dspace.library.uu.nl/handle/1874/215482","De oude band van Kockengen en Spengen met kasteel De Haar Arie A Manten 249-257 1996")</f>
        <v>0</v>
      </c>
    </row>
    <row r="2090" spans="2:4">
      <c r="B2090">
        <v>60</v>
      </c>
      <c r="C2090" s="1">
        <f>hyperlink("https://hetutrechtsarchief.nl/collectie/6E0196FB819A5FA0A7F10DD0CA9FC955","De broers Dudok de Wit en de keizer die niet kwam Frans J L van Capelle 123-128 2001")</f>
        <v>0</v>
      </c>
      <c r="D2090" s="1">
        <f>hyperlink("http://dspace.library.uu.nl/handle/1874/215484","De gebroeders Dudok de Wit en de sport Arie A Manten 272-275 1996")</f>
        <v>0</v>
      </c>
    </row>
    <row r="2091" spans="2:4">
      <c r="B2091">
        <v>57</v>
      </c>
      <c r="C2091" s="1">
        <f>hyperlink("https://hetutrechtsarchief.nl/collectie/DEB86F1F3333598D8447DCAF244C57A3","Stinseplanten op kasteel Zuylen J Brinkman 25-27 tek 1977")</f>
        <v>0</v>
      </c>
      <c r="D2091" s="1">
        <f>hyperlink("http://dspace.library.uu.nl/handle/1874/215486","Sinterklaasvieringen op kasteel Nijenrode E B J Postma 276 1996")</f>
        <v>0</v>
      </c>
    </row>
    <row r="2092" spans="2:4">
      <c r="B2092">
        <v>68</v>
      </c>
      <c r="C2092" s="1">
        <f>hyperlink("https://hetutrechtsarchief.nl/collectie/92AAA7306EF586D0E0534701000A1E21","Oorlogsherinneringen van en Renswoudenaar 1 Evert Jan Vermeulen 20-34 2019")</f>
        <v>0</v>
      </c>
      <c r="D2092" s="1">
        <f>hyperlink("http://dspace.library.uu.nl/handle/1874/215488","Oorlogsherinneringen van Henk Herfkens Henk J van Es 277-279 1996")</f>
        <v>0</v>
      </c>
    </row>
    <row r="2093" spans="2:4">
      <c r="B2093">
        <v>72</v>
      </c>
      <c r="C2093" s="1">
        <f>hyperlink("https://hetutrechtsarchief.nl/collectie/41803AAAF5E45544BB853FB028224415","De agrarische geschiedenis van de familie Manten Arie A Manten 4-10 2005")</f>
        <v>0</v>
      </c>
      <c r="D2093" s="1">
        <f>hyperlink("http://dspace.library.uu.nl/handle/1874/215489","De economische geschiedenis van de Vecht Arie A Manten 281-285 1996")</f>
        <v>0</v>
      </c>
    </row>
    <row r="2094" spans="2:4">
      <c r="B2094">
        <v>93</v>
      </c>
      <c r="C2094" s="1">
        <f>hyperlink("https://hetutrechtsarchief.nl/collectie/43CBE676B1A95CC299F2006839F79A2D","Cornelis Antonissen Van Slyke uit Breukelen en zijn Mohwak vrouw Ots-Toch Lorine McGinnis Schulze 10-13 2009")</f>
        <v>0</v>
      </c>
      <c r="D2094" s="1">
        <f>hyperlink("http://dspace.library.uu.nl/handle/1874/215491","Cornelis Antonissen Van Slyke uit Breukelen en zijn Mohawk vrouw Ots-Toch Lorine McGinnis Schulze 4-8 1997")</f>
        <v>0</v>
      </c>
    </row>
    <row r="2095" spans="2:4">
      <c r="B2095">
        <v>65</v>
      </c>
      <c r="C2095" s="1">
        <f>hyperlink("https://hetutrechtsarchief.nl/collectie/0CA2B64768A25542895AED460B30FA28","Beknopte vrouwengeschiedenis van Breukelen Nieuwer Ter Aa en Kockengen Arie A Manten 114-167 2007")</f>
        <v>0</v>
      </c>
      <c r="D2095" s="1">
        <f>hyperlink("http://dspace.library.uu.nl/handle/1874/215492","Korte geschiedenis van Nieuw Nederlandt en het daar gelegen Breuckelen Arie A Manten 9-13 1997")</f>
        <v>0</v>
      </c>
    </row>
    <row r="2096" spans="2:4">
      <c r="B2096">
        <v>64</v>
      </c>
      <c r="C2096" s="1">
        <f>hyperlink("https://hetutrechtsarchief.nl/collectie/BAA412C4BB89554C9B81E0DFB0DBBD55","Bonifatius Velsen en Breukelen Arie A Manten 147-149 1999")</f>
        <v>0</v>
      </c>
      <c r="D2096" s="1">
        <f>hyperlink("http://dspace.library.uu.nl/handle/1874/215494","De buitenplaatsen te Breukelen R Plomp 14-19 1997")</f>
        <v>0</v>
      </c>
    </row>
    <row r="2097" spans="2:4">
      <c r="B2097">
        <v>64</v>
      </c>
      <c r="C2097" s="1">
        <f>hyperlink("https://hetutrechtsarchief.nl/collectie/D5D2C7D013EF53F0B53254AFF428A363","Twee nieuwe kastelen en drie doodgeslagen Breukelen-oost in de vroege 14de eeuw Arie A Manten 35-51 2011")</f>
        <v>0</v>
      </c>
      <c r="D2097" s="1">
        <f>hyperlink("http://dspace.library.uu.nl/handle/1874/215495","Dijkaanleg om het Ronde Dorp van Breukelen in de 11de en 12de eeuw Arie A Manten 20-25 1997")</f>
        <v>0</v>
      </c>
    </row>
    <row r="2098" spans="2:4">
      <c r="B2098">
        <v>59</v>
      </c>
      <c r="C2098" s="1">
        <f>hyperlink("https://hetutrechtsarchief.nl/collectie/00C20ABD803359728C88AC61F7D7DCEF","De voormalige gemeente Kockengen B Barelds 116-122 1999")</f>
        <v>0</v>
      </c>
      <c r="D2098" s="1">
        <f>hyperlink("http://dspace.library.uu.nl/handle/1874/215497","De gemeente Kockengen en haar veldwachters 1911-1924 K J Onderweegs 38-43 1997")</f>
        <v>0</v>
      </c>
    </row>
    <row r="2099" spans="2:4">
      <c r="B2099">
        <v>54</v>
      </c>
      <c r="C2099" s="1">
        <f>hyperlink("https://hetutrechtsarchief.nl/collectie/FD11973E808859E5AFA8BDE5990C0432","Thuis in Overvecht een gemeentewoning 10-11 ill 1986")</f>
        <v>0</v>
      </c>
      <c r="D2099" s="1">
        <f>hyperlink("http://dspace.library.uu.nl/handle/1874/215498","Het huis Spoor- en Veldzicht een kleine verantwoording A S Klusener 44-45 1997")</f>
        <v>0</v>
      </c>
    </row>
    <row r="2100" spans="2:4">
      <c r="B2100">
        <v>56</v>
      </c>
      <c r="C2100" s="1">
        <f>hyperlink("https://hetutrechtsarchief.nl/collectie/C7A3FC79D8E153E4A01977B74629564F","Aan de vergetelheid ontrukt 3 Dirk van Barneveld 1914-1944 Arie A Manten 45-46 1999")</f>
        <v>0</v>
      </c>
      <c r="D2100" s="1">
        <f>hyperlink("http://dspace.library.uu.nl/handle/1874/215499","De verdwijning van het bevolkingsregister van Breukelen in november 1944 Arie A Es Henk J van Manten 46-48 1997")</f>
        <v>0</v>
      </c>
    </row>
    <row r="2101" spans="2:4">
      <c r="B2101">
        <v>63</v>
      </c>
      <c r="C2101" s="1">
        <f>hyperlink("https://hetutrechtsarchief.nl/collectie/D14BAFCA64C551ACB86936EBE80F4168","Het geslacht Van Goudoever E A van Beresteyn 209 -240 1907")</f>
        <v>0</v>
      </c>
      <c r="D2101" s="1">
        <f>hyperlink("http://dspace.library.uu.nl/handle/1874/215500","Kwam het geslacht Attinga uit Oostergo Arie A Manten 49-52 1997")</f>
        <v>0</v>
      </c>
    </row>
    <row r="2102" spans="2:4">
      <c r="B2102">
        <v>55</v>
      </c>
      <c r="C2102" s="1">
        <f>hyperlink("https://hetutrechtsarchief.nl/collectie/3E7EB5E6613757BDBC2F4F7AECF8CD77","De functie van de stenen kamers Galgweert en Broekelreweert bij Breukelen Arie A Manten en B F van Wallene 67-76 1999")</f>
        <v>0</v>
      </c>
      <c r="D2102" s="1">
        <f>hyperlink("http://dspace.library.uu.nl/handle/1874/215501","Een tak van de Breukelse familie Van Rietvelt maakte carri re in het graafschap Holland B F van Wallene 65-81 1997")</f>
        <v>0</v>
      </c>
    </row>
    <row r="2103" spans="2:4">
      <c r="B2103">
        <v>65</v>
      </c>
      <c r="C2103" s="1">
        <f>hyperlink("https://hetutrechtsarchief.nl/collectie/5937F1A2177E5CB2B9E54CA5507A36B5","De theekoepel van de buitenplaats Vroeglust te Breukelen Henk J van Es 254-258 2001")</f>
        <v>0</v>
      </c>
      <c r="D2103" s="1">
        <f>hyperlink("http://dspace.library.uu.nl/handle/1874/215502","De buitenplaats Vechtstroom te Breukelen Henk J van Es 82-96 nr 3 p 121-137 233 1997")</f>
        <v>0</v>
      </c>
    </row>
    <row r="2104" spans="2:4">
      <c r="B2104">
        <v>63</v>
      </c>
      <c r="C2104" s="1">
        <f>hyperlink("https://hetutrechtsarchief.nl/collectie/63B718EC47BD55F5831A33C819251EFF","Van Randerodes van Montfoort en het Kockengen-Montfoortsgerecht 2 B F van Wallene en Arie A Manten 193-202 1998")</f>
        <v>0</v>
      </c>
      <c r="D2104" s="1">
        <f>hyperlink("http://dspace.library.uu.nl/handle/1874/215503","Het Kockengen-Montfoortsgerecht Arie A Manten 97-104 1997")</f>
        <v>0</v>
      </c>
    </row>
    <row r="2105" spans="2:4">
      <c r="B2105">
        <v>66</v>
      </c>
      <c r="C2105" s="1">
        <f>hyperlink("https://hetutrechtsarchief.nl/collectie/43E3DC8DF34657D89374BCBA2D8FA97D","Telefoonlijst van Breukelen uit 1939 H van Walderveen 63-66 1999")</f>
        <v>0</v>
      </c>
      <c r="D2105" s="1">
        <f>hyperlink("http://dspace.library.uu.nl/handle/1874/215504","Begrafenisvereniging Breukelen H van Walderveen 1997")</f>
        <v>0</v>
      </c>
    </row>
    <row r="2106" spans="2:4">
      <c r="B2106">
        <v>57</v>
      </c>
      <c r="C2106" s="1">
        <f>hyperlink("https://hetutrechtsarchief.nl/collectie/38A433132C5D5808BF1CF43AC44724A7","Romeinse Rijk vreesde vrije Germanen Arie A Manten 144-146 1999")</f>
        <v>0</v>
      </c>
      <c r="D2106" s="1">
        <f>hyperlink("http://dspace.library.uu.nl/handle/1874/215505","De Otterspoordam Arie A Manten 138-146 1997")</f>
        <v>0</v>
      </c>
    </row>
    <row r="2107" spans="2:4">
      <c r="B2107">
        <v>61</v>
      </c>
      <c r="C2107" s="1">
        <f>hyperlink("https://hetutrechtsarchief.nl/collectie/AB0BCA54BF9750CBAA5CB2C8CB7A29C9","De Kemp de geschiedenis van een oude Oukoopse boerderij Albertus A van Kooten en Bep van Schaik-van Kooten 133-143 2001")</f>
        <v>0</v>
      </c>
      <c r="D2107" s="1">
        <f>hyperlink("http://dspace.library.uu.nl/handle/1874/215506","De meid Dirkje stichtte in 1869 een brandje in onze Kockengense boerderij Bep van Schaik-van Kooten 161-166 1997")</f>
        <v>0</v>
      </c>
    </row>
    <row r="2108" spans="2:4">
      <c r="B2108">
        <v>60</v>
      </c>
      <c r="C2108" s="1">
        <f>hyperlink("https://hetutrechtsarchief.nl/collectie/15EF340C7FB65D6C84AC02B2F6C259D8","De historie van het kerkgebouw aan de Hamburgerstraat 15-17 17-18 1985")</f>
        <v>0</v>
      </c>
      <c r="D2108" s="1">
        <f>hyperlink("http://dspace.library.uu.nl/handle/1874/215507","Korte historie van de kleipijp B van Diemen 167-171 1997")</f>
        <v>0</v>
      </c>
    </row>
    <row r="2109" spans="2:4">
      <c r="B2109">
        <v>58</v>
      </c>
      <c r="C2109" s="1">
        <f>hyperlink("https://hetutrechtsarchief.nl/collectie/14A96C0765365398A1D77761BDB3F05D","De Vechtstreek in het midden van de 17de eeuw Arie A Manten 76-82 2009")</f>
        <v>0</v>
      </c>
      <c r="D2109" s="1">
        <f>hyperlink("http://dspace.library.uu.nl/handle/1874/215508","Vrouwe van Ter Aa hechtte aan het bezit van een deel van de rivier de Aa Arie A Manten 172-173 1997")</f>
        <v>0</v>
      </c>
    </row>
    <row r="2110" spans="2:4">
      <c r="B2110">
        <v>59</v>
      </c>
      <c r="C2110" s="1">
        <f>hyperlink("https://hetutrechtsarchief.nl/collectie/361B7C041337526D816ABB39C73561F3","De toekomst van de Utrechtse Heuvelrug en Vallei P A C Beelaerts van Blokland 41-45 1992")</f>
        <v>0</v>
      </c>
      <c r="D2110" s="1">
        <f>hyperlink("http://dspace.library.uu.nl/handle/1874/215509","Relatie tussen provinciaal en lokaal bestuur v r de 19de eeuw P A C Beelaerts van Blokland 177-185 1997")</f>
        <v>0</v>
      </c>
    </row>
    <row r="2111" spans="2:4">
      <c r="B2111">
        <v>66</v>
      </c>
      <c r="C2111" s="1">
        <f>hyperlink("https://hetutrechtsarchief.nl/collectie/BF893904B2965ADF948487DF8738144F","De glorietijd van het Rooie Dorp van Breukelen Arie A Manten 198-210 2004")</f>
        <v>0</v>
      </c>
      <c r="D2111" s="1">
        <f>hyperlink("http://dspace.library.uu.nl/handle/1874/215512","De oorsprong van de Molukse gemeenschap in Breukelen Arie A Manten 197-210 1997")</f>
        <v>0</v>
      </c>
    </row>
    <row r="2112" spans="2:4">
      <c r="B2112">
        <v>51</v>
      </c>
      <c r="C2112" s="1">
        <f>hyperlink("https://hetutrechtsarchief.nl/collectie/6E0196FB819A5FA0A7F10DD0CA9FC955","De broers Dudok de Wit en de keizer die niet kwam Frans J L van Capelle 123-128 2001")</f>
        <v>0</v>
      </c>
      <c r="D2112" s="1">
        <f>hyperlink("http://dspace.library.uu.nl/handle/1874/215513","De familie Dudok de Wit sinds Kees 1843-1913 en Bram 1841-1911 P Hijmans 226-231 1997")</f>
        <v>0</v>
      </c>
    </row>
    <row r="2113" spans="2:4">
      <c r="B2113">
        <v>60</v>
      </c>
      <c r="C2113" s="1">
        <f>hyperlink("https://hetutrechtsarchief.nl/collectie/08392215670C5120BD51DE67CFDC8F94","Een ernstige overtreding Jan van der Heijden 28-31 2011")</f>
        <v>0</v>
      </c>
      <c r="D2113" s="1">
        <f>hyperlink("http://dspace.library.uu.nl/handle/1874/215514","Een kleine keus uit een verzameling plaatjes A van der Linden 234-238 1997")</f>
        <v>0</v>
      </c>
    </row>
    <row r="2114" spans="2:4">
      <c r="B2114">
        <v>63</v>
      </c>
      <c r="C2114" s="1">
        <f>hyperlink("https://hetutrechtsarchief.nl/collectie/9831F1CDAB0658688ACBB4436C0C4DAF","Een nieuwjaarswens uit 1838 Herman Lefers 138 -139 2000")</f>
        <v>0</v>
      </c>
      <c r="D2114" s="1">
        <f>hyperlink("http://dspace.library.uu.nl/handle/1874/215515","Nieuwjaarswens uit 1851 H van Walderveen 242-243 1997")</f>
        <v>0</v>
      </c>
    </row>
    <row r="2115" spans="2:4">
      <c r="B2115">
        <v>57</v>
      </c>
      <c r="C2115" s="1">
        <f>hyperlink("https://hetutrechtsarchief.nl/collectie/B80B72ECFE515C23AA9714FE5F9D03E2","Het pand Kerkbrink 25 Hearts et Arrows Henk J van Es 2-10 2009")</f>
        <v>0</v>
      </c>
      <c r="D2115" s="1">
        <f>hyperlink("http://dspace.library.uu.nl/handle/1874/215516","Het terrein waar nu garagebedrijf Van Ekris gevestigd is Henk J van Es 20-32 1995")</f>
        <v>0</v>
      </c>
    </row>
    <row r="2116" spans="2:4">
      <c r="B2116">
        <v>68</v>
      </c>
      <c r="C2116" s="1">
        <f>hyperlink("https://hetutrechtsarchief.nl/collectie/092462CE1E2D50B68384AB8A31391DDB","Het tijdvak van de Wereldoorlogen Arie A Manten et al 65-128 2000")</f>
        <v>0</v>
      </c>
      <c r="D2116" s="1">
        <f>hyperlink("http://dspace.library.uu.nl/handle/1874/215518","Themanummer Tweede Wereldoorlog Arie A Manten et al Arie A Manten 65-128 1995")</f>
        <v>0</v>
      </c>
    </row>
    <row r="2117" spans="2:4">
      <c r="B2117">
        <v>58</v>
      </c>
      <c r="C2117" s="1">
        <f>hyperlink("https://hetutrechtsarchief.nl/collectie/0E6474208E3E58B2ACB8733D30ED4DD4","Breukelen en omgeving van 1000 tot 2000 Arie A Manten 153-218 1999")</f>
        <v>0</v>
      </c>
      <c r="D2117" s="1">
        <f>hyperlink("http://dspace.library.uu.nl/handle/1874/215519","Breukelen en omgeving in foto s uit omstreeks 1900 Henk J van Es et al Henk J van Es 57-96 1996")</f>
        <v>0</v>
      </c>
    </row>
    <row r="2118" spans="2:4">
      <c r="B2118">
        <v>59</v>
      </c>
      <c r="C2118" s="1">
        <f>hyperlink("https://hetutrechtsarchief.nl/collectie/4747AD65100E589EBF23A536784A9788","Het Huis Oudaen J van Galen 65-67 1956")</f>
        <v>0</v>
      </c>
      <c r="D2118" s="1">
        <f>hyperlink("http://dspace.library.uu.nl/handle/1874/215520","Het huis Vecht en Dam tot 1805 Henk J van Es 195-208 1996")</f>
        <v>0</v>
      </c>
    </row>
    <row r="2119" spans="2:4">
      <c r="B2119">
        <v>62</v>
      </c>
      <c r="C2119" s="1">
        <f>hyperlink("https://hetutrechtsarchief.nl/collectie/4747AD65100E589EBF23A536784A9788","Het Huis Oudaen J van Galen 65-67 1956")</f>
        <v>0</v>
      </c>
      <c r="D2119" s="1">
        <f>hyperlink("http://dspace.library.uu.nl/handle/1874/215521","Het huis Vecht en Dam na 1805 Henk J van Es 258-271 1996")</f>
        <v>0</v>
      </c>
    </row>
    <row r="2120" spans="2:4">
      <c r="B2120">
        <v>55</v>
      </c>
      <c r="C2120" s="1">
        <f>hyperlink("https://hetutrechtsarchief.nl/collectie/5AC740C00E1F52F08F0A3F88749AF412","Verdwenen huisnummers op de Oudegracht Ben Nijssen 8 2009")</f>
        <v>0</v>
      </c>
      <c r="D2120" s="1">
        <f>hyperlink("http://dspace.library.uu.nl/handle/1874/215522","De huizen nummer 12 t m 15 aan de Dannegracht Henk J van Es 26-37 1997")</f>
        <v>0</v>
      </c>
    </row>
    <row r="2121" spans="2:4">
      <c r="B2121">
        <v>59</v>
      </c>
      <c r="C2121" s="1">
        <f>hyperlink("https://hetutrechtsarchief.nl/collectie/963930FA368A56938EC91CDEF8CDCB72","De bevrijding in 1945 Henk J van Es 122-126 2000")</f>
        <v>0</v>
      </c>
      <c r="D2121" s="1">
        <f>hyperlink("http://dspace.library.uu.nl/handle/1874/215523","De huizen Dannegracht 10 en 11 Henk J van Es 211-225 1997")</f>
        <v>0</v>
      </c>
    </row>
    <row r="2122" spans="2:4">
      <c r="B2122">
        <v>83</v>
      </c>
      <c r="C2122" s="1">
        <f>hyperlink("https://hetutrechtsarchief.nl/collectie/73E7B27E6DA1580980B31484D5FD34BB","Breukelen in 1681 de kaart van Bernard de Roij A H Verroen 57-65 krt 1998")</f>
        <v>0</v>
      </c>
      <c r="D2122" s="1">
        <f>hyperlink("http://dspace.library.uu.nl/handle/1874/215543","Breukelen in 1681 de kaart van Bernard de Roij A A Verroen A H Es H J van Manten 57-65 1998")</f>
        <v>0</v>
      </c>
    </row>
    <row r="2123" spans="2:4">
      <c r="B2123">
        <v>96</v>
      </c>
      <c r="C2123" s="1">
        <f>hyperlink("https://hetutrechtsarchief.nl/collectie/F86ED9FEAC9E53C3B922D4492AC34D9D","Experiment in de molenbouw bracht molenaar van Spengen in problemen Erik Stoop 82-88 ill tek 1998")</f>
        <v>0</v>
      </c>
      <c r="D2123" s="1">
        <f>hyperlink("http://dspace.library.uu.nl/handle/1874/215544","Experiment in de molenbouw bracht molenaar van Spengen in problemen Erik Stoop 82-88 1998")</f>
        <v>0</v>
      </c>
    </row>
    <row r="2124" spans="2:4">
      <c r="B2124">
        <v>94</v>
      </c>
      <c r="C2124" s="1">
        <f>hyperlink("https://hetutrechtsarchief.nl/collectie/0C482CE4FFF558B1A2BA59E734698708","Enkele watermolenaars uit de omgeving van Breukelen Henk J van Es 89-104 ill portr 1998")</f>
        <v>0</v>
      </c>
      <c r="D2124" s="1">
        <f>hyperlink("http://dspace.library.uu.nl/handle/1874/215545","Enkele watermolenaars uit de omgeving van Breukelen Henk J van Es 89-104 1998")</f>
        <v>0</v>
      </c>
    </row>
    <row r="2125" spans="2:4">
      <c r="B2125">
        <v>100</v>
      </c>
      <c r="C2125" s="1">
        <f>hyperlink("https://hetutrechtsarchief.nl/collectie/EFE87D31FF925CAA8BA6AC2BF1C4E94B","Gijsbrecht II van Nijenrode en de omstreden datering van de Kabeljauwse Verbondsakte B F van Wallene 105-108 1998")</f>
        <v>0</v>
      </c>
      <c r="D2125" s="1">
        <f>hyperlink("http://dspace.library.uu.nl/handle/1874/215546","Gijsbrecht II van Nijenrode en de omstreden datering van de Kabeljauwse Verbondsakte B F van Wallene 105-108 1998")</f>
        <v>0</v>
      </c>
    </row>
    <row r="2126" spans="2:4">
      <c r="B2126">
        <v>86</v>
      </c>
      <c r="C2126" s="1">
        <f>hyperlink("https://hetutrechtsarchief.nl/collectie/94D794C2487D544DBA13A687C52CB926","Trekschuit- en beurtveerdiensten in de Vechtstreek 2 J G Bokma 109-118 ill krt 1998")</f>
        <v>0</v>
      </c>
      <c r="D2126" s="1">
        <f>hyperlink("http://dspace.library.uu.nl/handle/1874/215547","Trekschuit- en beurtveerdiensten in de Vechtstreek J G Bokma 10-19 nr 2 p 109-118 1998")</f>
        <v>0</v>
      </c>
    </row>
    <row r="2127" spans="2:4">
      <c r="B2127">
        <v>92</v>
      </c>
      <c r="C2127" s="1">
        <f>hyperlink("https://hetutrechtsarchief.nl/collectie/388A79D08D475BC9B19E8D9689910AA1","Het Brooklyn adopts Breukelen project van miss Marguerite Salomon 1946-1952 Rosemarijn Labeur 1-9 2009")</f>
        <v>0</v>
      </c>
      <c r="D2127" s="1">
        <f>hyperlink("http://dspace.library.uu.nl/handle/1874/215548","Het Brooklyn adopts Breukelen project van miss Marguerite Salomon Rosemarijn Labeur 1998")</f>
        <v>0</v>
      </c>
    </row>
    <row r="2128" spans="2:4">
      <c r="B2128">
        <v>96</v>
      </c>
      <c r="C2128" s="1">
        <f>hyperlink("https://hetutrechtsarchief.nl/collectie/757F23C7BEAE552EAA6D8E6A80BEE82C","Geschiedvervalsing Jan Slingerland 133-139 ill 1998")</f>
        <v>0</v>
      </c>
      <c r="D2128" s="1">
        <f>hyperlink("http://dspace.library.uu.nl/handle/1874/215549","Geschiedvervalsing Jan Slingerland 133-139 1998")</f>
        <v>0</v>
      </c>
    </row>
    <row r="2129" spans="2:4">
      <c r="B2129">
        <v>98</v>
      </c>
      <c r="C2129" s="1">
        <f>hyperlink("https://hetutrechtsarchief.nl/collectie/7D63AE1A3C0254B8BDD2524DCB4D55B1","De Kockengense kunstschilder Cor van Oel 1899-1979 Wout Hoogendoorn 153-160 ill 1998")</f>
        <v>0</v>
      </c>
      <c r="D2129" s="1">
        <f>hyperlink("http://dspace.library.uu.nl/handle/1874/215550","De Kockengense kunstschilder Cor van Oel 1899-1979 Wout Hoogendoorn 153-160 1998")</f>
        <v>0</v>
      </c>
    </row>
    <row r="2130" spans="2:4">
      <c r="B2130">
        <v>100</v>
      </c>
      <c r="C2130" s="1">
        <f>hyperlink("https://hetutrechtsarchief.nl/collectie/F64436E2420D5C7098BBFA51B412A9A8","School voor middelbaar onderwijs op Boom en Bosch in Breukelen 1851-1855 Henk van Walderveen 161-162 1998")</f>
        <v>0</v>
      </c>
      <c r="D2130" s="1">
        <f>hyperlink("http://dspace.library.uu.nl/handle/1874/215552","School voor middelbaar onderwijs op Boom en Bosch in Breukelen 1851-1855 Henk van Walderveen 161-162 1998")</f>
        <v>0</v>
      </c>
    </row>
    <row r="2131" spans="2:4">
      <c r="B2131">
        <v>93</v>
      </c>
      <c r="C2131" s="1">
        <f>hyperlink("https://hetutrechtsarchief.nl/collectie/84E2304596735AA5837963867960E6BB","Brandspuitenhuisje op het Breukelse Kerkplein in 1869 niet gebouwd op de plek van eerste keus Arie A Manten en Henk van Walderveen 172-173 1998")</f>
        <v>0</v>
      </c>
      <c r="D2131" s="1">
        <f>hyperlink("http://dspace.library.uu.nl/handle/1874/215553","Brandspuitenhuisje op het Breukelse Kerkplein in 1869 niet gebouwd op de plek van eerste keus Henk van Manten Arie A Walderveen 172-173 1998")</f>
        <v>0</v>
      </c>
    </row>
    <row r="2132" spans="2:4">
      <c r="B2132">
        <v>98</v>
      </c>
      <c r="C2132" s="1">
        <f>hyperlink("https://hetutrechtsarchief.nl/collectie/312756F67F05504E99A6BC49E34540B2","Opkomst bloei en neergang van molens in de omgeving van Breukelen Arie A Manten 66-81 ill 1998")</f>
        <v>0</v>
      </c>
      <c r="D2132" s="1">
        <f>hyperlink("http://dspace.library.uu.nl/handle/1874/215554","Opkomst bloei en neergang van molens in de omgeving van Breukelen Arie A Manten 66-81 1998")</f>
        <v>0</v>
      </c>
    </row>
    <row r="2133" spans="2:4">
      <c r="B2133">
        <v>84</v>
      </c>
      <c r="C2133" s="1">
        <f>hyperlink("https://hetutrechtsarchief.nl/collectie/63B718EC47BD55F5831A33C819251EFF","Van Randerodes van Montfoort en het Kockengen-Montfoortsgerecht 2 B F van Wallene en Arie A Manten 193-202 1998")</f>
        <v>0</v>
      </c>
      <c r="D2133" s="1">
        <f>hyperlink("http://dspace.library.uu.nl/handle/1874/215555","Van Randerodes van Montfoort en het Kockengen-Montfoortsgerecht Arie A Wallene B F van Manten 140-152 nr 4 p 193-202 1998")</f>
        <v>0</v>
      </c>
    </row>
    <row r="2134" spans="2:4">
      <c r="B2134">
        <v>97</v>
      </c>
      <c r="C2134" s="1">
        <f>hyperlink("https://hetutrechtsarchief.nl/collectie/EC3DBEDEE31D56C087E7CE9B8F551B41","Liefde huwelijk en gezin in de 17de en 18de eeuw Judith Hokke 177-192 ill 1998")</f>
        <v>0</v>
      </c>
      <c r="D2134" s="1">
        <f>hyperlink("http://dspace.library.uu.nl/handle/1874/215556","Liefde huwelijk en gezin in de 17de en 18de eeuw Judith Hokke 177-192 1998")</f>
        <v>0</v>
      </c>
    </row>
    <row r="2135" spans="2:4">
      <c r="B2135">
        <v>95</v>
      </c>
      <c r="C2135" s="1">
        <f>hyperlink("https://hetutrechtsarchief.nl/collectie/2D5ABAA5D2B1555BB97DC5D53875962A","Comit De Gemeente-Diacones te Breukelen H van Walderveen 215-224 ill 1998")</f>
        <v>0</v>
      </c>
      <c r="D2135" s="1">
        <f>hyperlink("http://dspace.library.uu.nl/handle/1874/215557","Comit De Gemeente-Diacones te Breukelen Henk van Walderveen 215-224 1998")</f>
        <v>0</v>
      </c>
    </row>
    <row r="2136" spans="2:4">
      <c r="B2136">
        <v>98</v>
      </c>
      <c r="C2136" s="1">
        <f>hyperlink("https://hetutrechtsarchief.nl/collectie/DD17DB949E30594BAF9821FB98288DF7","Zestiende-eeuwse haardplaat opgegraven nabij de voormalige ridderhofstad Ruwiel A A Manten 225-227 ill 1998")</f>
        <v>0</v>
      </c>
      <c r="D2136" s="1">
        <f>hyperlink("http://dspace.library.uu.nl/handle/1874/215558","Zestiende-eeuwse haardplaat opgegraven nabij de voormalige ridderhofstad Ruwiel A A Manten 225-227 1998")</f>
        <v>0</v>
      </c>
    </row>
    <row r="2137" spans="2:4">
      <c r="B2137">
        <v>53</v>
      </c>
      <c r="C2137" s="1">
        <f>hyperlink("https://hetutrechtsarchief.nl/collectie/C24FCEDAD8A959B4AAC375DEBAF78909","Uit de archievenrijksom van de Ridderlijke Duitsche Orde Balije van Utrecht 7 de boerderij Het Duitsche Huis Laag Nieuwkoop 30 na 1815 J G Bokma 217-222 2000")</f>
        <v>0</v>
      </c>
      <c r="D2137" s="1">
        <f>hyperlink("http://dspace.library.uu.nl/handle/1874/215559","Uit de archievenrijkdom van de Ridderlijke Duitsche Orde Balije van Utrecht Martin Manten Arie A Bokma J G Verweij 233-236 jg 14 1999 nr 1 p 34-38 nr 2 p 90-94 nr 3 p 125-128 jg 15 2000 nr 1 p 58-60 nr 3 p 180-181 nr 4 p 217-222 corr 16 2001 nr 3 p 102 jg 19 2004 nr 1 p 15-22 1998-2004")</f>
        <v>0</v>
      </c>
    </row>
    <row r="2138" spans="2:4">
      <c r="B2138">
        <v>89</v>
      </c>
      <c r="C2138" s="1">
        <f>hyperlink("https://hetutrechtsarchief.nl/collectie/44F65C3DF2765182AEE70B8075703D5E","De boerderij-herberg Galgerwaard 2 Henk J van Es 77-85 1999")</f>
        <v>0</v>
      </c>
      <c r="D2138" s="1">
        <f>hyperlink("http://dspace.library.uu.nl/handle/1874/215560","De boerderij-herberg Galgerwaard Henk J van Es 4-12 nr 2 p 77-85 1999")</f>
        <v>0</v>
      </c>
    </row>
    <row r="2139" spans="2:4">
      <c r="B2139">
        <v>94</v>
      </c>
      <c r="C2139" s="1">
        <f>hyperlink("https://hetutrechtsarchief.nl/collectie/757AE3EAEF645C16AF1362D241D0EE62","Huib Prins 1866-1971 kluizenaar te Kockengen Wout Hoogendoorn 22-27 ill portr 1999")</f>
        <v>0</v>
      </c>
      <c r="D2139" s="1">
        <f>hyperlink("http://dspace.library.uu.nl/handle/1874/215561","Huib Prins 1866-1971 kluizenaar te Kockengen Wout Hoogendoorn 22-27 1999")</f>
        <v>0</v>
      </c>
    </row>
    <row r="2140" spans="2:4">
      <c r="B2140">
        <v>90</v>
      </c>
      <c r="C2140" s="1">
        <f>hyperlink("https://hetutrechtsarchief.nl/collectie/F5E099A125FD5BC982A375323C374AF7","Tinus de Wit 1889-1970 Henk J van Es 28-33 ill portr 1999")</f>
        <v>0</v>
      </c>
      <c r="D2140" s="1">
        <f>hyperlink("http://dspace.library.uu.nl/handle/1874/215562","Tinus de Wit 1889-1970 Henk J van Es 28-33 1999")</f>
        <v>0</v>
      </c>
    </row>
    <row r="2141" spans="2:4">
      <c r="B2141">
        <v>100</v>
      </c>
      <c r="C2141" s="1">
        <f>hyperlink("https://hetutrechtsarchief.nl/collectie/C7A3FC79D8E153E4A01977B74629564F","Aan de vergetelheid ontrukt 3 Dirk van Barneveld 1914-1944 Arie A Manten 45-46 1999")</f>
        <v>0</v>
      </c>
      <c r="D2141" s="1">
        <f>hyperlink("http://dspace.library.uu.nl/handle/1874/215563","Aan de vergetelheid ontrukt 3 Dirk van Barneveld 1914-1944 Arie A Manten 45-46 1999")</f>
        <v>0</v>
      </c>
    </row>
    <row r="2142" spans="2:4">
      <c r="B2142">
        <v>90</v>
      </c>
      <c r="C2142" s="1">
        <f>hyperlink("https://hetutrechtsarchief.nl/collectie/EEEFE9E5F6DD5568833B45FB950BFBB2","De muziektent in het park van Boom en Bosch Henk J van Es en A A Manten 59-62 1999")</f>
        <v>0</v>
      </c>
      <c r="D2142" s="1">
        <f>hyperlink("http://dspace.library.uu.nl/handle/1874/215564","De muziektent in het park van Boom en Bosch Arie A Es Henk J van Manten 59-62 1999")</f>
        <v>0</v>
      </c>
    </row>
    <row r="2143" spans="2:4">
      <c r="B2143">
        <v>100</v>
      </c>
      <c r="C2143" s="1">
        <f>hyperlink("https://hetutrechtsarchief.nl/collectie/43E3DC8DF34657D89374BCBA2D8FA97D","Telefoonlijst van Breukelen uit 1939 H van Walderveen 63-66 1999")</f>
        <v>0</v>
      </c>
      <c r="D2143" s="1">
        <f>hyperlink("http://dspace.library.uu.nl/handle/1874/215565","Telefoonlijst van Breukelen uit 1939 H van Walderveen 63-66 1999")</f>
        <v>0</v>
      </c>
    </row>
    <row r="2144" spans="2:4">
      <c r="B2144">
        <v>92</v>
      </c>
      <c r="C2144" s="1">
        <f>hyperlink("https://hetutrechtsarchief.nl/collectie/3E7EB5E6613757BDBC2F4F7AECF8CD77","De functie van de stenen kamers Galgweert en Broekelreweert bij Breukelen Arie A Manten en B F van Wallene 67-76 1999")</f>
        <v>0</v>
      </c>
      <c r="D2144" s="1">
        <f>hyperlink("http://dspace.library.uu.nl/handle/1874/215566","De functie van de stenen kamers Galgweert en Broekelreweert bij Breukelen B F van Manten Arie A Wallene 67-76 1999")</f>
        <v>0</v>
      </c>
    </row>
    <row r="2145" spans="2:4">
      <c r="B2145">
        <v>100</v>
      </c>
      <c r="C2145" s="1">
        <f>hyperlink("https://hetutrechtsarchief.nl/collectie/487A0C993DCB5EA0AA5DBF7F6073F146","Vergunning verleend voor een brug over de Bijleveld in Kockengen 1858 B Barelds 86-89 1999")</f>
        <v>0</v>
      </c>
      <c r="D2145" s="1">
        <f>hyperlink("http://dspace.library.uu.nl/handle/1874/215567","Vergunning verleend voor een brug over de Bijleveld in Kockengen 1858 B Barelds 86-89 1999")</f>
        <v>0</v>
      </c>
    </row>
    <row r="2146" spans="2:4">
      <c r="B2146">
        <v>80</v>
      </c>
      <c r="C2146" s="1">
        <f>hyperlink("https://hetutrechtsarchief.nl/collectie/A0ABFFB97A1257629700B06C98591B1E","Kortrijkse molen dreigt voor Breukelen verloren te gaan Arie A Manten et al 97-101 1999")</f>
        <v>0</v>
      </c>
      <c r="D2146" s="1">
        <f>hyperlink("http://dspace.library.uu.nl/handle/1874/215568","Kortrijkse molen dreigt voor Breukelen verloren te gaan Irma Manten Arie A Bokma Jaap Es Henk J van Gondrie 97-101 1999")</f>
        <v>0</v>
      </c>
    </row>
    <row r="2147" spans="2:4">
      <c r="B2147">
        <v>100</v>
      </c>
      <c r="C2147" s="1">
        <f>hyperlink("https://hetutrechtsarchief.nl/collectie/B4D4870F2DBC523AA7FB5E6F7DD12770","Kunst uit de koets de vroegste foto s van Breukelen-St Pieters ca 1852 Mattie Boom 102-105 1999")</f>
        <v>0</v>
      </c>
      <c r="D2147" s="1">
        <f>hyperlink("http://dspace.library.uu.nl/handle/1874/215570","Kunst uit de koets de vroegste foto s van Breukelen-St Pieters ca 1852 Mattie Boom 102-105 1999")</f>
        <v>0</v>
      </c>
    </row>
    <row r="2148" spans="2:4">
      <c r="B2148">
        <v>60</v>
      </c>
      <c r="C2148" s="1">
        <f>hyperlink("https://hetutrechtsarchief.nl/collectie/9C4DA0FFFF1E50529E7DFB306C66B2A8","Streektaal uit Breukelen en omgeving Arie A Manten 106-111 1999")</f>
        <v>0</v>
      </c>
      <c r="D2148" s="1">
        <f>hyperlink("http://dspace.library.uu.nl/handle/1874/215571","Streektaal uit Breukelen en omgeving Arie A Manten 106-111 jg 15 2000 nr 3 p 163-166 jg 16 2001 nr 3 p 119-122 jg 18 2003 nr 3 p 165-167 1999-2003")</f>
        <v>0</v>
      </c>
    </row>
    <row r="2149" spans="2:4">
      <c r="B2149">
        <v>66</v>
      </c>
      <c r="C2149" s="1">
        <f>hyperlink("https://hetutrechtsarchief.nl/collectie/00C20ABD803359728C88AC61F7D7DCEF","De voormalige gemeente Kockengen B Barelds 116-122 1999")</f>
        <v>0</v>
      </c>
      <c r="D2149" s="1">
        <f>hyperlink("http://dspace.library.uu.nl/handle/1874/215572","De voormalige gemeente Kockengen B Barelds 116-122 jg 15 2000 nr 4 p 223-230 jg 16 2001 nr 3 p 129-132 1999-2001")</f>
        <v>0</v>
      </c>
    </row>
    <row r="2150" spans="2:4">
      <c r="B2150">
        <v>100</v>
      </c>
      <c r="C2150" s="1">
        <f>hyperlink("https://hetutrechtsarchief.nl/collectie/4EAE6A2F82405A1CB12C5CBF4DE1565E","De begrafenis van Annigje Hannisje van Vliet weduwe van Jan Boerefijn Kockengen 1815 J G Bokma 123-124 1999")</f>
        <v>0</v>
      </c>
      <c r="D2150" s="1">
        <f>hyperlink("http://dspace.library.uu.nl/handle/1874/215573","De begrafenis van Annigje Hannisje van Vliet weduwe van Jan Boerefijn Kockengen 1815 J G Bokma 123-124 1999")</f>
        <v>0</v>
      </c>
    </row>
    <row r="2151" spans="2:4">
      <c r="B2151">
        <v>100</v>
      </c>
      <c r="C2151" s="1">
        <f>hyperlink("https://hetutrechtsarchief.nl/collectie/CA9C050B148955B4A70302453665B929","Het huis Groenzicht aan de Poeldijk nu Marijkestraat 26 te Breukelen Henk J van Es 135-143 1999")</f>
        <v>0</v>
      </c>
      <c r="D2151" s="1">
        <f>hyperlink("http://dspace.library.uu.nl/handle/1874/215574","Het huis Groenzicht aan de Poeldijk nu Marijkestraat 26 te Breukelen Henk J van Es 135-143 1999")</f>
        <v>0</v>
      </c>
    </row>
    <row r="2152" spans="2:4">
      <c r="B2152">
        <v>100</v>
      </c>
      <c r="C2152" s="1">
        <f>hyperlink("https://hetutrechtsarchief.nl/collectie/BAA412C4BB89554C9B81E0DFB0DBBD55","Bonifatius Velsen en Breukelen Arie A Manten 147-149 1999")</f>
        <v>0</v>
      </c>
      <c r="D2152" s="1">
        <f>hyperlink("http://dspace.library.uu.nl/handle/1874/215575","Bonifatius Velsen en Breukelen Arie A Manten 147-149 1999")</f>
        <v>0</v>
      </c>
    </row>
    <row r="2153" spans="2:4">
      <c r="B2153">
        <v>100</v>
      </c>
      <c r="C2153" s="1">
        <f>hyperlink("https://hetutrechtsarchief.nl/collectie/0E6474208E3E58B2ACB8733D30ED4DD4","Breukelen en omgeving van 1000 tot 2000 Arie A Manten 153-218 1999")</f>
        <v>0</v>
      </c>
      <c r="D2153" s="1">
        <f>hyperlink("http://dspace.library.uu.nl/handle/1874/215576","Breukelen en omgeving van 1000 tot 2000 Arie A Manten 153-218 1999")</f>
        <v>0</v>
      </c>
    </row>
    <row r="2154" spans="2:4">
      <c r="B2154">
        <v>64</v>
      </c>
      <c r="C2154" s="1">
        <f>hyperlink("https://hetutrechtsarchief.nl/collectie/097B3B1F7BAE5885B9000C031F738FB8","Tussen s-Heerenwagenweg en Danne te Breukelen 15 De huizen aan de Brouwerij H J van Es 203-214 ill 1998")</f>
        <v>0</v>
      </c>
      <c r="D2154" s="1">
        <f>hyperlink("http://dspace.library.uu.nl/handle/1874/215577","De huizen aan de Brouwerij Henk J van Es 203-214 1998")</f>
        <v>0</v>
      </c>
    </row>
    <row r="2155" spans="2:4">
      <c r="B2155">
        <v>87</v>
      </c>
      <c r="C2155" s="1">
        <f>hyperlink("https://hetutrechtsarchief.nl/collectie/54224493E1F35E6DBFB284ED7C345B42","De stenen kamers Galgweert en Broekelreweert bij Breukelen Arie A Manten en B F van Wallene 13-21 krt tek 1999")</f>
        <v>0</v>
      </c>
      <c r="D2155" s="1">
        <f>hyperlink("http://dspace.library.uu.nl/handle/1874/215578","De stenen kamers Galgweert en Broekelreweert bij Breukelen B F van Manten Arie A Wallene 13-21 1999")</f>
        <v>0</v>
      </c>
    </row>
    <row r="2156" spans="2:4">
      <c r="B2156">
        <v>86</v>
      </c>
      <c r="C2156" s="1">
        <f>hyperlink("https://hetutrechtsarchief.nl/collectie/C4CCE9A543EB59B28D81FDC9F2C9E17F","Breukelen-Nijenrode 1865-1900 vooruitgang in tegenstellingen 3 A Schuurman 129-134 1999")</f>
        <v>0</v>
      </c>
      <c r="D2156" s="1">
        <f>hyperlink("http://dspace.library.uu.nl/handle/1874/215579","Breukelen-Nijenrode 1865-1900 vooruitgang in tegenstellingen A Schuurman 39-44 nr 2 p 49-58 nr 3 p 129-134 1999")</f>
        <v>0</v>
      </c>
    </row>
    <row r="2157" spans="2:4">
      <c r="B2157">
        <v>100</v>
      </c>
      <c r="C2157" s="1">
        <f>hyperlink("https://hetutrechtsarchief.nl/collectie/6247D5FD6A7B5F12B9681099653FB616","De vlag van de gemeente Kockengen 1962-1988 Wout Hoogendoorn 112-115 1999")</f>
        <v>0</v>
      </c>
      <c r="D2157" s="1">
        <f>hyperlink("http://dspace.library.uu.nl/handle/1874/215580","De vlag van de gemeente Kockengen 1962-1988 Wout Hoogendoorn 112-115 1999")</f>
        <v>0</v>
      </c>
    </row>
    <row r="2158" spans="2:4">
      <c r="B2158">
        <v>100</v>
      </c>
      <c r="C2158" s="1">
        <f>hyperlink("https://hetutrechtsarchief.nl/collectie/38A433132C5D5808BF1CF43AC44724A7","Romeinse Rijk vreesde vrije Germanen Arie A Manten 144-146 1999")</f>
        <v>0</v>
      </c>
      <c r="D2158" s="1">
        <f>hyperlink("http://dspace.library.uu.nl/handle/1874/215581","Romeinse Rijk vreesde vrije Germanen Arie A Manten 144-146 1999")</f>
        <v>0</v>
      </c>
    </row>
    <row r="2159" spans="2:4">
      <c r="B2159">
        <v>73</v>
      </c>
      <c r="C2159" s="1">
        <f>hyperlink("https://hetutrechtsarchief.nl/collectie/C7A3FC79D8E153E4A01977B74629564F","Aan de vergetelheid ontrukt 3 Dirk van Barneveld 1914-1944 Arie A Manten 45-46 1999")</f>
        <v>0</v>
      </c>
      <c r="D2159" s="1">
        <f>hyperlink("http://dspace.library.uu.nl/handle/1874/215582","Aan de vergetelheid ontrukt 1 A van Weerdenburg 1905-1945 Arie A Bakker Johan Manten 51-53 1998")</f>
        <v>0</v>
      </c>
    </row>
    <row r="2160" spans="2:4">
      <c r="B2160">
        <v>69</v>
      </c>
      <c r="C2160" s="1">
        <f>hyperlink("https://hetutrechtsarchief.nl/collectie/B6C369A920145670AA277BD2EBE179FE","Aan de vergetelheid ontrukt 8 Johannes Verhoef 1928-1948 Johan Bakker 183-184 2000")</f>
        <v>0</v>
      </c>
      <c r="D2160" s="1">
        <f>hyperlink("http://dspace.library.uu.nl/handle/1874/215583","Aan de vergetelheid ontrukt 2 Marinus Oosterom Kockengen 1924 - Semarang 1947 Johan Bakker 228-230 1998")</f>
        <v>0</v>
      </c>
    </row>
    <row r="2161" spans="2:4">
      <c r="B2161">
        <v>100</v>
      </c>
      <c r="C2161" s="1">
        <f>hyperlink("https://hetutrechtsarchief.nl/collectie/26AC1048FA1651D59CB5201B0A0FA835","De idylle aan de wand de behangsels in de R K pastorie te Kockengen Wim Meulenkamp 4-11 2000")</f>
        <v>0</v>
      </c>
      <c r="D2161" s="1">
        <f>hyperlink("http://dspace.library.uu.nl/handle/1874/215584","De idylle aan de wand de behangsels in de R K pastorie te Kockengen Wim Meulenkamp 4-11 2000")</f>
        <v>0</v>
      </c>
    </row>
    <row r="2162" spans="2:4">
      <c r="B2162">
        <v>100</v>
      </c>
      <c r="C2162" s="1">
        <f>hyperlink("https://hetutrechtsarchief.nl/collectie/DBD45CD257215786BF5505325A0CE2E4","De restauratie van de ontvangstkamer in de R K pastorie te Kockengen Elsbeth Geldhof 12-16 2000")</f>
        <v>0</v>
      </c>
      <c r="D2162" s="1">
        <f>hyperlink("http://dspace.library.uu.nl/handle/1874/215585","De restauratie van de ontvangstkamer in de R K pastorie te Kockengen Elsbeth Geldhof 12-16 2000")</f>
        <v>0</v>
      </c>
    </row>
    <row r="2163" spans="2:4">
      <c r="B2163">
        <v>100</v>
      </c>
      <c r="C2163" s="1">
        <f>hyperlink("https://hetutrechtsarchief.nl/collectie/A52E63F2C60F50F7A595D9830A9BDDBC","Brandjes blussen in Arcadi aan de Vecht Arie A Manten 17-21 2000")</f>
        <v>0</v>
      </c>
      <c r="D2163" s="1">
        <f>hyperlink("http://dspace.library.uu.nl/handle/1874/215586","Brandjes blussen in Arcadi aan de Vecht Arie A Manten 17-21 2000")</f>
        <v>0</v>
      </c>
    </row>
    <row r="2164" spans="2:4">
      <c r="B2164">
        <v>100</v>
      </c>
      <c r="C2164" s="1">
        <f>hyperlink("https://hetutrechtsarchief.nl/collectie/292B790CDD14545BA51CABAFC191F487","Breukelen en omgeving bij het uitbreken van de Eerste Wereldoorlog 1914 Arie A Manten 26-34 2000")</f>
        <v>0</v>
      </c>
      <c r="D2164" s="1">
        <f>hyperlink("http://dspace.library.uu.nl/handle/1874/215587","Breukelen en omgeving bij het uitbreken van de Eerste Wereldoorlog 1914 Arie A Manten 26-34 2000")</f>
        <v>0</v>
      </c>
    </row>
    <row r="2165" spans="2:4">
      <c r="B2165">
        <v>100</v>
      </c>
      <c r="C2165" s="1">
        <f>hyperlink("https://hetutrechtsarchief.nl/collectie/F3B217EB310652E59E6EC905727BCCC2","De Danne als stortplaats Henk J van Es 35-46 2000")</f>
        <v>0</v>
      </c>
      <c r="D2165" s="1">
        <f>hyperlink("http://dspace.library.uu.nl/handle/1874/215588","De Danne als stortplaats Henk J van Es 35-46 2000")</f>
        <v>0</v>
      </c>
    </row>
    <row r="2166" spans="2:4">
      <c r="B2166">
        <v>100</v>
      </c>
      <c r="C2166" s="1">
        <f>hyperlink("https://hetutrechtsarchief.nl/collectie/530E4202251359489FD6F65C5AFB8DE4","Een kloosterroof op voorstel van Jan van Rietvelt Huub A Manten-Werker 47-48 2000")</f>
        <v>0</v>
      </c>
      <c r="D2166" s="1">
        <f>hyperlink("http://dspace.library.uu.nl/handle/1874/215589","Een kloosterroof op voorstel van Jan van Rietvelt Huub A Manten-Werker 47-48 2000")</f>
        <v>0</v>
      </c>
    </row>
    <row r="2167" spans="2:4">
      <c r="B2167">
        <v>100</v>
      </c>
      <c r="C2167" s="1">
        <f>hyperlink("https://hetutrechtsarchief.nl/collectie/702E562DC2AC518AA6D200456C3347EF","Kees van de poffertjestraktatie Jan L Boonacker 49-52 2000")</f>
        <v>0</v>
      </c>
      <c r="D2167" s="1">
        <f>hyperlink("http://dspace.library.uu.nl/handle/1874/215590","Kees van de poffertjestraktatie Jan L Boonacker 49-52 2000")</f>
        <v>0</v>
      </c>
    </row>
    <row r="2168" spans="2:4">
      <c r="B2168">
        <v>100</v>
      </c>
      <c r="C2168" s="1">
        <f>hyperlink("https://hetutrechtsarchief.nl/collectie/981BE8F4D0035ABD99096A99B3E74042","David Henriques de Castro Mozeszoon 1826-1898 Arie A Manten 53-54 2000")</f>
        <v>0</v>
      </c>
      <c r="D2168" s="1">
        <f>hyperlink("http://dspace.library.uu.nl/handle/1874/215591","David Henriques de Castro Mozeszoon 1826-1898 Arie A Manten 53-54 2000")</f>
        <v>0</v>
      </c>
    </row>
    <row r="2169" spans="2:4">
      <c r="B2169">
        <v>100</v>
      </c>
      <c r="C2169" s="1">
        <f>hyperlink("https://hetutrechtsarchief.nl/collectie/31CF63CC3FE2507681F37A0EC6C12E3A","De moord op de Breukelse herbergier Cornelis Arisz Bosch 1687 B Barelds 55-57 2000")</f>
        <v>0</v>
      </c>
      <c r="D2169" s="1">
        <f>hyperlink("http://dspace.library.uu.nl/handle/1874/215592","De moord op de Breukelse herbergier Cornelis Arisz Bosch 1687 B Barelds 55-57 2000")</f>
        <v>0</v>
      </c>
    </row>
    <row r="2170" spans="2:4">
      <c r="B2170">
        <v>100</v>
      </c>
      <c r="C2170" s="1">
        <f>hyperlink("https://hetutrechtsarchief.nl/collectie/AE41671699D2569EBEA46A3C569520D3","Bestemmingsplan Centrum Breukelen 61-62 2000")</f>
        <v>0</v>
      </c>
      <c r="D2170" s="1">
        <f>hyperlink("http://dspace.library.uu.nl/handle/1874/215593","Bestemmingsplan Centrum Breukelen 61-62 2000")</f>
        <v>0</v>
      </c>
    </row>
    <row r="2171" spans="2:4">
      <c r="B2171">
        <v>89</v>
      </c>
      <c r="C2171" s="1">
        <f>hyperlink("https://hetutrechtsarchief.nl/collectie/092462CE1E2D50B68384AB8A31391DDB","Het tijdvak van de Wereldoorlogen Arie A Manten et al 65-128 2000")</f>
        <v>0</v>
      </c>
      <c r="D2171" s="1">
        <f>hyperlink("http://dspace.library.uu.nl/handle/1874/215594","Het tijdvak van de Wereldoorlogen Arie Manten et al Arie A Manten 65-128 2000")</f>
        <v>0</v>
      </c>
    </row>
    <row r="2172" spans="2:4">
      <c r="B2172">
        <v>100</v>
      </c>
      <c r="C2172" s="1">
        <f>hyperlink("https://hetutrechtsarchief.nl/collectie/38CCC2CEA1D95226B5450F6B54197134","Breukelen in de eerste jaren van de Tweede Wereldoorlog Henk J van Es 87-91 2000")</f>
        <v>0</v>
      </c>
      <c r="D2172" s="1">
        <f>hyperlink("http://dspace.library.uu.nl/handle/1874/215595","Breukelen in de eerste jaren van de Tweede Wereldoorlog Henk J van Es 87-91 2000")</f>
        <v>0</v>
      </c>
    </row>
    <row r="2173" spans="2:4">
      <c r="B2173">
        <v>100</v>
      </c>
      <c r="C2173" s="1">
        <f>hyperlink("https://hetutrechtsarchief.nl/collectie/D322BBF2511D5DC1AF8F1D908A091407","Aan de vergetelheid ontrukt 4 Cornelis en Maartje Gootjes een moedig echtpaar uit Kockengen Johan Bakker 92-95 2000")</f>
        <v>0</v>
      </c>
      <c r="D2173" s="1">
        <f>hyperlink("http://dspace.library.uu.nl/handle/1874/215596","Aan de vergetelheid ontrukt 4 Cornelis en Maartje Gootjes een moedig echtpaar uit Kockengen Johan Bakker 92-95 2000")</f>
        <v>0</v>
      </c>
    </row>
    <row r="2174" spans="2:4">
      <c r="B2174">
        <v>100</v>
      </c>
      <c r="C2174" s="1">
        <f>hyperlink("https://hetutrechtsarchief.nl/collectie/DB1C764C6EBE5933B62EB02A0FFCBCFA","Over enige joodse medeburgers Marjo van Dijk-Witjas 100-101 2000")</f>
        <v>0</v>
      </c>
      <c r="D2174" s="1">
        <f>hyperlink("http://dspace.library.uu.nl/handle/1874/215597","Over enige joodse medeburgers Marjo van Dijk-Witjas 100-101 2000")</f>
        <v>0</v>
      </c>
    </row>
    <row r="2175" spans="2:4">
      <c r="B2175">
        <v>100</v>
      </c>
      <c r="C2175" s="1">
        <f>hyperlink("https://hetutrechtsarchief.nl/collectie/BF4DEA82AA775E3AB404260018EC18CC","Evacu s en Centrale Keuken in Breukelen Henk J van Es 102-107 2000")</f>
        <v>0</v>
      </c>
      <c r="D2175" s="1">
        <f>hyperlink("http://dspace.library.uu.nl/handle/1874/215598","Evacu s en Centrale Keuken in Breukelen Henk J van Es 102-107 2000")</f>
        <v>0</v>
      </c>
    </row>
    <row r="2176" spans="2:4">
      <c r="B2176">
        <v>100</v>
      </c>
      <c r="C2176" s="1">
        <f>hyperlink("https://hetutrechtsarchief.nl/collectie/8E80F5A351F656E3A77CA521D1E351DF","Onderduikers en verzetslieden in Breukelen Henk J van Es 108-112 2000")</f>
        <v>0</v>
      </c>
      <c r="D2176" s="1">
        <f>hyperlink("http://dspace.library.uu.nl/handle/1874/215599","Onderduikers en verzetslieden in Breukelen Henk J van Es 108-112 2000")</f>
        <v>0</v>
      </c>
    </row>
    <row r="2177" spans="2:4">
      <c r="B2177">
        <v>92</v>
      </c>
      <c r="C2177" s="1">
        <f>hyperlink("https://hetutrechtsarchief.nl/collectie/357C84E8C3675A6CAD9EFF8670D6D792","Aan de vergetelheid ontrukt 5 Jacobus Johannes Platenkamp 1924-1944 Johan M A Platenkamp en Arie A Manten 113-115 2000")</f>
        <v>0</v>
      </c>
      <c r="D2177" s="1">
        <f>hyperlink("http://dspace.library.uu.nl/handle/1874/215600","Aan de vergetelheid ontrukt 5 Jacobus Johannes Platenkamp 1924-1944 Arie A Platenkamp Johan M A Manten 113-115 2000")</f>
        <v>0</v>
      </c>
    </row>
    <row r="2178" spans="2:4">
      <c r="B2178">
        <v>100</v>
      </c>
      <c r="C2178" s="1">
        <f>hyperlink("https://hetutrechtsarchief.nl/collectie/9191C2CE77BC50C3A78F0076375B4F5F","Aan de vergetelheid ontrukt 6 Joseph Hendricus Swaanswijk 1920-1945 J Swaanswijk 116-121 2000")</f>
        <v>0</v>
      </c>
      <c r="D2178" s="1">
        <f>hyperlink("http://dspace.library.uu.nl/handle/1874/215601","Aan de vergetelheid ontrukt 6 Joseph Hendricus Swaanswijk 1920-1945 J Swaanswijk 116-121 2000")</f>
        <v>0</v>
      </c>
    </row>
    <row r="2179" spans="2:4">
      <c r="B2179">
        <v>100</v>
      </c>
      <c r="C2179" s="1">
        <f>hyperlink("https://hetutrechtsarchief.nl/collectie/963930FA368A56938EC91CDEF8CDCB72","De bevrijding in 1945 Henk J van Es 122-126 2000")</f>
        <v>0</v>
      </c>
      <c r="D2179" s="1">
        <f>hyperlink("http://dspace.library.uu.nl/handle/1874/215602","De bevrijding in 1945 Henk J van Es 122-126 2000")</f>
        <v>0</v>
      </c>
    </row>
    <row r="2180" spans="2:4">
      <c r="B2180">
        <v>100</v>
      </c>
      <c r="C2180" s="1">
        <f>hyperlink("https://hetutrechtsarchief.nl/collectie/5286383649AF5D6B8408FD90F409DE28","Kockengen filmdorp van Nederland Wout Hoogendoorn 129-138 2000")</f>
        <v>0</v>
      </c>
      <c r="D2180" s="1">
        <f>hyperlink("http://dspace.library.uu.nl/handle/1874/215603","Kockengen filmdorp van Nederland Wout Hoogendoorn 129-138 2000")</f>
        <v>0</v>
      </c>
    </row>
    <row r="2181" spans="2:4">
      <c r="B2181">
        <v>100</v>
      </c>
      <c r="C2181" s="1">
        <f>hyperlink("https://hetutrechtsarchief.nl/collectie/B126A56C11A052B597F1F99E6268FAB7","Het Wijkgebouw aan de Wilhelminastraat te Breukelen en zijn voorgangers H P Vermaat 139-144 2000")</f>
        <v>0</v>
      </c>
      <c r="D2181" s="1">
        <f>hyperlink("http://dspace.library.uu.nl/handle/1874/215604","Het Wijkgebouw aan de Wilhelminastraat te Breukelen en zijn voorgangers H P Vermaat 139-144 2000")</f>
        <v>0</v>
      </c>
    </row>
    <row r="2182" spans="2:4">
      <c r="B2182">
        <v>100</v>
      </c>
      <c r="C2182" s="1">
        <f>hyperlink("https://hetutrechtsarchief.nl/collectie/D964BB1EC8965C79B327A39EFF871A4D","Aan de vergetelheid ontrukt 7 Gordon Charles Whittaker 1921-1943 Arie A Manten 145-152 2000")</f>
        <v>0</v>
      </c>
      <c r="D2182" s="1">
        <f>hyperlink("http://dspace.library.uu.nl/handle/1874/215605","Aan de vergetelheid ontrukt 7 Gordon Charles Whittaker 1921-1943 Arie A Manten 145-152 2000")</f>
        <v>0</v>
      </c>
    </row>
    <row r="2183" spans="2:4">
      <c r="B2183">
        <v>100</v>
      </c>
      <c r="C2183" s="1">
        <f>hyperlink("https://hetutrechtsarchief.nl/collectie/9F9F3CDA539F52D79B0CF3E6E3C692D5","Christelijke Oratorium Vereniging Zang en Vriendschap 75 jaar Anna M Elink Schuurman-van Gelder 167-169 2000")</f>
        <v>0</v>
      </c>
      <c r="D2183" s="1">
        <f>hyperlink("http://dspace.library.uu.nl/handle/1874/215606","Christelijke Oratorium Vereniging Zang en Vriendschap 75 jaar Anna M Elink Schuurman-van Gelder 167-169 2000")</f>
        <v>0</v>
      </c>
    </row>
    <row r="2184" spans="2:4">
      <c r="B2184">
        <v>98</v>
      </c>
      <c r="C2184" s="1">
        <f>hyperlink("https://hetutrechtsarchief.nl/collectie/DC20D41F295252F296CD75E3F72EC46C","Hare Majesteits mijnenveger Breukelen 1954-1971 Ties Verkuil Sr 177-179 2000")</f>
        <v>0</v>
      </c>
      <c r="D2184" s="1">
        <f>hyperlink("http://dspace.library.uu.nl/handle/1874/215607","Hare Majesteits mijnenveger Breukelen 1954-1971 Ties Verkuil 177-179 2000")</f>
        <v>0</v>
      </c>
    </row>
    <row r="2185" spans="2:4">
      <c r="B2185">
        <v>100</v>
      </c>
      <c r="C2185" s="1">
        <f>hyperlink("https://hetutrechtsarchief.nl/collectie/B6C369A920145670AA277BD2EBE179FE","Aan de vergetelheid ontrukt 8 Johannes Verhoef 1928-1948 Johan Bakker 183-184 2000")</f>
        <v>0</v>
      </c>
      <c r="D2185" s="1">
        <f>hyperlink("http://dspace.library.uu.nl/handle/1874/215608","Aan de vergetelheid ontrukt 8 Johannes Verhoef 1928-1948 Johan Bakker 183-184 2000")</f>
        <v>0</v>
      </c>
    </row>
    <row r="2186" spans="2:4">
      <c r="B2186">
        <v>97</v>
      </c>
      <c r="C2186" s="1">
        <f>hyperlink("https://hetutrechtsarchief.nl/collectie/FC162CC51A6B52D2B00F5DD6F37FFBEC","Gedenktekens voor gevallenen voor vrede vrijheid en democratie onthuld A A M 184-189 2000")</f>
        <v>0</v>
      </c>
      <c r="D2186" s="1">
        <f>hyperlink("http://dspace.library.uu.nl/handle/1874/215609","Gedenktekens voor gevallenen voor vrede vrijheid en democratie onthuld A A Manten 184-189 2000")</f>
        <v>0</v>
      </c>
    </row>
    <row r="2187" spans="2:4">
      <c r="B2187">
        <v>100</v>
      </c>
      <c r="C2187" s="1">
        <f>hyperlink("https://hetutrechtsarchief.nl/collectie/6038326654B757C2B7CF96AF2011EDA1","De Christelijke Naaischool te Breukelen-Nijenrode Henk van Walderveen 22-25 2000")</f>
        <v>0</v>
      </c>
      <c r="D2187" s="1">
        <f>hyperlink("http://dspace.library.uu.nl/handle/1874/215610","De Christelijke Naaischool te Breukelen-Nijenrode Henk van Walderveen 22-25 2000")</f>
        <v>0</v>
      </c>
    </row>
    <row r="2188" spans="2:4">
      <c r="B2188">
        <v>100</v>
      </c>
      <c r="C2188" s="1">
        <f>hyperlink("https://hetutrechtsarchief.nl/collectie/E7A40BE2D39E52F8816A190A7BE56BBA","Gedwongen tewerkstelling en dwangarbeid in 1940-1945 Henk J van Es 96-99 2000")</f>
        <v>0</v>
      </c>
      <c r="D2188" s="1">
        <f>hyperlink("http://dspace.library.uu.nl/handle/1874/215611","Gedwongen tewerkstelling en dwangarbeid in 1940-1945 Henk J van Es 96-99 2000")</f>
        <v>0</v>
      </c>
    </row>
    <row r="2189" spans="2:4">
      <c r="B2189">
        <v>100</v>
      </c>
      <c r="C2189" s="1">
        <f>hyperlink("https://hetutrechtsarchief.nl/collectie/BBB31DBFD6195DCEA1A43A030B5EFA67","De tekenschool te Breukelen-Nijenrode Henk van Walderveen 153-162 2000")</f>
        <v>0</v>
      </c>
      <c r="D2189" s="1">
        <f>hyperlink("http://dspace.library.uu.nl/handle/1874/215612","De tekenschool te Breukelen-Nijenrode Henk van Walderveen 153-162 2000")</f>
        <v>0</v>
      </c>
    </row>
    <row r="2190" spans="2:4">
      <c r="B2190">
        <v>100</v>
      </c>
      <c r="C2190" s="1">
        <f>hyperlink("https://hetutrechtsarchief.nl/collectie/C732276995285783A4530968DB4F61ED","De familie Kock Breukelen-Nijenrode en Kees de Tippelaar Catharina J Kock 193-200 2000")</f>
        <v>0</v>
      </c>
      <c r="D2190" s="1">
        <f>hyperlink("http://dspace.library.uu.nl/handle/1874/215613","De familie Kock Breukelen-Nijenrode en Kees de Tippelaar Catharina J Kock 193-200 2000")</f>
        <v>0</v>
      </c>
    </row>
    <row r="2191" spans="2:4">
      <c r="B2191">
        <v>92</v>
      </c>
      <c r="C2191" s="1">
        <f>hyperlink("https://hetutrechtsarchief.nl/collectie/9F5D03D5E407518789C558E1318B1200","Veerhuis bij de boerderij De Kemp in Oukoop ten noorden van Nieuwe Ter Aa Albertus A van Kooten en Bep van Schaik-van Kooten 201-204 2000")</f>
        <v>0</v>
      </c>
      <c r="D2191" s="1">
        <f>hyperlink("http://dspace.library.uu.nl/handle/1874/215614","Veerhuis bij de boerderij De Kemp in Oukoop ten noorden van Nieuwe Ter Aa Bep van Kooten Albertus A van Schaik-van Kooten 201-204 2000")</f>
        <v>0</v>
      </c>
    </row>
    <row r="2192" spans="2:4">
      <c r="B2192">
        <v>100</v>
      </c>
      <c r="C2192" s="1">
        <f>hyperlink("https://hetutrechtsarchief.nl/collectie/94DE07EBAF55544998C51CBC7B390474","Het zwembad De Meent en de Jamboree van 1937 Henk J van Es 205-209 2000")</f>
        <v>0</v>
      </c>
      <c r="D2192" s="1">
        <f>hyperlink("http://dspace.library.uu.nl/handle/1874/215615","Het zwembad De Meent en de Jamboree van 1937 Henk J van Es 205-209 2000")</f>
        <v>0</v>
      </c>
    </row>
    <row r="2193" spans="2:4">
      <c r="B2193">
        <v>100</v>
      </c>
      <c r="C2193" s="1">
        <f>hyperlink("https://hetutrechtsarchief.nl/collectie/179588215EDC58F9B1867D0CBE0F2843","De oude molens van Otterspoorbroek Kortrijk en Kockengen Arie A Manten 210-216 2000")</f>
        <v>0</v>
      </c>
      <c r="D2193" s="1">
        <f>hyperlink("http://dspace.library.uu.nl/handle/1874/215616","De oude molens van Otterspoorbroek Kortrijk en Kockengen Arie A Manten 210-216 2000")</f>
        <v>0</v>
      </c>
    </row>
    <row r="2194" spans="2:4">
      <c r="B2194">
        <v>100</v>
      </c>
      <c r="C2194" s="1">
        <f>hyperlink("https://hetutrechtsarchief.nl/collectie/A2086AA4B9DF59EA9EBBA863B6A2A6A5","De initialen HSDB op de behangschilderingen in de R K pastorie te Kockengen Arie A Manten 231-234 2000")</f>
        <v>0</v>
      </c>
      <c r="D2194" s="1">
        <f>hyperlink("http://dspace.library.uu.nl/handle/1874/215617","De initialen HSDB op de behangschilderingen in de R K pastorie te Kockengen Arie A Manten 231-234 2000")</f>
        <v>0</v>
      </c>
    </row>
    <row r="2195" spans="2:4">
      <c r="B2195">
        <v>100</v>
      </c>
      <c r="C2195" s="1">
        <f>hyperlink("https://hetutrechtsarchief.nl/collectie/0AADD2D29C7E5215A50B0303DD85E431","Muur- en wegresten nabij de Vecht tussen Boom en Bosch en Vreedenoord te Breukelen Henk J van Es 235-244 2000")</f>
        <v>0</v>
      </c>
      <c r="D2195" s="1">
        <f>hyperlink("http://dspace.library.uu.nl/handle/1874/215618","Muur- en wegresten nabij de Vecht tussen Boom en Bosch en Vreedenoord te Breukelen Henk J van Es 235-244 2000")</f>
        <v>0</v>
      </c>
    </row>
    <row r="2196" spans="2:4">
      <c r="B2196">
        <v>54</v>
      </c>
      <c r="C2196" s="1">
        <f>hyperlink("https://hetutrechtsarchief.nl/collectie/A2A84701916A5F8E81C2F9C81835A35C","De kelders onder de boerderij Veldzicht in Oud Aa te Breukelen Arie A Manten 209-215 2001")</f>
        <v>0</v>
      </c>
      <c r="D2196" s="1">
        <f>hyperlink("http://dspace.library.uu.nl/handle/1874/215619","Breukelaars wilden in 1930 naar de radio luisteren uit oude raadsnotulen 14 A A Manten 38 1999")</f>
        <v>0</v>
      </c>
    </row>
    <row r="2197" spans="2:4">
      <c r="B2197">
        <v>56</v>
      </c>
      <c r="C2197" s="1">
        <f>hyperlink("https://hetutrechtsarchief.nl/collectie/DA82695B563751AE8F8DDE964E54FB7B","Installatie van burgemeester Van Holthe tot Echten in Breukelen-St Pieter 1946 uit oude raadsnotulen 29 H A M -W 99-101 2002")</f>
        <v>0</v>
      </c>
      <c r="D2197" s="1">
        <f>hyperlink("http://dspace.library.uu.nl/handle/1874/215620","Het Gemeenteplantsoen bij de Heicopperbrug 1924 uit oude raadsnotulen 15 A A Manten 101 1999")</f>
        <v>0</v>
      </c>
    </row>
    <row r="2198" spans="2:4">
      <c r="B2198">
        <v>58</v>
      </c>
      <c r="C2198" s="1">
        <f>hyperlink("https://hetutrechtsarchief.nl/collectie/62982EC61141585CBAB95B0F3492ACAE","Op zoek naar het gemeentewapen van Breukelen-St Pieters 1910-1911 uit oude raadsnotulen 31 172-174 2002")</f>
        <v>0</v>
      </c>
      <c r="D2198" s="1">
        <f>hyperlink("http://dspace.library.uu.nl/handle/1874/215621","Automobilisten veroorzaakten een stofplaag 1907 uit oude raadsnotulen 16 21 2000")</f>
        <v>0</v>
      </c>
    </row>
    <row r="2199" spans="2:4">
      <c r="B2199">
        <v>57</v>
      </c>
      <c r="C2199" s="1">
        <f>hyperlink("https://hetutrechtsarchief.nl/collectie/62982EC61141585CBAB95B0F3492ACAE","Op zoek naar het gemeentewapen van Breukelen-St Pieters 1910-1911 uit oude raadsnotulen 31 172-174 2002")</f>
        <v>0</v>
      </c>
      <c r="D2199" s="1">
        <f>hyperlink("http://dspace.library.uu.nl/handle/1874/215622","Klachten over de slachtplaats bij het station 1929 uit oude raadsnotulen 17 48 2000")</f>
        <v>0</v>
      </c>
    </row>
    <row r="2200" spans="2:4">
      <c r="B2200">
        <v>53</v>
      </c>
      <c r="C2200" s="1">
        <f>hyperlink("https://hetutrechtsarchief.nl/collectie/EBD4B40B0CD053C1A1800CD08F99D952","Slangevecht de buitenplaats die Kees Dudok de Wit zo dierbaar was Arie A Manten 168-176 2007")</f>
        <v>0</v>
      </c>
      <c r="D2200" s="1">
        <f>hyperlink("http://dspace.library.uu.nl/handle/1874/215623","Langdurig wachten bij de draaibrug over het kanaal uit oude raadsnotulen 18 A A Manten 166 2000")</f>
        <v>0</v>
      </c>
    </row>
    <row r="2201" spans="2:4">
      <c r="B2201">
        <v>59</v>
      </c>
      <c r="C2201" s="1">
        <f>hyperlink("https://hetutrechtsarchief.nl/collectie/1BF2AF25B7465D65A260DCA6159948FF","Woningbouwvereeniging Breukelen in problemen door het wegraken van de statuten 1916 Arie A Manten 15-17 2003")</f>
        <v>0</v>
      </c>
      <c r="D2201" s="1">
        <f>hyperlink("http://dspace.library.uu.nl/handle/1874/215624","Verkeersbeleid Breukelen-Nijenrode 1935 uit oude raadsnotulen 19 A A Manten 176 2000")</f>
        <v>0</v>
      </c>
    </row>
    <row r="2202" spans="2:4">
      <c r="B2202">
        <v>54</v>
      </c>
      <c r="C2202" s="1">
        <f>hyperlink("https://hetutrechtsarchief.nl/collectie/DA82695B563751AE8F8DDE964E54FB7B","Installatie van burgemeester Van Holthe tot Echten in Breukelen-St Pieter 1946 uit oude raadsnotulen 29 H A M -W 99-101 2002")</f>
        <v>0</v>
      </c>
      <c r="D2202" s="1">
        <f>hyperlink("http://dspace.library.uu.nl/handle/1874/215625","Hoek Straatweg-Stationsweg verkeersonveilig 1937 uit oude raadsnotulen 20 A A Manten 181 2000")</f>
        <v>0</v>
      </c>
    </row>
    <row r="2203" spans="2:4">
      <c r="B2203">
        <v>61</v>
      </c>
      <c r="C2203" s="1">
        <f>hyperlink("https://hetutrechtsarchief.nl/collectie/DA82695B563751AE8F8DDE964E54FB7B","Installatie van burgemeester Van Holthe tot Echten in Breukelen-St Pieter 1946 uit oude raadsnotulen 29 H A M -W 99-101 2002")</f>
        <v>0</v>
      </c>
      <c r="D2203" s="1">
        <f>hyperlink("http://dspace.library.uu.nl/handle/1874/215626","Politietoezicht in Breukelen-Nijenrode 1907 uit oude raadsnotulen 21 A A Manten 216 2000")</f>
        <v>0</v>
      </c>
    </row>
    <row r="2204" spans="2:4">
      <c r="B2204">
        <v>100</v>
      </c>
      <c r="C2204" s="1">
        <f>hyperlink("https://hetutrechtsarchief.nl/collectie/FBC1AFFD9D14537F94EC289559D2AD19","Goede zuivere wijnen tot redelijke prijzen de geschiedenis van de Utrechtse wijnkoperij Van Wageningen en De Lange Mari lla Beukers 129-135 2004")</f>
        <v>0</v>
      </c>
      <c r="D2204" s="1">
        <f>hyperlink("http://dspace.library.uu.nl/handle/1874/215627","Goede zuivere wijnen tot redelijke prijzen de geschiedenis van de Utrechtse wijnkoperij Van Wageningen en De Lange Mari lla Beukers 129-135 2004")</f>
        <v>0</v>
      </c>
    </row>
    <row r="2205" spans="2:4">
      <c r="B2205">
        <v>59</v>
      </c>
      <c r="C2205" s="1">
        <f>hyperlink("https://hetutrechtsarchief.nl/collectie/BAA412C4BB89554C9B81E0DFB0DBBD55","Bonifatius Velsen en Breukelen Arie A Manten 147-149 1999")</f>
        <v>0</v>
      </c>
      <c r="D2205" s="1">
        <f>hyperlink("http://dspace.library.uu.nl/handle/1874/215628","Kraaynestersluis moet operationeel blijven Arie A Manten 4-9 1998")</f>
        <v>0</v>
      </c>
    </row>
    <row r="2206" spans="2:4">
      <c r="B2206">
        <v>61</v>
      </c>
      <c r="C2206" s="1">
        <f>hyperlink("https://hetutrechtsarchief.nl/collectie/7C20DFE8209E5A46B66463F4E6ECC539","Tweeduizend jaar op en aan de Vecht Arie A Manten 198-225 1999")</f>
        <v>0</v>
      </c>
      <c r="D2206" s="1">
        <f>hyperlink("http://dspace.library.uu.nl/handle/1874/215629","Portengen-Nijenrodesgerecht Arie A Manten 20-28 1998")</f>
        <v>0</v>
      </c>
    </row>
    <row r="2207" spans="2:4">
      <c r="B2207">
        <v>60</v>
      </c>
      <c r="C2207" s="1">
        <f>hyperlink("https://hetutrechtsarchief.nl/collectie/B6493A63A9CF5A3A92D6F9C74D5CB4E6","De Rhenense elite in de eerste helft van de 18e eeuw Willem H Strous 7-31 2009")</f>
        <v>0</v>
      </c>
      <c r="D2207" s="1">
        <f>hyperlink("http://dspace.library.uu.nl/handle/1874/215630","De buurtschap Portengensebrug in de eerste helft van de 20ste eeuw Arie A Linden A van der Manten 29-34 1998")</f>
        <v>0</v>
      </c>
    </row>
    <row r="2208" spans="2:4">
      <c r="B2208">
        <v>59</v>
      </c>
      <c r="C2208" s="1">
        <f>hyperlink("https://hetutrechtsarchief.nl/collectie/9D076C5BDC9E58F4B60C9E1B03412A76","Ons muntgeld Arie A Manten 4-12 2002")</f>
        <v>0</v>
      </c>
      <c r="D2208" s="1">
        <f>hyperlink("http://dspace.library.uu.nl/handle/1874/215631","Chinoiserie Arie A Manten 231-232 1998")</f>
        <v>0</v>
      </c>
    </row>
    <row r="2209" spans="2:4">
      <c r="B2209">
        <v>60</v>
      </c>
      <c r="C2209" s="1">
        <f>hyperlink("https://hetutrechtsarchief.nl/collectie/CA9C050B148955B4A70302453665B929","Het huis Groenzicht aan de Poeldijk nu Marijkestraat 26 te Breukelen Henk J van Es 135-143 1999")</f>
        <v>0</v>
      </c>
      <c r="D2209" s="1">
        <f>hyperlink("http://dspace.library.uu.nl/handle/1874/215632","Het hoekhuis Dannegracht 9 Dannestraat 10 Henk J van Es 35-50 1998")</f>
        <v>0</v>
      </c>
    </row>
    <row r="2210" spans="2:4">
      <c r="B2210">
        <v>63</v>
      </c>
      <c r="C2210" s="1">
        <f>hyperlink("https://hetutrechtsarchief.nl/collectie/FFBAFE830FD05C5A80E76A7C1E5231AC","Tussen s-Heerenwagenweg en Danne te Breukelen Henk J van Es 163-171 ill portr 1998")</f>
        <v>0</v>
      </c>
      <c r="D2210" s="1">
        <f>hyperlink("http://dspace.library.uu.nl/handle/1874/215633","De huizen in de Dannestraat Henk J van Es 163-171 1998")</f>
        <v>0</v>
      </c>
    </row>
    <row r="2211" spans="2:4">
      <c r="B2211">
        <v>59</v>
      </c>
      <c r="C2211" s="1">
        <f>hyperlink("https://hetutrechtsarchief.nl/collectie/CB2CBBE6B8CA595FBD1FFBD1877C646A","De restauratie van de carillontoren van de Nicola kerk G W van Hoogevest 1-15 ill tek 1987")</f>
        <v>0</v>
      </c>
      <c r="D2211" s="1">
        <f>hyperlink("http://dspace.library.uu.nl/handle/1874/215634","Gedicht op de restauratie van de toren van de Breukelse dorpskerk ca 1875 H van Walderveen 124 1999")</f>
        <v>0</v>
      </c>
    </row>
    <row r="2212" spans="2:4">
      <c r="B2212">
        <v>64</v>
      </c>
      <c r="C2212" s="1">
        <f>hyperlink("https://hetutrechtsarchief.nl/collectie/47D3FAC2DDF7546BB09DB388298390ED","Oranjefeest te Breukelen in 1920 Henk van Walderveen 221-225 2004")</f>
        <v>0</v>
      </c>
      <c r="D2212" s="1">
        <f>hyperlink("http://dspace.library.uu.nl/handle/1874/215635","Brief uit de Bataafse Tijd Henk van Walderveen 25 2000")</f>
        <v>0</v>
      </c>
    </row>
    <row r="2213" spans="2:4">
      <c r="B2213">
        <v>70</v>
      </c>
      <c r="C2213" s="1">
        <f>hyperlink("https://hetutrechtsarchief.nl/collectie/BAA4C7030B935970A9E9A4F822DDE8E1","Breukelen en de po zie Arie A Manten 153-161 2002")</f>
        <v>0</v>
      </c>
      <c r="D2213" s="1">
        <f>hyperlink("http://dspace.library.uu.nl/handle/1874/215636","Het woelen van de roomschgezinden Arie A Manten 170-176 2000")</f>
        <v>0</v>
      </c>
    </row>
    <row r="2214" spans="2:4">
      <c r="B2214">
        <v>100</v>
      </c>
      <c r="C2214" s="1">
        <f>hyperlink("https://hetutrechtsarchief.nl/collectie/E76279413EE559B9B850B3E106958AE2","Meestal onzichtbaar toch aanwezig een wandeling over en langs de Romeinse weg in Leidsche Rijn Maurice van Lieshout 147-153 2011")</f>
        <v>0</v>
      </c>
      <c r="D2214" s="1">
        <f>hyperlink("http://dspace.library.uu.nl/handle/1874/215637","Meestal onzichtbaar toch aanwezig een wandeling over en langs de Romeinse weg in Leidsche Rijn Maurice van Lieshout 147-153 2011")</f>
        <v>0</v>
      </c>
    </row>
    <row r="2215" spans="2:4">
      <c r="B2215">
        <v>96</v>
      </c>
      <c r="C2215" s="1">
        <f>hyperlink("https://hetutrechtsarchief.nl/collectie/4DAAD2E25538510FA1DB797D5C1CFF6B","Eenige aanteekeningen over het Utrechtsche burggraafschap J W C van Campen 43-45 1937")</f>
        <v>0</v>
      </c>
      <c r="D2215" s="1">
        <f>hyperlink("http://dspace.library.uu.nl/handle/1874/215715","Eenige aanteekeningen over het Utrechtsche burggraafschap J W C van Campen 1937")</f>
        <v>0</v>
      </c>
    </row>
    <row r="2216" spans="2:4">
      <c r="B2216">
        <v>80</v>
      </c>
      <c r="C2216" s="1">
        <f>hyperlink("https://hetutrechtsarchief.nl/collectie/84ECEFD6B4185E5391C6BC06D98537E6","Koningin Hortense te Utrecht - E 66-72 83-85 1937")</f>
        <v>0</v>
      </c>
      <c r="D2216" s="1">
        <f>hyperlink("http://dspace.library.uu.nl/handle/1874/215716","Koningin Hortense te Utrecht G A Evers 1937")</f>
        <v>0</v>
      </c>
    </row>
    <row r="2217" spans="2:4">
      <c r="B2217">
        <v>82</v>
      </c>
      <c r="C2217" s="1">
        <f>hyperlink("https://hetutrechtsarchief.nl/collectie/8FFB33C67824553CAE92B7F14BE51F0E","Oude Nieuwjaarsprenten - E 4-9 ill 1937")</f>
        <v>0</v>
      </c>
      <c r="D2217" s="1">
        <f>hyperlink("http://dspace.library.uu.nl/handle/1874/215717","Oude Nieuwjaarsprenten G A Evers 1937")</f>
        <v>0</v>
      </c>
    </row>
    <row r="2218" spans="2:4">
      <c r="B2218">
        <v>92</v>
      </c>
      <c r="C2218" s="1">
        <f>hyperlink("https://hetutrechtsarchief.nl/collectie/C0B8EE735ABB53A6BBF999C9F1C335EF","Joannes Gerardus Michael Dadelbeek L J v d Heijden 57-60 1937")</f>
        <v>0</v>
      </c>
      <c r="D2218" s="1">
        <f>hyperlink("http://dspace.library.uu.nl/handle/1874/215718","Joannes Gerardus Michael Dadelbeek L J van der Heijden 1937")</f>
        <v>0</v>
      </c>
    </row>
    <row r="2219" spans="2:4">
      <c r="B2219">
        <v>86</v>
      </c>
      <c r="C2219" s="1">
        <f>hyperlink("https://hetutrechtsarchief.nl/collectie/DDE23F7A54F353B6B5E7CB0AF5C8CD2B","Het Domplein - K 2-3 1937")</f>
        <v>0</v>
      </c>
      <c r="D2219" s="1">
        <f>hyperlink("http://dspace.library.uu.nl/handle/1874/215719","Het Domplein K 1937")</f>
        <v>0</v>
      </c>
    </row>
    <row r="2220" spans="2:4">
      <c r="B2220">
        <v>72</v>
      </c>
      <c r="C2220" s="1">
        <f>hyperlink("https://hetutrechtsarchief.nl/collectie/87E36199D789597285C201E5325134E5","Bakkers in nood G van Klaveren Pz 22-27 33-37 47-51 61-63 1937")</f>
        <v>0</v>
      </c>
      <c r="D2220" s="1">
        <f>hyperlink("http://dspace.library.uu.nl/handle/1874/215720","Bakkers in nood G van Klaveren 1937")</f>
        <v>0</v>
      </c>
    </row>
    <row r="2221" spans="2:4">
      <c r="B2221">
        <v>81</v>
      </c>
      <c r="C2221" s="1">
        <f>hyperlink("https://hetutrechtsarchief.nl/collectie/CA015EB579195308A5240C52318FD134","Zonnenburg - K 29-33 1937")</f>
        <v>0</v>
      </c>
      <c r="D2221" s="1">
        <f>hyperlink("http://dspace.library.uu.nl/handle/1874/215721","Zonnenburg K 1937")</f>
        <v>0</v>
      </c>
    </row>
    <row r="2222" spans="2:4">
      <c r="B2222">
        <v>92</v>
      </c>
      <c r="C2222" s="1">
        <f>hyperlink("https://hetutrechtsarchief.nl/collectie/415710B84F955D879295A3D41C564DF5","Hoe Katrijn van Leemput het kasteel Vredenburg ging sloopen - E 45-47 1937")</f>
        <v>0</v>
      </c>
      <c r="D2222" s="1">
        <f>hyperlink("http://dspace.library.uu.nl/handle/1874/215722","Hoe Katrijn van Leemput het kasteel Vredenburg ging sloopen G A Evers 1937")</f>
        <v>0</v>
      </c>
    </row>
    <row r="2223" spans="2:4">
      <c r="B2223">
        <v>83</v>
      </c>
      <c r="C2223" s="1">
        <f>hyperlink("https://hetutrechtsarchief.nl/collectie/494D457FF78456A1BC54C9D35BD0F503","Maastricht of Utrecht - A E R 81-83 1937")</f>
        <v>0</v>
      </c>
      <c r="D2223" s="1">
        <f>hyperlink("http://dspace.library.uu.nl/handle/1874/215723","Maastricht of Utrecht G A R A E Evers 1937")</f>
        <v>0</v>
      </c>
    </row>
    <row r="2224" spans="2:4">
      <c r="B2224">
        <v>91</v>
      </c>
      <c r="C2224" s="1">
        <f>hyperlink("https://hetutrechtsarchief.nl/collectie/8587E0B21BE750D6ADFB4CB8274F2C35","De Utrechtsche Bijbel-compagnie A Brom Jr 89-92 1937")</f>
        <v>0</v>
      </c>
      <c r="D2224" s="1">
        <f>hyperlink("http://dspace.library.uu.nl/handle/1874/215724","De Utrechtsche Bijbel-Compagnie A Brom 1937")</f>
        <v>0</v>
      </c>
    </row>
    <row r="2225" spans="2:4">
      <c r="B2225">
        <v>74</v>
      </c>
      <c r="C2225" s="1">
        <f>hyperlink("https://hetutrechtsarchief.nl/collectie/96ABEC0A3F275788B1CBDDD9CDEA762E","Dr A Kuypers Utrechtsche jaren - G v K Pz 92-96 102-108 ill 1937")</f>
        <v>0</v>
      </c>
      <c r="D2225" s="1">
        <f>hyperlink("http://dspace.library.uu.nl/handle/1874/215725","Dr A Kuypers Utrechtsche jaren G van Klaveren 1937")</f>
        <v>0</v>
      </c>
    </row>
    <row r="2226" spans="2:4">
      <c r="B2226">
        <v>84</v>
      </c>
      <c r="C2226" s="1">
        <f>hyperlink("https://hetutrechtsarchief.nl/collectie/CF938AD41CCA5DC7B58B39ACEF1E49B4","Vondel en Utrecht C Catharina van de Graft 97-102 1937")</f>
        <v>0</v>
      </c>
      <c r="D2226" s="1">
        <f>hyperlink("http://dspace.library.uu.nl/handle/1874/215726","Vondel en Utrecht C C van de Graft 1937")</f>
        <v>0</v>
      </c>
    </row>
    <row r="2227" spans="2:4">
      <c r="B2227">
        <v>90</v>
      </c>
      <c r="C2227" s="1">
        <f>hyperlink("https://hetutrechtsarchief.nl/collectie/066A0D4DE1B85CAA81A6F216DF002BDF","Vande groote swaricheyt der armen deser Stadt de reorganisatie van de armenzorg in Utrecht 1580-1674 Dani lle Teeuwen 48-66 2010")</f>
        <v>0</v>
      </c>
      <c r="D2227" s="1">
        <f>hyperlink("http://dspace.library.uu.nl/handle/1874/22470","Vande groote swaricheyt den armen deser Stadt de reorganisatie van de armenzorg in Utrecht in de comparatief 1580-1674 Dani lle Teeuwen 2007")</f>
        <v>0</v>
      </c>
    </row>
    <row r="2228" spans="2:4">
      <c r="B2228">
        <v>52</v>
      </c>
      <c r="C2228" s="1">
        <f>hyperlink("https://hetutrechtsarchief.nl/collectie/C511A20187B25EA8B06C3D6C68D060E7","Ik ben ge nteresseerd in ervaringen van mensen Cees van Eijk wijkwethouder Binnenstad en wethouder Welzijn Cultuur en Integratie 15 2006")</f>
        <v>0</v>
      </c>
      <c r="D2228" s="1">
        <f>hyperlink("http://dspace.library.uu.nl/handle/1874/22480","Die ghemenen susteren des besloten convents van Sinte Agnete binnen Rienen klooster en cartularium in context Hanneke Duits 2007")</f>
        <v>0</v>
      </c>
    </row>
    <row r="2229" spans="2:4">
      <c r="B2229">
        <v>93</v>
      </c>
      <c r="C2229" s="1">
        <f>hyperlink("https://hetutrechtsarchief.nl/collectie/C6B07D9F9B0453B495F52A1660763EAA","Het landgoed Oud-Amelisweerd bij Utrecht J E B gram van Eeten 77-80")</f>
        <v>0</v>
      </c>
      <c r="D2229" s="1">
        <f>hyperlink("http://dspace.library.uu.nl/handle/1874/237789","Het landgoed Oud-Amelisweerd bij Utrecht J E B gram van Eeten 1953")</f>
        <v>0</v>
      </c>
    </row>
    <row r="2230" spans="2:4">
      <c r="B2230">
        <v>97</v>
      </c>
      <c r="C2230" s="1">
        <f>hyperlink("https://hetutrechtsarchief.nl/collectie/1F6BC19265E358FBBE232BA2990B4A78","Nogmaals Een door Karel V aan de Buurkerk geschonken glasraam gegevens betreffende den glaesmaecker Jan Pietersz te Oudewater en den werckgeselle van schilderien Meester Jennin van Mabuze P J W Beltjes 42-45 1947")</f>
        <v>0</v>
      </c>
      <c r="D2230" s="1">
        <f>hyperlink("http://dspace.library.uu.nl/handle/1874/237790","Nogmaals Een door Karel V aan de Buurkerk geschoncken glasraam gegevens betreffende den glasmaecker Jan Pietersz te Oudewater en den werckgeselle van schilderien Meester Jennin van Mabuze M P J W Beltje 1947")</f>
        <v>0</v>
      </c>
    </row>
    <row r="2231" spans="2:4">
      <c r="B2231">
        <v>80</v>
      </c>
      <c r="C2231" s="1">
        <f>hyperlink("https://hetutrechtsarchief.nl/collectie/BA1C9FE3A83F5027BA61F13F2BD71CB6","Nogmaals de Utrechtse straatnamen Wim van Beusekom 25-29 1949")</f>
        <v>0</v>
      </c>
      <c r="D2231" s="1">
        <f>hyperlink("http://dspace.library.uu.nl/handle/1874/237791","Nogmaals de Utrechtse straatnamen het op de klemtoon W van Beusekom 1949")</f>
        <v>0</v>
      </c>
    </row>
    <row r="2232" spans="2:4">
      <c r="B2232">
        <v>90</v>
      </c>
      <c r="C2232" s="1">
        <f>hyperlink("https://hetutrechtsarchief.nl/collectie/EFFD254E700950098204EE9384ADEF91","Het huis Boothstraat 17 39-40 1951")</f>
        <v>0</v>
      </c>
      <c r="D2232" s="1">
        <f>hyperlink("http://dspace.library.uu.nl/handle/1874/237792","Het huis Boothstraat 17 1951")</f>
        <v>0</v>
      </c>
    </row>
    <row r="2233" spans="2:4">
      <c r="B2233">
        <v>94</v>
      </c>
      <c r="C2233" s="1">
        <f>hyperlink("https://hetutrechtsarchief.nl/collectie/251D3BCB8C2153A689ADC05ED7AF0C77","Rhenen L H N F M Bosch Ridder van Rosenthal 30-31 1950")</f>
        <v>0</v>
      </c>
      <c r="D2233" s="1">
        <f>hyperlink("http://dspace.library.uu.nl/handle/1874/237793","Rhenen L H N F M Bosch ridder van Rosenthal 1950")</f>
        <v>0</v>
      </c>
    </row>
    <row r="2234" spans="2:4">
      <c r="B2234">
        <v>94</v>
      </c>
      <c r="C2234" s="1">
        <f>hyperlink("https://hetutrechtsarchief.nl/collectie/67405B0C10EE5CC3B8B14828145214F0","Rondom het Hof te Rhenen A J Bovenschen 41-44 1952")</f>
        <v>0</v>
      </c>
      <c r="D2234" s="1">
        <f>hyperlink("http://dspace.library.uu.nl/handle/1874/237794","Rondom het Hof te Rhenen A J Bovenschen 1952")</f>
        <v>0</v>
      </c>
    </row>
    <row r="2235" spans="2:4">
      <c r="B2235">
        <v>57</v>
      </c>
      <c r="C2235" s="1">
        <f>hyperlink("https://hetutrechtsarchief.nl/collectie/438FFC03D4EB553990F39289B99458A6","De Westerbrug thans verkeersplein - F 13 ill 1971")</f>
        <v>0</v>
      </c>
      <c r="D2235" s="1">
        <f>hyperlink("http://dspace.library.uu.nl/handle/1874/237795","De Vechtbrug in Breukelen 101-102 1957")</f>
        <v>0</v>
      </c>
    </row>
    <row r="2236" spans="2:4">
      <c r="B2236">
        <v>68</v>
      </c>
      <c r="C2236" s="1">
        <f>hyperlink("https://hetutrechtsarchief.nl/collectie/835588E5FFC653C99F4F5FDD0ABDB9F7","De ridderlijke Duitsche orde - v C 47-48 1953")</f>
        <v>0</v>
      </c>
      <c r="D2236" s="1">
        <f>hyperlink("http://dspace.library.uu.nl/handle/1874/237796","De Maltezer-ridders De ridderlijke Duitsche Orde J W C van Campen 1953")</f>
        <v>0</v>
      </c>
    </row>
    <row r="2237" spans="2:4">
      <c r="B2237">
        <v>84</v>
      </c>
      <c r="C2237" s="1">
        <f>hyperlink("https://hetutrechtsarchief.nl/collectie/B6FF7FF60E1E58CC9F0FB2F45CB598ED","Gedrang op de bisschopstrap - v C 4-6 1953")</f>
        <v>0</v>
      </c>
      <c r="D2237" s="1">
        <f>hyperlink("http://dspace.library.uu.nl/handle/1874/237797","Gedrang op de bisschopstrap J W C van Campen 1953")</f>
        <v>0</v>
      </c>
    </row>
    <row r="2238" spans="2:4">
      <c r="B2238">
        <v>82</v>
      </c>
      <c r="C2238" s="1">
        <f>hyperlink("https://hetutrechtsarchief.nl/collectie/3054E6DB3C235BC58F3A91100CE2FAC5","Vijf en twintig jaren Oud-Utrecht A N L Otten 12-14 1948")</f>
        <v>0</v>
      </c>
      <c r="D2238" s="1">
        <f>hyperlink("http://dspace.library.uu.nl/handle/1874/237798","Vijf en twintig jaren Oud Utrecht J W C van Campen 29-48 1948")</f>
        <v>0</v>
      </c>
    </row>
    <row r="2239" spans="2:4">
      <c r="B2239">
        <v>91</v>
      </c>
      <c r="C2239" s="1">
        <f>hyperlink("https://hetutrechtsarchief.nl/collectie/E31787E54E61548585271A10782335B3","In memoriam Dr W C Schuylenburg J W C van Campen 136-140 1946")</f>
        <v>0</v>
      </c>
      <c r="D2239" s="1">
        <f>hyperlink("http://dspace.library.uu.nl/handle/1874/237799","In memoriam Dr W C Schuylenburg J W C van Campen 1945")</f>
        <v>0</v>
      </c>
    </row>
    <row r="2240" spans="2:4">
      <c r="B2240">
        <v>93</v>
      </c>
      <c r="C2240" s="1">
        <f>hyperlink("https://hetutrechtsarchief.nl/collectie/8927F34214B5539B8DD3B999E1356221","Pastoor Rientjes J W C van Campen 66-68 1946")</f>
        <v>0</v>
      </c>
      <c r="D2240" s="1">
        <f>hyperlink("http://dspace.library.uu.nl/handle/1874/237800","Pastoor Rientjes J W C van Campen 1946")</f>
        <v>0</v>
      </c>
    </row>
    <row r="2241" spans="2:4">
      <c r="B2241">
        <v>97</v>
      </c>
      <c r="C2241" s="1">
        <f>hyperlink("https://hetutrechtsarchief.nl/collectie/4789312081E15BE2AD0CD5F0FF45A4E4","Honderd jaren geleden werd Mr S Muller Fz geboren J W C van Campen 1-2 1948")</f>
        <v>0</v>
      </c>
      <c r="D2241" s="1">
        <f>hyperlink("http://dspace.library.uu.nl/handle/1874/237801","Honderd jaren geleden werd Mr S Muller Fz geboren J W C van Campen 1948")</f>
        <v>0</v>
      </c>
    </row>
    <row r="2242" spans="2:4">
      <c r="B2242">
        <v>78</v>
      </c>
      <c r="C2242" s="1">
        <f>hyperlink("https://hetutrechtsarchief.nl/collectie/552ADFC5DF3D568590293F487DC42282","Het einde van Oud-Wulven door - v C 87-89 1948")</f>
        <v>0</v>
      </c>
      <c r="D2242" s="1">
        <f>hyperlink("http://dspace.library.uu.nl/handle/1874/237802","Het einde van Oud-Wulven J W C van Campen 1948")</f>
        <v>0</v>
      </c>
    </row>
    <row r="2243" spans="2:4">
      <c r="B2243">
        <v>89</v>
      </c>
      <c r="C2243" s="1">
        <f>hyperlink("https://hetutrechtsarchief.nl/collectie/2CB665179C4A58F1853B20F5BCAED06D","Publicaties over romeinsch en middeleeuwsch Utrecht en over Vechten - v C en J W C van Campen 86-88 89-92 1950")</f>
        <v>0</v>
      </c>
      <c r="D2243" s="1">
        <f>hyperlink("http://dspace.library.uu.nl/handle/1874/237803","Publicaties over Romeinsch en Middeleeuwsch Utrecht en over Vechten J W C van Campen 1950")</f>
        <v>0</v>
      </c>
    </row>
    <row r="2244" spans="2:4">
      <c r="B2244">
        <v>73</v>
      </c>
      <c r="C2244" s="1">
        <f>hyperlink("https://hetutrechtsarchief.nl/collectie/35391856009255D0A6FADFCE788D7E1B","Weinig bekende gevelstenen te Utrecht - v C met teekeningen van C J Bardet 3-7 ill 1948")</f>
        <v>0</v>
      </c>
      <c r="D2244" s="1">
        <f>hyperlink("http://dspace.library.uu.nl/handle/1874/237804","Weinig bekende gevelsteenen te Utrecht J W C van Campen 1948")</f>
        <v>0</v>
      </c>
    </row>
    <row r="2245" spans="2:4">
      <c r="B2245">
        <v>91</v>
      </c>
      <c r="C2245" s="1">
        <f>hyperlink("https://hetutrechtsarchief.nl/collectie/982B62EDBC465B24B8BCA0AA7DEB0F93","Beeldhouwwerk van het kasteel Vredenburg in verband met zijn geschiedenis - v C 75-78 1951")</f>
        <v>0</v>
      </c>
      <c r="D2245" s="1">
        <f>hyperlink("http://dspace.library.uu.nl/handle/1874/237805","Beeldhouwwerk van het kasteel Vredenburg in verband met zijn geschiedenis J W C van Campen 1951")</f>
        <v>0</v>
      </c>
    </row>
    <row r="2246" spans="2:4">
      <c r="B2246">
        <v>84</v>
      </c>
      <c r="C2246" s="1">
        <f>hyperlink("https://hetutrechtsarchief.nl/collectie/AB7E5C77905F5361A42A99811D728613","Van een grafzerk en een straatnaam - v C 12-14 1951")</f>
        <v>0</v>
      </c>
      <c r="D2246" s="1">
        <f>hyperlink("http://dspace.library.uu.nl/handle/1874/237806","Van een grafzerk en een straatnaam J W C van Campen 1951")</f>
        <v>0</v>
      </c>
    </row>
    <row r="2247" spans="2:4">
      <c r="B2247">
        <v>82</v>
      </c>
      <c r="C2247" s="1">
        <f>hyperlink("https://hetutrechtsarchief.nl/collectie/C86D0E6A62CE5D77A93E7E6C95FBFBAD","De bisschoppen van Utrecht van 750-850 J W C van Campen 23-39 1953")</f>
        <v>0</v>
      </c>
      <c r="D2247" s="1">
        <f>hyperlink("http://dspace.library.uu.nl/handle/1874/237807","De bisschoppen van Utrecht J W C van Campen 1952")</f>
        <v>0</v>
      </c>
    </row>
    <row r="2248" spans="2:4">
      <c r="B2248">
        <v>96</v>
      </c>
      <c r="C2248" s="1">
        <f>hyperlink("https://hetutrechtsarchief.nl/collectie/938577FAA39655EB83A83B865DA42CD9","De kastelen in de provincie Utrecht J R Clifford Kocq van Breugel 13-14 1950")</f>
        <v>0</v>
      </c>
      <c r="D2248" s="1">
        <f>hyperlink("http://dspace.library.uu.nl/handle/1874/237808","De kastelen in de provincie Utrecht J R Clifford Kocq van Breugel 1950")</f>
        <v>0</v>
      </c>
    </row>
    <row r="2249" spans="2:4">
      <c r="B2249">
        <v>83</v>
      </c>
      <c r="C2249" s="1">
        <f>hyperlink("https://hetutrechtsarchief.nl/collectie/C9B35967A1995B4AA206FDF500F01D4C","Remedie tegen dollehondsbeet een Biltsche specialiteit - D 82-84 91-93 101-103 1943")</f>
        <v>0</v>
      </c>
      <c r="D2249" s="1">
        <f>hyperlink("http://dspace.library.uu.nl/handle/1874/237809","Remedie tegen dollehondsbeet een Biltsche specialiteit D 1945")</f>
        <v>0</v>
      </c>
    </row>
    <row r="2250" spans="2:4">
      <c r="B2250">
        <v>90</v>
      </c>
      <c r="C2250" s="1">
        <f>hyperlink("https://hetutrechtsarchief.nl/collectie/BFE11A788ECA5CEEB61301C037FBD432","Waar stond het klooster Vredendael - P H D 7-8 1946")</f>
        <v>0</v>
      </c>
      <c r="D2250" s="1">
        <f>hyperlink("http://dspace.library.uu.nl/handle/1874/237810","Waar stond het klooster Vredendael P H Damst 1946")</f>
        <v>0</v>
      </c>
    </row>
    <row r="2251" spans="2:4">
      <c r="B2251">
        <v>61</v>
      </c>
      <c r="C2251" s="1">
        <f>hyperlink("https://hetutrechtsarchief.nl/collectie/499CB2DC0A1A5CBBA06B9BFC90A1D263","Folklore in Doorn E J Demoed 35-36 1951")</f>
        <v>0</v>
      </c>
      <c r="D2251" s="1">
        <f>hyperlink("http://dspace.library.uu.nl/handle/1874/237811","Hoe oud is Schoonoord E J Demoed 1953")</f>
        <v>0</v>
      </c>
    </row>
    <row r="2252" spans="2:4">
      <c r="B2252">
        <v>67</v>
      </c>
      <c r="C2252" s="1">
        <f>hyperlink("https://hetutrechtsarchief.nl/collectie/499CB2DC0A1A5CBBA06B9BFC90A1D263","Folklore in Doorn E J Demoed 35-36 1951")</f>
        <v>0</v>
      </c>
      <c r="D2252" s="1">
        <f>hyperlink("http://dspace.library.uu.nl/handle/1874/237812","Tollen in Zuidoost Utrecht E J Demoed 77-78 1957")</f>
        <v>0</v>
      </c>
    </row>
    <row r="2253" spans="2:4">
      <c r="B2253">
        <v>92</v>
      </c>
      <c r="C2253" s="1">
        <f>hyperlink("https://hetutrechtsarchief.nl/collectie/499CB2DC0A1A5CBBA06B9BFC90A1D263","Folklore in Doorn E J Demoed 35-36 1951")</f>
        <v>0</v>
      </c>
      <c r="D2253" s="1">
        <f>hyperlink("http://dspace.library.uu.nl/handle/1874/237813","Folklore in Doorn E J Demoed 1951")</f>
        <v>0</v>
      </c>
    </row>
    <row r="2254" spans="2:4">
      <c r="B2254">
        <v>63</v>
      </c>
      <c r="C2254" s="1">
        <f>hyperlink("https://hetutrechtsarchief.nl/collectie/5AA3DAC790255EBE9F1A1666DCE1EDDD","Snellenburch E van Oosterom 97-100 1956")</f>
        <v>0</v>
      </c>
      <c r="D2254" s="1">
        <f>hyperlink("http://dspace.library.uu.nl/handle/1874/237814","Doornburgh nu klooster 100 1957")</f>
        <v>0</v>
      </c>
    </row>
    <row r="2255" spans="2:4">
      <c r="B2255">
        <v>76</v>
      </c>
      <c r="C2255" s="1">
        <f>hyperlink("https://hetutrechtsarchief.nl/collectie/441D8B80BC315464A998AEA5C7AF6BA4","De Utrechtse goud- en zilversmid Asueres van Borculo 23-24 1949")</f>
        <v>0</v>
      </c>
      <c r="D2255" s="1">
        <f>hyperlink("http://dspace.library.uu.nl/handle/1874/237815","De Utrechtse goud- en zilversmid Assuerus van Borculo Th M Duijvene de Wit-Klinkhamer 1949")</f>
        <v>0</v>
      </c>
    </row>
    <row r="2256" spans="2:4">
      <c r="B2256">
        <v>71</v>
      </c>
      <c r="C2256" s="1">
        <f>hyperlink("https://hetutrechtsarchief.nl/collectie/4BD430127A865F239D698F17BBEAF442","De Stadskelder J W C van Campen 150-168 ill 1930")</f>
        <v>0</v>
      </c>
      <c r="D2256" s="1">
        <f>hyperlink("http://dspace.library.uu.nl/handle/1874/237816","De stadsvlag J W C van Campen 1948")</f>
        <v>0</v>
      </c>
    </row>
    <row r="2257" spans="2:4">
      <c r="B2257">
        <v>85</v>
      </c>
      <c r="C2257" s="1">
        <f>hyperlink("https://hetutrechtsarchief.nl/collectie/474FC20CA02559A08C1F076F6B6C77B3","Van boeken en rouwmantels - E 74-75 1949")</f>
        <v>0</v>
      </c>
      <c r="D2257" s="1">
        <f>hyperlink("http://dspace.library.uu.nl/handle/1874/237817","Van boeken en rouwmantels G A Evers 1949")</f>
        <v>0</v>
      </c>
    </row>
    <row r="2258" spans="2:4">
      <c r="B2258">
        <v>85</v>
      </c>
      <c r="C2258" s="1">
        <f>hyperlink("https://hetutrechtsarchief.nl/collectie/9DC72BF645355F289D4C3F60DB34A90B","Utrechtsche kluizenaressen - E 25-28 1952")</f>
        <v>0</v>
      </c>
      <c r="D2258" s="1">
        <f>hyperlink("http://dspace.library.uu.nl/handle/1874/237818","Utrechtsche kluizenaressen G A Evers 1952")</f>
        <v>0</v>
      </c>
    </row>
    <row r="2259" spans="2:4">
      <c r="B2259">
        <v>83</v>
      </c>
      <c r="C2259" s="1">
        <f>hyperlink("https://hetutrechtsarchief.nl/collectie/3C0D32B46CCF5B3E91FBCFACBD4BDD53","Groningers in 1699 per zeiljacht over Utrecht naar Brabant - E 18-20 25-28 1957")</f>
        <v>0</v>
      </c>
      <c r="D2259" s="1">
        <f>hyperlink("http://dspace.library.uu.nl/handle/1874/237819","Groningers in 1699 per zeiljacht over Utrecht naar Brabant A Evers G A Bicker Caarten 1957")</f>
        <v>0</v>
      </c>
    </row>
    <row r="2260" spans="2:4">
      <c r="B2260">
        <v>89</v>
      </c>
      <c r="C2260" s="1">
        <f>hyperlink("https://hetutrechtsarchief.nl/collectie/D0B0C71128F35F38B9511E594C778434","Utrechtsche overleveringen XIII de stichting der St Mariakerk - E 29-30 1939")</f>
        <v>0</v>
      </c>
      <c r="D2260" s="1">
        <f>hyperlink("http://dspace.library.uu.nl/handle/1874/237820","Utrechtsche overleveringen XIII De stichting van de St Mariakerk G A Evers 1939")</f>
        <v>0</v>
      </c>
    </row>
    <row r="2261" spans="2:4">
      <c r="B2261">
        <v>92</v>
      </c>
      <c r="C2261" s="1">
        <f>hyperlink("https://hetutrechtsarchief.nl/collectie/B19F6F09BBAA583CAFAEDAA5CA99BC76","Utrechtsche overleveringen XV Ponsen en Angen - E 1-3 1940")</f>
        <v>0</v>
      </c>
      <c r="D2261" s="1">
        <f>hyperlink("http://dspace.library.uu.nl/handle/1874/237821","Utrechtsche overleveringen XV Ponsen en Angen G A Evers 1940")</f>
        <v>0</v>
      </c>
    </row>
    <row r="2262" spans="2:4">
      <c r="B2262">
        <v>91</v>
      </c>
      <c r="C2262" s="1">
        <f>hyperlink("https://hetutrechtsarchief.nl/collectie/AFD5D2ECB8B75C0489C68FAFE44BA908","Utrechtsche overleveringen XVI De Spaansche ruiter - E 58-60 1940")</f>
        <v>0</v>
      </c>
      <c r="D2262" s="1">
        <f>hyperlink("http://dspace.library.uu.nl/handle/1874/237822","Utrechtsche overleveringen XVI De Spaansche ruiter G A Evers 1940")</f>
        <v>0</v>
      </c>
    </row>
    <row r="2263" spans="2:4">
      <c r="B2263">
        <v>92</v>
      </c>
      <c r="C2263" s="1">
        <f>hyperlink("https://hetutrechtsarchief.nl/collectie/94CC1F44C55854C2A1BD566C5290FE15","Utrechtsche overleveringen XVII Het heilige kruis ten hemel 1305 - E 65-68 1940")</f>
        <v>0</v>
      </c>
      <c r="D2263" s="1">
        <f>hyperlink("http://dspace.library.uu.nl/handle/1874/237823","Utrechtsche overleveringen XVII Het heilig kruis ten hemel 1305 G A Evers 1940")</f>
        <v>0</v>
      </c>
    </row>
    <row r="2264" spans="2:4">
      <c r="B2264">
        <v>93</v>
      </c>
      <c r="C2264" s="1">
        <f>hyperlink("https://hetutrechtsarchief.nl/collectie/B0FC2384B59E5DAB94E5DE47DEE8334B","Utrechtsche overleveringen XVIII Het St Andrieskruis in de lucht 1528 - E 84-87 1940")</f>
        <v>0</v>
      </c>
      <c r="D2264" s="1">
        <f>hyperlink("http://dspace.library.uu.nl/handle/1874/237824","Utrechtsche overleveringen XVIII Het St Andrieskruis in de lucht 1528 G A Evers 1940")</f>
        <v>0</v>
      </c>
    </row>
    <row r="2265" spans="2:4">
      <c r="B2265">
        <v>91</v>
      </c>
      <c r="C2265" s="1">
        <f>hyperlink("https://hetutrechtsarchief.nl/collectie/5E23D7AAA56B5FFAA947227F0DCEFAB6","Utrechtsche overleveringen XIX De bouw der St Mariakerk - E 90-93 1940")</f>
        <v>0</v>
      </c>
      <c r="D2265" s="1">
        <f>hyperlink("http://dspace.library.uu.nl/handle/1874/237825","Utrechtsche overleveringen XIX De bouw der St Mariakerk G A Evers 1940")</f>
        <v>0</v>
      </c>
    </row>
    <row r="2266" spans="2:4">
      <c r="B2266">
        <v>90</v>
      </c>
      <c r="C2266" s="1">
        <f>hyperlink("https://hetutrechtsarchief.nl/collectie/BF645926AF6A5F5E91B9B41571C31C2B","Utrechtsche overleveringen XX De bloed kruisregen 1501 - E 10-12 1941")</f>
        <v>0</v>
      </c>
      <c r="D2266" s="1">
        <f>hyperlink("http://dspace.library.uu.nl/handle/1874/237826","Utrechtsche overleveringen XX De bloed kruisenregen 1501 G A Evers 1941")</f>
        <v>0</v>
      </c>
    </row>
    <row r="2267" spans="2:4">
      <c r="B2267">
        <v>90</v>
      </c>
      <c r="C2267" s="1">
        <f>hyperlink("https://hetutrechtsarchief.nl/collectie/B2607A8DB27A537A99082293DB1258F2","Utrechtsche overleveringen XXI De basilisk van Utrecht - C C v d G 17-18 1941")</f>
        <v>0</v>
      </c>
      <c r="D2267" s="1">
        <f>hyperlink("http://dspace.library.uu.nl/handle/1874/237827","Utrechtsche overleveringen XXI De basilisk van Utrecht C C van de Graft 1941")</f>
        <v>0</v>
      </c>
    </row>
    <row r="2268" spans="2:4">
      <c r="B2268">
        <v>90</v>
      </c>
      <c r="C2268" s="1">
        <f>hyperlink("https://hetutrechtsarchief.nl/collectie/2309D6DD2D1A57B6B0749C52476D123D","Utrechtsche overleveringen XXII Een voorteken in de lucht 1575 - E 34-36 1941")</f>
        <v>0</v>
      </c>
      <c r="D2268" s="1">
        <f>hyperlink("http://dspace.library.uu.nl/handle/1874/237828","Utrechtsche overleveringen XXII Een voorteeken in de lucht 1574 G A Evers 1941")</f>
        <v>0</v>
      </c>
    </row>
    <row r="2269" spans="2:4">
      <c r="B2269">
        <v>86</v>
      </c>
      <c r="C2269" s="1">
        <f>hyperlink("https://hetutrechtsarchief.nl/collectie/35DA693A571C5CB9906E62E0B6BC4796","Utrechtsche overleveringen XXIII Heulen - E 33-36 ill 1943")</f>
        <v>0</v>
      </c>
      <c r="D2269" s="1">
        <f>hyperlink("http://dspace.library.uu.nl/handle/1874/237829","Utrechtsche overleveringen XXIII Heulen G A Evers 1943")</f>
        <v>0</v>
      </c>
    </row>
    <row r="2270" spans="2:4">
      <c r="B2270">
        <v>89</v>
      </c>
      <c r="C2270" s="1">
        <f>hyperlink("https://hetutrechtsarchief.nl/collectie/4AC9D155BF0A522FAD1AE8461A6063F0","Utrechtsche overleveringen het onvruchtbare Buurkerkhof - E 2-4 1952")</f>
        <v>0</v>
      </c>
      <c r="D2270" s="1">
        <f>hyperlink("http://dspace.library.uu.nl/handle/1874/237830","Utrechtsche overleveringen XXV Het onvruchtbare Buurkerkhof G A Evers 1953")</f>
        <v>0</v>
      </c>
    </row>
    <row r="2271" spans="2:4">
      <c r="B2271">
        <v>83</v>
      </c>
      <c r="C2271" s="1">
        <f>hyperlink("https://hetutrechtsarchief.nl/collectie/49DA3373478C53358A31E9BDFA7A8E4D","Een operatie in 1670 - E 19-22 1943")</f>
        <v>0</v>
      </c>
      <c r="D2271" s="1">
        <f>hyperlink("http://dspace.library.uu.nl/handle/1874/237831","Een operatie in 1670 G A Evers 1943")</f>
        <v>0</v>
      </c>
    </row>
    <row r="2272" spans="2:4">
      <c r="B2272">
        <v>97</v>
      </c>
      <c r="C2272" s="1">
        <f>hyperlink("https://hetutrechtsarchief.nl/collectie/5901B7ADCA6D5EE893814B5506BB60A3","Bestaat er verband tussen de pseudo-Costeriana-drukkerij en het Utrechtsche Universiteitsplan van 1470 G A Evers 57-62 1952")</f>
        <v>0</v>
      </c>
      <c r="D2272" s="1">
        <f>hyperlink("http://dspace.library.uu.nl/handle/1874/237832","Bestaat er verband tussen de pseudo-Costeriana-drukkerij en het Utrechtse Universiteitsplan van 1470 G A Evers 1952")</f>
        <v>0</v>
      </c>
    </row>
    <row r="2273" spans="2:4">
      <c r="B2273">
        <v>84</v>
      </c>
      <c r="C2273" s="1">
        <f>hyperlink("https://hetutrechtsarchief.nl/collectie/A8A907A4D4E052BFB0146C5A324C8DCF","Het nieuws van de Utrechtsche regeeringscollegs in de 17de eeuw I en II - E 49-51 63-64 1939")</f>
        <v>0</v>
      </c>
      <c r="D2273" s="1">
        <f>hyperlink("http://dspace.library.uu.nl/handle/1874/237833","Het nieuws van de Utrechtsche regeeringscolleges in de 17de eeuw G A Evers 1939")</f>
        <v>0</v>
      </c>
    </row>
    <row r="2274" spans="2:4">
      <c r="B2274">
        <v>93</v>
      </c>
      <c r="C2274" s="1">
        <f>hyperlink("https://hetutrechtsarchief.nl/collectie/DB5BDCC611965FB2BF9088443A034060","De grondslag en de eerste catalogus der Utrechtsche Universiteitsbibliotheek door G A Evers 45-47 1948")</f>
        <v>0</v>
      </c>
      <c r="D2274" s="1">
        <f>hyperlink("http://dspace.library.uu.nl/handle/1874/237834","De grondslag en de eerste catalogus der Utrechtse Universiteitsbibliotheek G A Evers 1948")</f>
        <v>0</v>
      </c>
    </row>
    <row r="2275" spans="2:4">
      <c r="B2275">
        <v>93</v>
      </c>
      <c r="C2275" s="1">
        <f>hyperlink("https://hetutrechtsarchief.nl/collectie/DE06387807495C82B33BC0A0AFA96D4E","Een incunabel ergens laten G A Evers 68-72 1950")</f>
        <v>0</v>
      </c>
      <c r="D2275" s="1">
        <f>hyperlink("http://dspace.library.uu.nl/handle/1874/237835","Een incunabel ergens laten G A Evers 1950")</f>
        <v>0</v>
      </c>
    </row>
    <row r="2276" spans="2:4">
      <c r="B2276">
        <v>65</v>
      </c>
      <c r="C2276" s="1">
        <f>hyperlink("https://hetutrechtsarchief.nl/collectie/AABBCD621D00589E811A25C23D6C24B8","Jan van Waesberge te Utrecht G A Evers 281 -287 1916")</f>
        <v>0</v>
      </c>
      <c r="D2276" s="1">
        <f>hyperlink("http://dspace.library.uu.nl/handle/1874/237836","Maarten van Rossem in Utrecht G A Evers 1945")</f>
        <v>0</v>
      </c>
    </row>
    <row r="2277" spans="2:4">
      <c r="B2277">
        <v>60</v>
      </c>
      <c r="C2277" s="1">
        <f>hyperlink("https://hetutrechtsarchief.nl/collectie/4B97DCD3A7E651BB864F5FBD2078F61E","Utrechtsche staten- stads- en academiedrukkers G A Evers 27-29 1927")</f>
        <v>0</v>
      </c>
      <c r="D2277" s="1">
        <f>hyperlink("http://dspace.library.uu.nl/handle/1874/237837","Utrecht als bezette stad in 1671 G A Evers 1947")</f>
        <v>0</v>
      </c>
    </row>
    <row r="2278" spans="2:4">
      <c r="B2278">
        <v>87</v>
      </c>
      <c r="C2278" s="1">
        <f>hyperlink("https://hetutrechtsarchief.nl/collectie/454DC654F26750D79C5269B8D75BEED8","Van Borch - tot Servet -straat - E 36-39 1947")</f>
        <v>0</v>
      </c>
      <c r="D2278" s="1">
        <f>hyperlink("http://dspace.library.uu.nl/handle/1874/237838","Van Borch - tot Servet -straat G A Evers 1947")</f>
        <v>0</v>
      </c>
    </row>
    <row r="2279" spans="2:4">
      <c r="B2279">
        <v>85</v>
      </c>
      <c r="C2279" s="1">
        <f>hyperlink("https://hetutrechtsarchief.nl/collectie/9FDAC3B21AB35865BD045B222ECF42DA","Czaar Peter te Utrecht in 1697 en 1717 - E 63-65 1947")</f>
        <v>0</v>
      </c>
      <c r="D2279" s="1">
        <f>hyperlink("http://dspace.library.uu.nl/handle/1874/237839","Czaar Peter in Utrecht in 1697 en 1717 G A Evers 1947")</f>
        <v>0</v>
      </c>
    </row>
    <row r="2280" spans="2:4">
      <c r="B2280">
        <v>85</v>
      </c>
      <c r="C2280" s="1">
        <f>hyperlink("https://hetutrechtsarchief.nl/collectie/1219602D50DC5737B7EACE2200524DB0","Vorstendoop in de Domkerk - E 58-61 1947")</f>
        <v>0</v>
      </c>
      <c r="D2280" s="1">
        <f>hyperlink("http://dspace.library.uu.nl/handle/1874/237840","Vorstendoop in de Domkerk G A Evers 1947")</f>
        <v>0</v>
      </c>
    </row>
    <row r="2281" spans="2:4">
      <c r="B2281">
        <v>56</v>
      </c>
      <c r="C2281" s="1">
        <f>hyperlink("https://hetutrechtsarchief.nl/collectie/C4B1B3F1E226506595940DC710786520","Utrechtsche bibliotheken in den inlijvingstijd G A Evers 136-150 1925")</f>
        <v>0</v>
      </c>
      <c r="D2281" s="1">
        <f>hyperlink("http://dspace.library.uu.nl/handle/1874/237841","Utrechtse zeldzaamheden in het Rijksmuseum te Amsterdam G A Evers 1946")</f>
        <v>0</v>
      </c>
    </row>
    <row r="2282" spans="2:4">
      <c r="B2282">
        <v>86</v>
      </c>
      <c r="C2282" s="1">
        <f>hyperlink("https://hetutrechtsarchief.nl/collectie/314D9981762D59C785E1CC6AAA86135B","Philips van Marnix van Sint Aldegonde in Utrecht - E 35-39 41-45 1940")</f>
        <v>0</v>
      </c>
      <c r="D2282" s="1">
        <f>hyperlink("http://dspace.library.uu.nl/handle/1874/237842","Philips van Marnix van Sint Aldegonde in Utrecht G A Evers 1940")</f>
        <v>0</v>
      </c>
    </row>
    <row r="2283" spans="2:4">
      <c r="B2283">
        <v>65</v>
      </c>
      <c r="C2283" s="1">
        <f>hyperlink("https://hetutrechtsarchief.nl/collectie/6BF968BCB3AE5901ACE94277E430477B","Het huis te Nesse onder Linschoten 39 1951")</f>
        <v>0</v>
      </c>
      <c r="D2283" s="1">
        <f>hyperlink("http://dspace.library.uu.nl/handle/1874/237843","Het Huis Te Nesse G A Evers 1940")</f>
        <v>0</v>
      </c>
    </row>
    <row r="2284" spans="2:4">
      <c r="B2284">
        <v>60</v>
      </c>
      <c r="C2284" s="1">
        <f>hyperlink("https://hetutrechtsarchief.nl/collectie/31560DD348B5509DBB9D4A934D7BD2B9","Marie J Reynvaan G A Evers 158 1940")</f>
        <v>0</v>
      </c>
      <c r="D2284" s="1">
        <f>hyperlink("http://dspace.library.uu.nl/handle/1874/237844","De Geertekerk G A Evers 1940")</f>
        <v>0</v>
      </c>
    </row>
    <row r="2285" spans="2:4">
      <c r="B2285">
        <v>64</v>
      </c>
      <c r="C2285" s="1">
        <f>hyperlink("https://hetutrechtsarchief.nl/collectie/D0966BCAB4095ED8BEB2BF88D3A2E5B8","De schrik van Bunschoten O Dekkers 124-126 2011")</f>
        <v>0</v>
      </c>
      <c r="D2285" s="1">
        <f>hyperlink("http://dspace.library.uu.nl/handle/1874/237845","De stichter van Bruntenhof G A Evers 1940")</f>
        <v>0</v>
      </c>
    </row>
    <row r="2286" spans="2:4">
      <c r="B2286">
        <v>59</v>
      </c>
      <c r="C2286" s="1">
        <f>hyperlink("https://hetutrechtsarchief.nl/collectie/AED73533679E5984852ED103A0823FA2","De postzegeldrukkerij aan s Rijks Munt te Utrecht G A Evers 106-123 1938")</f>
        <v>0</v>
      </c>
      <c r="D2286" s="1">
        <f>hyperlink("http://dspace.library.uu.nl/handle/1874/237846","Een Corsicaansche vrijheidsheld te Utrecht G A Evers 1940")</f>
        <v>0</v>
      </c>
    </row>
    <row r="2287" spans="2:4">
      <c r="B2287">
        <v>71</v>
      </c>
      <c r="C2287" s="1">
        <f>hyperlink("https://hetutrechtsarchief.nl/collectie/CA2FA7491C335918AA08F4447619FDF5","Het Utrechtsche boek - E 73 1946")</f>
        <v>0</v>
      </c>
      <c r="D2287" s="1">
        <f>hyperlink("http://dspace.library.uu.nl/handle/1874/237847","Het Utrechtsche schip G A Evers 1940")</f>
        <v>0</v>
      </c>
    </row>
    <row r="2288" spans="2:4">
      <c r="B2288">
        <v>71</v>
      </c>
      <c r="C2288" s="1">
        <f>hyperlink("https://hetutrechtsarchief.nl/collectie/682D5D2CF4D2501A8E5C9623524478FD","De kloostergang van het Sint Catherijne Convent te Utrecht J J M Timmers 77-79 ill 1939")</f>
        <v>0</v>
      </c>
      <c r="D2288" s="1">
        <f>hyperlink("http://dspace.library.uu.nl/handle/1874/237848","Kloostergang van het St Catherijne convent G A Evers 1940")</f>
        <v>0</v>
      </c>
    </row>
    <row r="2289" spans="2:4">
      <c r="B2289">
        <v>62</v>
      </c>
      <c r="C2289" s="1">
        <f>hyperlink("https://hetutrechtsarchief.nl/collectie/5723F581047750629475CB46F214ACB2","De beeldhouwersfamilie Rijnbout - v C 65-66 1949")</f>
        <v>0</v>
      </c>
      <c r="D2289" s="1">
        <f>hyperlink("http://dspace.library.uu.nl/handle/1874/237849","De beeldhouwer Philipp Brandin G A Evers 1940")</f>
        <v>0</v>
      </c>
    </row>
    <row r="2290" spans="2:4">
      <c r="B2290">
        <v>59</v>
      </c>
      <c r="C2290" s="1">
        <f>hyperlink("https://hetutrechtsarchief.nl/collectie/FE2024B3F5AD5323BD2F7435FC8BECB3","Dr Johanna M Keyman G A Evers 228 1941")</f>
        <v>0</v>
      </c>
      <c r="D2290" s="1">
        <f>hyperlink("http://dspace.library.uu.nl/handle/1874/237850","De Bilt in 1786 en 87 G A Evers 1941")</f>
        <v>0</v>
      </c>
    </row>
    <row r="2291" spans="2:4">
      <c r="B2291">
        <v>91</v>
      </c>
      <c r="C2291" s="1">
        <f>hyperlink("https://hetutrechtsarchief.nl/collectie/5F0D640FC60556BDAC8C7760A343B710","Robert Spencer tweede graaf van Sunderland te Utrecht - E 57-60 1941")</f>
        <v>0</v>
      </c>
      <c r="D2291" s="1">
        <f>hyperlink("http://dspace.library.uu.nl/handle/1874/237851","Robert Spencer tweede graaf van Sunderland te Utrecht G A Evers 1941")</f>
        <v>0</v>
      </c>
    </row>
    <row r="2292" spans="2:4">
      <c r="B2292">
        <v>73</v>
      </c>
      <c r="C2292" s="1">
        <f>hyperlink("https://hetutrechtsarchief.nl/collectie/73D6BDE503045337B484CBFB5080E603","Utrechtsche uitvinders - E 65-66 73-78 1941")</f>
        <v>0</v>
      </c>
      <c r="D2292" s="1">
        <f>hyperlink("http://dspace.library.uu.nl/handle/1874/237852","Utrechtsche uitvinders G A Evers 1941-1942")</f>
        <v>0</v>
      </c>
    </row>
    <row r="2293" spans="2:4">
      <c r="B2293">
        <v>61</v>
      </c>
      <c r="C2293" s="1">
        <f>hyperlink("https://hetutrechtsarchief.nl/collectie/CED63F37E2E751AFA3EB4EFDDAD92838","Een onbekend werk van Adam van Vianen 5-7 ill 1985")</f>
        <v>0</v>
      </c>
      <c r="D2293" s="1">
        <f>hyperlink("http://dspace.library.uu.nl/handle/1874/237853","Ciborie van Adam van Vianen G A Evers 1941")</f>
        <v>0</v>
      </c>
    </row>
    <row r="2294" spans="2:4">
      <c r="B2294">
        <v>89</v>
      </c>
      <c r="C2294" s="1">
        <f>hyperlink("https://hetutrechtsarchief.nl/collectie/154BD6B76877567CA51823C3DFA76521","Het eerste Utrechtsche studententooneel - E 25-28 1941")</f>
        <v>0</v>
      </c>
      <c r="D2294" s="1">
        <f>hyperlink("http://dspace.library.uu.nl/handle/1874/237854","Het eerste Utrechtsche studententooneel G A Evers 1941")</f>
        <v>0</v>
      </c>
    </row>
    <row r="2295" spans="2:4">
      <c r="B2295">
        <v>95</v>
      </c>
      <c r="C2295" s="1">
        <f>hyperlink("https://hetutrechtsarchief.nl/collectie/A4D5656C8A42584FBD7C566D9303DB6C","Levende folklore in de hoofdsteden van Sticht en Oversticht G A Evers 83-86")</f>
        <v>0</v>
      </c>
      <c r="D2295" s="1">
        <f>hyperlink("http://dspace.library.uu.nl/handle/1874/237855","Levende folklore in de hoofdsteden van Sticht en Oversticht G A Evers 1953")</f>
        <v>0</v>
      </c>
    </row>
    <row r="2296" spans="2:4">
      <c r="B2296">
        <v>94</v>
      </c>
      <c r="C2296" s="1">
        <f>hyperlink("https://hetutrechtsarchief.nl/collectie/BAC32A813B0C5995888085A43D60A40F","Een en ander over het maandblad G A Evers 14-16 1948")</f>
        <v>0</v>
      </c>
      <c r="D2296" s="1">
        <f>hyperlink("http://dspace.library.uu.nl/handle/1874/237856","Een en ander over het Maandblad G A Evers 1948")</f>
        <v>0</v>
      </c>
    </row>
    <row r="2297" spans="2:4">
      <c r="B2297">
        <v>82</v>
      </c>
      <c r="C2297" s="1">
        <f>hyperlink("https://hetutrechtsarchief.nl/collectie/79CCCF09F348575597C855C43B2525C6","Kroningsherdenkingen in Utrecht door - E 49-52 1948")</f>
        <v>0</v>
      </c>
      <c r="D2297" s="1">
        <f>hyperlink("http://dspace.library.uu.nl/handle/1874/237857","Kroningsherdenkingen in Utrecht G A Evers 1948")</f>
        <v>0</v>
      </c>
    </row>
    <row r="2298" spans="2:4">
      <c r="B2298">
        <v>85</v>
      </c>
      <c r="C2298" s="1">
        <f>hyperlink("https://hetutrechtsarchief.nl/collectie/67F8987B36F957DD9A2232DAC969D131","Enkele universiteitsgebouwen 71-72 1949")</f>
        <v>0</v>
      </c>
      <c r="D2298" s="1">
        <f>hyperlink("http://dspace.library.uu.nl/handle/1874/237858","Enkele Universiteitsgebouwen G A Evers 1949")</f>
        <v>0</v>
      </c>
    </row>
    <row r="2299" spans="2:4">
      <c r="B2299">
        <v>75</v>
      </c>
      <c r="C2299" s="1">
        <f>hyperlink("https://hetutrechtsarchief.nl/collectie/4ABBF9E6205A5B598CD491EC643BC93A","Romeinsch Utrecht door - E 58-59 1948")</f>
        <v>0</v>
      </c>
      <c r="D2299" s="1">
        <f>hyperlink("http://dspace.library.uu.nl/handle/1874/237859","Romeinsch Utrecht G A Evers 1948")</f>
        <v>0</v>
      </c>
    </row>
    <row r="2300" spans="2:4">
      <c r="B2300">
        <v>68</v>
      </c>
      <c r="C2300" s="1">
        <f>hyperlink("https://hetutrechtsarchief.nl/collectie/A3F3344606905BEF85000171404BAE28","Paus Adriaan VI 109 -117 1835")</f>
        <v>0</v>
      </c>
      <c r="D2300" s="1">
        <f>hyperlink("http://dspace.library.uu.nl/handle/1874/237860","Paus Adriaan VI G A Evers 1942")</f>
        <v>0</v>
      </c>
    </row>
    <row r="2301" spans="2:4">
      <c r="B2301">
        <v>57</v>
      </c>
      <c r="C2301" s="1">
        <f>hyperlink("https://hetutrechtsarchief.nl/collectie/2DCA1248A5405F35ABD629FDCB652080","Een halve eeuw Utrechtsche folklore-studie G A Evers 34 1954")</f>
        <v>0</v>
      </c>
      <c r="D2301" s="1">
        <f>hyperlink("http://dspace.library.uu.nl/handle/1874/237861","De Biltsche turftonster G A Evers 1941")</f>
        <v>0</v>
      </c>
    </row>
    <row r="2302" spans="2:4">
      <c r="B2302">
        <v>59</v>
      </c>
      <c r="C2302" s="1">
        <f>hyperlink("https://hetutrechtsarchief.nl/collectie/DE06387807495C82B33BC0A0AFA96D4E","Een incunabel ergens laten G A Evers 68-72 1950")</f>
        <v>0</v>
      </c>
      <c r="D2302" s="1">
        <f>hyperlink("http://dspace.library.uu.nl/handle/1874/237862","Een slag bij Vechten in 69 G A Evers 1940")</f>
        <v>0</v>
      </c>
    </row>
    <row r="2303" spans="2:4">
      <c r="B2303">
        <v>58</v>
      </c>
      <c r="C2303" s="1">
        <f>hyperlink("https://hetutrechtsarchief.nl/collectie/C76E4A6581C65CB2B08F437B168FCEFA","Universitaire instituten G A Evers 95-96 1949")</f>
        <v>0</v>
      </c>
      <c r="D2303" s="1">
        <f>hyperlink("http://dspace.library.uu.nl/handle/1874/237863","Het Viradectis-altaar uit Vechten G A Evers 1940")</f>
        <v>0</v>
      </c>
    </row>
    <row r="2304" spans="2:4">
      <c r="B2304">
        <v>94</v>
      </c>
      <c r="C2304" s="1">
        <f>hyperlink("https://hetutrechtsarchief.nl/collectie/8E695941A75B5523A431EC8C2EE80E6E","Het Utrechtsche filiaal der Landsdrukkerij 1807-1808 G A Evers 216-218 1939")</f>
        <v>0</v>
      </c>
      <c r="D2304" s="1">
        <f>hyperlink("http://dspace.library.uu.nl/handle/1874/237864","Het Utrechtsche filiaal der Landsdrukkerij 1807-1808 G A Evers 1939")</f>
        <v>0</v>
      </c>
    </row>
    <row r="2305" spans="2:4">
      <c r="B2305">
        <v>94</v>
      </c>
      <c r="C2305" s="1">
        <f>hyperlink("https://hetutrechtsarchief.nl/collectie/238D8140DFE85567A5EF20A75942DF5E","Een dankwoord tot den scheidenden gemeentearchivaris Dr W C Schuylenburg gericht - Fockema Andreae 1-4 ill 1941")</f>
        <v>0</v>
      </c>
      <c r="D2305" s="1">
        <f>hyperlink("http://dspace.library.uu.nl/handle/1874/237865","Een dankwoord tot den scheidenden gemeentearchivaris Dr W C Schuijlenburg gericht S J Fockema Andreae 1941")</f>
        <v>0</v>
      </c>
    </row>
    <row r="2306" spans="2:4">
      <c r="B2306">
        <v>98</v>
      </c>
      <c r="C2306" s="1">
        <f>hyperlink("https://hetutrechtsarchief.nl/collectie/80A334AB188F5E9D99F23764012E5D2A","Het beurtveer van Utrecht naar Den Haag hoe werden vroeger goederen en personen van Bisschopsstad naar Hofstad vervoerd J M Fuchs 17-19 1940")</f>
        <v>0</v>
      </c>
      <c r="D2306" s="1">
        <f>hyperlink("http://dspace.library.uu.nl/handle/1874/237866","Het beurtveer van Utrecht naar Den Haag hoe werden vroeger goederen en personen van bisschopsstad naar hofstad vervoerd J M Fuchs 1940")</f>
        <v>0</v>
      </c>
    </row>
    <row r="2307" spans="2:4">
      <c r="B2307">
        <v>90</v>
      </c>
      <c r="C2307" s="1">
        <f>hyperlink("https://hetutrechtsarchief.nl/collectie/20D4B60DCA035FA79B4E83356058BDD1","Utrechtsche overleveringen XIV de spinnen van St Aubis Quatrem re d Isjonval - E 64-68 1939")</f>
        <v>0</v>
      </c>
      <c r="D2307" s="1">
        <f>hyperlink("http://dspace.library.uu.nl/handle/1874/237867","Utrechtsche overleveringen XIV De spinnen van St Aubin Quatremere d Isjanval G A Evers 1939")</f>
        <v>0</v>
      </c>
    </row>
    <row r="2308" spans="2:4">
      <c r="B2308">
        <v>90</v>
      </c>
      <c r="C2308" s="1">
        <f>hyperlink("https://hetutrechtsarchief.nl/collectie/3812DB147C7F5219A7C35D56A3A527FE","Utrechtsche overleveringen XXIV Anna van Rossem - E 21-22 1946")</f>
        <v>0</v>
      </c>
      <c r="D2308" s="1">
        <f>hyperlink("http://dspace.library.uu.nl/handle/1874/237868","Utrechtsche overleveringen XXIV Anna van Rossem G A Evers 1946")</f>
        <v>0</v>
      </c>
    </row>
    <row r="2309" spans="2:4">
      <c r="B2309">
        <v>88</v>
      </c>
      <c r="C2309" s="1">
        <f>hyperlink("https://hetutrechtsarchief.nl/collectie/9F513C864C4A55EDA6027886A285D576","De sarcophaag van bisschop Bernulf - E 89-90 1947")</f>
        <v>0</v>
      </c>
      <c r="D2309" s="1">
        <f>hyperlink("http://dspace.library.uu.nl/handle/1874/237869","De sarcophaag van bisschop Bernulf G A Evers 1947")</f>
        <v>0</v>
      </c>
    </row>
    <row r="2310" spans="2:4">
      <c r="B2310">
        <v>89</v>
      </c>
      <c r="C2310" s="1">
        <f>hyperlink("https://hetutrechtsarchief.nl/collectie/1E63048AF1EE557FB303959735FB0238","Utrecht s deelneming in national rampen 1807-1809 - E 60-63 1940")</f>
        <v>0</v>
      </c>
      <c r="D2310" s="1">
        <f>hyperlink("http://dspace.library.uu.nl/handle/1874/237870","Utrechts deelneming in nationale rampen 1807-1809 G A Evers 1940")</f>
        <v>0</v>
      </c>
    </row>
    <row r="2311" spans="2:4">
      <c r="B2311">
        <v>61</v>
      </c>
      <c r="C2311" s="1">
        <f>hyperlink("https://hetutrechtsarchief.nl/collectie/FDE0DDF68E2B52C0992EEE8027CEED82","Een nog onbekend portret van Paus Adriaan VI A H L Hensen 97-100 1927")</f>
        <v>0</v>
      </c>
      <c r="D2311" s="1">
        <f>hyperlink("http://dspace.library.uu.nl/handle/1874/237871","De geboorteplaats van paus Adriaan G A Evers 1942")</f>
        <v>0</v>
      </c>
    </row>
    <row r="2312" spans="2:4">
      <c r="B2312">
        <v>93</v>
      </c>
      <c r="C2312" s="1">
        <f>hyperlink("https://hetutrechtsarchief.nl/collectie/0B32F057AE9756108B56299C87ADDC6E","Het jubileerend Oud-Utrecht - Fockema Andreae 10-11 1948")</f>
        <v>0</v>
      </c>
      <c r="D2312" s="1">
        <f>hyperlink("http://dspace.library.uu.nl/handle/1874/237872","Het jubileerend Oud-Utrecht J P Fockema Andreae 1948")</f>
        <v>0</v>
      </c>
    </row>
    <row r="2313" spans="2:4">
      <c r="B2313">
        <v>94</v>
      </c>
      <c r="C2313" s="1">
        <f>hyperlink("https://hetutrechtsarchief.nl/collectie/0F5D8B0CE39456B98D780C5F9BF6BE39","Een moedwillige brandstichting J van Galen 21-22 1957")</f>
        <v>0</v>
      </c>
      <c r="D2313" s="1">
        <f>hyperlink("http://dspace.library.uu.nl/handle/1874/237873","Een moedwillige brandstichting J van Galen 1957")</f>
        <v>0</v>
      </c>
    </row>
    <row r="2314" spans="2:4">
      <c r="B2314">
        <v>100</v>
      </c>
      <c r="C2314" s="1">
        <f>hyperlink("https://hetutrechtsarchief.nl/collectie/5F19F43865CA55D1B84AF68815FE28C4","Nogmaals over de havenwijk in 1007 J van Galen 68-69 1957")</f>
        <v>0</v>
      </c>
      <c r="D2314" s="1">
        <f>hyperlink("http://dspace.library.uu.nl/handle/1874/237874","Nogmaals over de havenwijk in 1007 J van Galen 68-69 1957")</f>
        <v>0</v>
      </c>
    </row>
    <row r="2315" spans="2:4">
      <c r="B2315">
        <v>84</v>
      </c>
      <c r="C2315" s="1">
        <f>hyperlink("https://hetutrechtsarchief.nl/collectie/0A6863D934BF54DFABAE19B164A58B1E","Waar lag de Noda J van Galen 2-6 9-13 ill 1939")</f>
        <v>0</v>
      </c>
      <c r="D2315" s="1">
        <f>hyperlink("http://dspace.library.uu.nl/handle/1874/237875","Waar lag de Noda J van Galen 1939")</f>
        <v>0</v>
      </c>
    </row>
    <row r="2316" spans="2:4">
      <c r="B2316">
        <v>96</v>
      </c>
      <c r="C2316" s="1">
        <f>hyperlink("https://hetutrechtsarchief.nl/collectie/2290F5239EED53EB8F912FA1652D924E","De verkiezing van David van Bourgondi tot bisschop van Utrecht A Graafhuis 53-57 1956")</f>
        <v>0</v>
      </c>
      <c r="D2316" s="1">
        <f>hyperlink("http://dspace.library.uu.nl/handle/1874/237876","De verkiezing van David van Bourgondie tot bisschop van Utrecht A Graafhuis 1956")</f>
        <v>0</v>
      </c>
    </row>
    <row r="2317" spans="2:4">
      <c r="B2317">
        <v>96</v>
      </c>
      <c r="C2317" s="1">
        <f>hyperlink("https://hetutrechtsarchief.nl/collectie/3EBBE1D6D4E15B7090D194BB2A2080DA","De intocht van bisschop David van Bourgondi in Utrecht op 6 Augustus 1456 A Graafhuis 70-73 1956")</f>
        <v>0</v>
      </c>
      <c r="D2317" s="1">
        <f>hyperlink("http://dspace.library.uu.nl/handle/1874/237877","De intocht van bisschop David van Bourgondie in Utrecht op 6 augustus 1456 A Graafhuis 1956")</f>
        <v>0</v>
      </c>
    </row>
    <row r="2318" spans="2:4">
      <c r="B2318">
        <v>57</v>
      </c>
      <c r="C2318" s="1">
        <f>hyperlink("https://hetutrechtsarchief.nl/collectie/910387795666EB9FE0534701000AB972","Amerongen gezien door Henk van Lienden Het bouwbedrijf Henk van Lienden 19 2019")</f>
        <v>0</v>
      </c>
      <c r="D2318" s="1">
        <f>hyperlink("http://dspace.library.uu.nl/handle/1874/237878","Tweehonderd grafsteenen der Groote Kerk van Vianen a d Lek A F van Beurden 1909")</f>
        <v>0</v>
      </c>
    </row>
    <row r="2319" spans="2:4">
      <c r="B2319">
        <v>89</v>
      </c>
      <c r="C2319" s="1">
        <f>hyperlink("https://hetutrechtsarchief.nl/collectie/A98C49A9A62A517ABDDAC7723BCEE921","Utrechtsche folklore C Catharina van de Graft 19-21 1950")</f>
        <v>0</v>
      </c>
      <c r="D2319" s="1">
        <f>hyperlink("http://dspace.library.uu.nl/handle/1874/237879","Utrechtsche folklore C Cath van de Graft 1950")</f>
        <v>0</v>
      </c>
    </row>
    <row r="2320" spans="2:4">
      <c r="B2320">
        <v>88</v>
      </c>
      <c r="C2320" s="1">
        <f>hyperlink("https://hetutrechtsarchief.nl/collectie/91763590C7865AADA72440C6D35C49C4","Een deftige begrafenis te Maarssen in 1708 - C C v d G 22-24 1948")</f>
        <v>0</v>
      </c>
      <c r="D2320" s="1">
        <f>hyperlink("http://dspace.library.uu.nl/handle/1874/237880","Een deftige begrafenis te Maarssen in 1708 C C van de Graft 1948")</f>
        <v>0</v>
      </c>
    </row>
    <row r="2321" spans="2:4">
      <c r="B2321">
        <v>89</v>
      </c>
      <c r="C2321" s="1">
        <f>hyperlink("https://hetutrechtsarchief.nl/collectie/44CF7414B71D56018DD91FCCF2EC54BC","Utrechtse herinneringen aan A S C Wallis Ad le Opzoomer door C C v d G 66-69 1948")</f>
        <v>0</v>
      </c>
      <c r="D2321" s="1">
        <f>hyperlink("http://dspace.library.uu.nl/handle/1874/237881","Utrechtse herinneringen aan A S C Wallis Ad le Opzoomer C C van de Graft 1948")</f>
        <v>0</v>
      </c>
    </row>
    <row r="2322" spans="2:4">
      <c r="B2322">
        <v>89</v>
      </c>
      <c r="C2322" s="1">
        <f>hyperlink("https://hetutrechtsarchief.nl/collectie/442EF473FE0F50778EC20412362F8698","De buitenplaatsen Peking en Canton te Baarn - C C v d G 11 1946")</f>
        <v>0</v>
      </c>
      <c r="D2322" s="1">
        <f>hyperlink("http://dspace.library.uu.nl/handle/1874/237882","De buitenplaatsen Peking en Canton te Baarn C C van de Graft 1943")</f>
        <v>0</v>
      </c>
    </row>
    <row r="2323" spans="2:4">
      <c r="B2323">
        <v>66</v>
      </c>
      <c r="C2323" s="1">
        <f>hyperlink("https://hetutrechtsarchief.nl/collectie/FFDA71B7DAD553DC9E62E90FA01FED66","Dichterswoningen te Utrecht C Catharina van de Graft 9-11 17-19 28-32 74-80 88 1946")</f>
        <v>0</v>
      </c>
      <c r="D2323" s="1">
        <f>hyperlink("http://dspace.library.uu.nl/handle/1874/237883","Dichterswoningen te Utrecht Dirck Rafaels Camphuysen C C van de Graft 1946")</f>
        <v>0</v>
      </c>
    </row>
    <row r="2324" spans="2:4">
      <c r="B2324">
        <v>67</v>
      </c>
      <c r="C2324" s="1">
        <f>hyperlink("https://hetutrechtsarchief.nl/collectie/FFDA71B7DAD553DC9E62E90FA01FED66","Dichterswoningen te Utrecht C Catharina van de Graft 9-11 17-19 28-32 74-80 88 1946")</f>
        <v>0</v>
      </c>
      <c r="D2324" s="1">
        <f>hyperlink("http://dspace.library.uu.nl/handle/1874/237884","Dichterswoningen te Utrecht Anna Maria van Schurman C C van de Graft 1946")</f>
        <v>0</v>
      </c>
    </row>
    <row r="2325" spans="2:4">
      <c r="B2325">
        <v>67</v>
      </c>
      <c r="C2325" s="1">
        <f>hyperlink("https://hetutrechtsarchief.nl/collectie/735779F8CD0A5D5DB3710847BDB641D0","Dichterswoningen te Utrecht - C C v d G 1-3 17-20 27 1947")</f>
        <v>0</v>
      </c>
      <c r="D2325" s="1">
        <f>hyperlink("http://dspace.library.uu.nl/handle/1874/237885","Dichterswoningen te Utrecht Jodocus van Lodensteyn C C van de Graft 1946")</f>
        <v>0</v>
      </c>
    </row>
    <row r="2326" spans="2:4">
      <c r="B2326">
        <v>67</v>
      </c>
      <c r="C2326" s="1">
        <f>hyperlink("https://hetutrechtsarchief.nl/collectie/735779F8CD0A5D5DB3710847BDB641D0","Dichterswoningen te Utrecht - C C v d G 1-3 17-20 27 1947")</f>
        <v>0</v>
      </c>
      <c r="D2326" s="1">
        <f>hyperlink("http://dspace.library.uu.nl/handle/1874/237886","Dichterswoningen te Utrecht Hieronymus van Alphen C C van de Graft 1946")</f>
        <v>0</v>
      </c>
    </row>
    <row r="2327" spans="2:4">
      <c r="B2327">
        <v>72</v>
      </c>
      <c r="C2327" s="1">
        <f>hyperlink("https://hetutrechtsarchief.nl/collectie/735779F8CD0A5D5DB3710847BDB641D0","Dichterswoningen te Utrecht - C C v d G 1-3 17-20 27 1947")</f>
        <v>0</v>
      </c>
      <c r="D2327" s="1">
        <f>hyperlink("http://dspace.library.uu.nl/handle/1874/237887","Dichterswoningen te Utrecht Jacobus Bellamy C C van de Graft 1947")</f>
        <v>0</v>
      </c>
    </row>
    <row r="2328" spans="2:4">
      <c r="B2328">
        <v>72</v>
      </c>
      <c r="C2328" s="1">
        <f>hyperlink("https://hetutrechtsarchief.nl/collectie/735779F8CD0A5D5DB3710847BDB641D0","Dichterswoningen te Utrecht - C C v d G 1-3 17-20 27 1947")</f>
        <v>0</v>
      </c>
      <c r="D2328" s="1">
        <f>hyperlink("http://dspace.library.uu.nl/handle/1874/237888","Dichterswoningen te Utrecht Bernard ter Haar C C van de Graft 1947")</f>
        <v>0</v>
      </c>
    </row>
    <row r="2329" spans="2:4">
      <c r="B2329">
        <v>73</v>
      </c>
      <c r="C2329" s="1">
        <f>hyperlink("https://hetutrechtsarchief.nl/collectie/735779F8CD0A5D5DB3710847BDB641D0","Dichterswoningen te Utrecht - C C v d G 1-3 17-20 27 1947")</f>
        <v>0</v>
      </c>
      <c r="D2329" s="1">
        <f>hyperlink("http://dspace.library.uu.nl/handle/1874/237889","Dichterswoningen te Utrecht Nicolaas Beets C C van de Graft 1947")</f>
        <v>0</v>
      </c>
    </row>
    <row r="2330" spans="2:4">
      <c r="B2330">
        <v>72</v>
      </c>
      <c r="C2330" s="1">
        <f>hyperlink("https://hetutrechtsarchief.nl/collectie/735779F8CD0A5D5DB3710847BDB641D0","Dichterswoningen te Utrecht - C C v d G 1-3 17-20 27 1947")</f>
        <v>0</v>
      </c>
      <c r="D2330" s="1">
        <f>hyperlink("http://dspace.library.uu.nl/handle/1874/237890","Dichterswoningen te Utrecht Hendrik Marsman C C van de Graft 1947")</f>
        <v>0</v>
      </c>
    </row>
    <row r="2331" spans="2:4">
      <c r="B2331">
        <v>89</v>
      </c>
      <c r="C2331" s="1">
        <f>hyperlink("https://hetutrechtsarchief.nl/collectie/689634CE8AF2512FA54607ABF48BC08D","Beets en de Utrechtsche waterleiding - C C v d G 4-6 1940")</f>
        <v>0</v>
      </c>
      <c r="D2331" s="1">
        <f>hyperlink("http://dspace.library.uu.nl/handle/1874/237891","Beets en de Utrechtsche waterleiding C C van de Graft 1940")</f>
        <v>0</v>
      </c>
    </row>
    <row r="2332" spans="2:4">
      <c r="B2332">
        <v>94</v>
      </c>
      <c r="C2332" s="1">
        <f>hyperlink("https://hetutrechtsarchief.nl/collectie/C75C0D6C4FF45436BB77CF6039E2308C","Lofdicht op Doornburgh C C van de Graft 94-95 1956")</f>
        <v>0</v>
      </c>
      <c r="D2332" s="1">
        <f>hyperlink("http://dspace.library.uu.nl/handle/1874/237892","Lofdicht op Doornburgh C C van de Graft 1956")</f>
        <v>0</v>
      </c>
    </row>
    <row r="2333" spans="2:4">
      <c r="B2333">
        <v>100</v>
      </c>
      <c r="C2333" s="1">
        <f>hyperlink("https://hetutrechtsarchief.nl/collectie/9933BB59B08D58D7BADBD90E394292DF","De oudheidkundige vondsten bij de restauratie van de Ned Herv Kerk te Kockengen C C van de Graft 45-46 1957")</f>
        <v>0</v>
      </c>
      <c r="D2333" s="1">
        <f>hyperlink("http://dspace.library.uu.nl/handle/1874/237893","De oudheidkundige vondsten bij de restauratie van de Ned Herv Kerk te Kockengen C C van de Graft 4546 1957")</f>
        <v>0</v>
      </c>
    </row>
    <row r="2334" spans="2:4">
      <c r="B2334">
        <v>54</v>
      </c>
      <c r="C2334" s="1">
        <f>hyperlink("https://hetutrechtsarchief.nl/collectie/6CA5ACE36DFA597B9257F6E3AAC208BD","Utrecht in romanvorm - C C v d G 31 1936")</f>
        <v>0</v>
      </c>
      <c r="D2334" s="1">
        <f>hyperlink("http://dspace.library.uu.nl/handle/1874/237894","Utrecht in romanvorm G C Hoogewerff De Joffers van Beckom Baarn 1925 C C van de Graft 1940")</f>
        <v>0</v>
      </c>
    </row>
    <row r="2335" spans="2:4">
      <c r="B2335">
        <v>87</v>
      </c>
      <c r="C2335" s="1">
        <f>hyperlink("https://hetutrechtsarchief.nl/collectie/631A53F3E48C509D9AFFA3538726EE84","Gerard Lairesse 1640-1711 en Utrecht - C C v d G 49-52 1942")</f>
        <v>0</v>
      </c>
      <c r="D2335" s="1">
        <f>hyperlink("http://dspace.library.uu.nl/handle/1874/237895","Gerard Lairesse 1640-1711 en Utrecht C C van de Graft 1942")</f>
        <v>0</v>
      </c>
    </row>
    <row r="2336" spans="2:4">
      <c r="B2336">
        <v>81</v>
      </c>
      <c r="C2336" s="1">
        <f>hyperlink("https://hetutrechtsarchief.nl/collectie/D4F4B8F585645CCC869AF42F9651C237","Herinneringen van Cornelis Winkler 1855-1941 door C C v d G 54-59")</f>
        <v>0</v>
      </c>
      <c r="D2336" s="1">
        <f>hyperlink("http://dspace.library.uu.nl/handle/1874/237896","Herinneringen van Cornelis Winkler 1855-1941 C Catharina van de Graft 1953")</f>
        <v>0</v>
      </c>
    </row>
    <row r="2337" spans="2:4">
      <c r="B2337">
        <v>95</v>
      </c>
      <c r="C2337" s="1">
        <f>hyperlink("https://hetutrechtsarchief.nl/collectie/34B9465B9E4A5D6FBEB7DD2B4FC20DEA","James Boswell te Utrecht 1763-1764 C C van de Graft 10-14 1956")</f>
        <v>0</v>
      </c>
      <c r="D2337" s="1">
        <f>hyperlink("http://dspace.library.uu.nl/handle/1874/237897","James Boswell te Utrecht 1763-1764 C C van de Graft 1956")</f>
        <v>0</v>
      </c>
    </row>
    <row r="2338" spans="2:4">
      <c r="B2338">
        <v>86</v>
      </c>
      <c r="C2338" s="1">
        <f>hyperlink("https://hetutrechtsarchief.nl/collectie/8379B6BB19545C588616328AB1906117","Johannes Flentge - v H 90-93 1941")</f>
        <v>0</v>
      </c>
      <c r="D2338" s="1">
        <f>hyperlink("http://dspace.library.uu.nl/handle/1874/237898","Johannes Flentge v H 1941")</f>
        <v>0</v>
      </c>
    </row>
    <row r="2339" spans="2:4">
      <c r="B2339">
        <v>89</v>
      </c>
      <c r="C2339" s="1">
        <f>hyperlink("https://hetutrechtsarchief.nl/collectie/A31563BD91555C869F5F6006B89980C6","Romeinse vondsten in Houten A B Haefkens 76-78 1950")</f>
        <v>0</v>
      </c>
      <c r="D2339" s="1">
        <f>hyperlink("http://dspace.library.uu.nl/handle/1874/237899","Romeinse vondsten in Houten A B Haefkens 1950-1957")</f>
        <v>0</v>
      </c>
    </row>
    <row r="2340" spans="2:4">
      <c r="B2340">
        <v>100</v>
      </c>
      <c r="C2340" s="1">
        <f>hyperlink("https://hetutrechtsarchief.nl/collectie/CCC8E13B63AE549B88B8E365DDA230E9","Houten honderd jaar oud A B Haefkens 81-83 1957")</f>
        <v>0</v>
      </c>
      <c r="D2340" s="1">
        <f>hyperlink("http://dspace.library.uu.nl/handle/1874/237900","Houten honderd jaar oud A B Haefkens 81-83 1957")</f>
        <v>0</v>
      </c>
    </row>
    <row r="2341" spans="2:4">
      <c r="B2341">
        <v>68</v>
      </c>
      <c r="C2341" s="1">
        <f>hyperlink("https://hetutrechtsarchief.nl/collectie/44C566B09BE554A597C5E6752D47673A","Het station Driebergen-Zeist Wim Harzing 13-19 ill 1963")</f>
        <v>0</v>
      </c>
      <c r="D2341" s="1">
        <f>hyperlink("http://dspace.library.uu.nl/handle/1874/237901","Het kleine Driebergen W Harzing 1953")</f>
        <v>0</v>
      </c>
    </row>
    <row r="2342" spans="2:4">
      <c r="B2342">
        <v>65</v>
      </c>
      <c r="C2342" s="1">
        <f>hyperlink("https://hetutrechtsarchief.nl/collectie/AC7DC83A717651359BB8D9BA88DE3BD8","Rijsenburgse jeugdherinneringen Wim Harzing 5-11 2000")</f>
        <v>0</v>
      </c>
      <c r="D2342" s="1">
        <f>hyperlink("http://dspace.library.uu.nl/handle/1874/237902","Rijsenburg jubileerde in 1835 Wim Harzing 1956")</f>
        <v>0</v>
      </c>
    </row>
    <row r="2343" spans="2:4">
      <c r="B2343">
        <v>58</v>
      </c>
      <c r="C2343" s="1">
        <f>hyperlink("https://hetutrechtsarchief.nl/collectie/44C566B09BE554A597C5E6752D47673A","Het station Driebergen-Zeist Wim Harzing 13-19 ill 1963")</f>
        <v>0</v>
      </c>
      <c r="D2343" s="1">
        <f>hyperlink("http://dspace.library.uu.nl/handle/1874/237903","Sparrendaal te Driebergen in 1758 W Harzing 1956")</f>
        <v>0</v>
      </c>
    </row>
    <row r="2344" spans="2:4">
      <c r="B2344">
        <v>97</v>
      </c>
      <c r="C2344" s="1">
        <f>hyperlink("https://hetutrechtsarchief.nl/collectie/8D29E3ADB4E8567FB2C98C776DE0B538","Niet in 1875 maar in 1879 werd de kerk van St Petrus banden te Rijsenburg verbouwd ambtelijke halsstarrigheid overwonnen door juridische spitsvondigheid Wim Harzing 60-62")</f>
        <v>0</v>
      </c>
      <c r="D2344" s="1">
        <f>hyperlink("http://dspace.library.uu.nl/handle/1874/237904","Niet in 1875 maar in 1879 werd de kerk van St Petrus Banden te Rijsenburg verbouwd ambtelijke halsstarrigheid overwonnen door juridische spitsvondigheid Wim Harzing 1953")</f>
        <v>0</v>
      </c>
    </row>
    <row r="2345" spans="2:4">
      <c r="B2345">
        <v>96</v>
      </c>
      <c r="C2345" s="1">
        <f>hyperlink("https://hetutrechtsarchief.nl/collectie/8891ECAD5927551E89E00A394748713D","Langs Trecht en Dorestad tijdens Karel den Groote K Heeringa 9-14 1940")</f>
        <v>0</v>
      </c>
      <c r="D2345" s="1">
        <f>hyperlink("http://dspace.library.uu.nl/handle/1874/237905","Langs Trecht en Dorestad tijdens Karel den Groote K Heeringa 1940")</f>
        <v>0</v>
      </c>
    </row>
    <row r="2346" spans="2:4">
      <c r="B2346">
        <v>60</v>
      </c>
      <c r="C2346" s="1">
        <f>hyperlink("https://hetutrechtsarchief.nl/collectie/A37BBEABC4A85234B3509733BAC15414","De herberg De Drie Ringen te Soest E Heupers 38-42 ill 1961")</f>
        <v>0</v>
      </c>
      <c r="D2346" s="1">
        <f>hyperlink("http://dspace.library.uu.nl/handle/1874/237906","Ferdinand Huijck en De drie ringen E Heupers 79-80 1957")</f>
        <v>0</v>
      </c>
    </row>
    <row r="2347" spans="2:4">
      <c r="B2347">
        <v>96</v>
      </c>
      <c r="C2347" s="1">
        <f>hyperlink("https://hetutrechtsarchief.nl/collectie/77DC6BD5B0E558669F36044B88560CA2","Utrecht Albiola een Grensvesting van het Romeinse Imperium G van Hoorn 73-76 1947")</f>
        <v>0</v>
      </c>
      <c r="D2347" s="1">
        <f>hyperlink("http://dspace.library.uu.nl/handle/1874/237907","Utrecht Albiola een grensvesting van het Romeinse imperium G van Hoorn 1947")</f>
        <v>0</v>
      </c>
    </row>
    <row r="2348" spans="2:4">
      <c r="B2348">
        <v>97</v>
      </c>
      <c r="C2348" s="1">
        <f>hyperlink("https://hetutrechtsarchief.nl/collectie/8CC6961C54FA5F009C50F5314E8B1902","De schrijver van een merkwaardige brief A van Hulzen 23 1952")</f>
        <v>0</v>
      </c>
      <c r="D2348" s="1">
        <f>hyperlink("http://dspace.library.uu.nl/handle/1874/237908","De schrijver van een merkwaardige brief A van Hulzen 1952")</f>
        <v>0</v>
      </c>
    </row>
    <row r="2349" spans="2:4">
      <c r="B2349">
        <v>89</v>
      </c>
      <c r="C2349" s="1">
        <f>hyperlink("https://hetutrechtsarchief.nl/collectie/3F1F43685750539C9877DA942CE48C0F","Archeologische vondsten te Rhenen 6 1952")</f>
        <v>0</v>
      </c>
      <c r="D2349" s="1">
        <f>hyperlink("http://dspace.library.uu.nl/handle/1874/237909","Archeologische vondsten te Rhenen P Glazema 1952")</f>
        <v>0</v>
      </c>
    </row>
    <row r="2350" spans="2:4">
      <c r="B2350">
        <v>84</v>
      </c>
      <c r="C2350" s="1">
        <f>hyperlink("https://hetutrechtsarchief.nl/collectie/25EFA42CF21C5C9BA96948EC2B6D16E6","Ooggetuigen van oud-Utrechtsche kermissen - W G v R 5-8 1942")</f>
        <v>0</v>
      </c>
      <c r="D2350" s="1">
        <f>hyperlink("http://dspace.library.uu.nl/handle/1874/237910","Ooggetuigen van Oud-Utrechtsche kermissen W Graadt van Roggen 1941-1942")</f>
        <v>0</v>
      </c>
    </row>
    <row r="2351" spans="2:4">
      <c r="B2351">
        <v>96</v>
      </c>
      <c r="C2351" s="1">
        <f>hyperlink("https://hetutrechtsarchief.nl/collectie/113FA84218695200B768BE5FFFF8B08C","Utrechtse musici concerteerden samen met Mozart A Graafhuis 17-21 1956")</f>
        <v>0</v>
      </c>
      <c r="D2351" s="1">
        <f>hyperlink("http://dspace.library.uu.nl/handle/1874/237911","Utrechtse musici concerteerden samen met Mozart A Graafhuis 1956")</f>
        <v>0</v>
      </c>
    </row>
    <row r="2352" spans="2:4">
      <c r="B2352">
        <v>65</v>
      </c>
      <c r="C2352" s="1">
        <f>hyperlink("https://hetutrechtsarchief.nl/collectie/91763590C7865AADA72440C6D35C49C4","Een deftige begrafenis te Maarssen in 1708 - C C v d G 22-24 1948")</f>
        <v>0</v>
      </c>
      <c r="D2352" s="1">
        <f>hyperlink("http://dspace.library.uu.nl/handle/1874/237912","Een deftige begrafenis in 1677 G A Evers 1947")</f>
        <v>0</v>
      </c>
    </row>
    <row r="2353" spans="2:4">
      <c r="B2353">
        <v>77</v>
      </c>
      <c r="C2353" s="1">
        <f>hyperlink("https://hetutrechtsarchief.nl/collectie/4B7CDC45FE25581CB9892341908732AA","Suster Bertkens doopceel C C van de Graft 66-67 1958")</f>
        <v>0</v>
      </c>
      <c r="D2353" s="1">
        <f>hyperlink("http://dspace.library.uu.nl/handle/1874/237913","Suster Bertken C C van de Graft 1942")</f>
        <v>0</v>
      </c>
    </row>
    <row r="2354" spans="2:4">
      <c r="B2354">
        <v>91</v>
      </c>
      <c r="C2354" s="1">
        <f>hyperlink("https://hetutrechtsarchief.nl/collectie/9E0F955681825DEF8E1F270819CFAD09","Iets over den Rijnloop in Utrecht P W A Immink 53-60 ill 1946")</f>
        <v>0</v>
      </c>
      <c r="D2354" s="1">
        <f>hyperlink("http://dspace.library.uu.nl/handle/1874/237914","Iets over den Rijnloop in Utrecht P W A Immink 1946")</f>
        <v>0</v>
      </c>
    </row>
    <row r="2355" spans="2:4">
      <c r="B2355">
        <v>60</v>
      </c>
      <c r="C2355" s="1">
        <f>hyperlink("https://hetutrechtsarchief.nl/collectie/A1542F6FC79E53E79583768D1F490FF1","Het station Huis ter Heide R P M Rhoen 19 2014")</f>
        <v>0</v>
      </c>
      <c r="D2355" s="1">
        <f>hyperlink("http://dspace.library.uu.nl/handle/1874/237915","Het station Nieuwersluis gesloten H de Jong 1953")</f>
        <v>0</v>
      </c>
    </row>
    <row r="2356" spans="2:4">
      <c r="B2356">
        <v>85</v>
      </c>
      <c r="C2356" s="1">
        <f>hyperlink("https://hetutrechtsarchief.nl/collectie/A1ECD4253CD052639C87F4F97913BEB7","Laat-Romeinsche munten uit Utrecht - J H J 56 1952")</f>
        <v>0</v>
      </c>
      <c r="D2356" s="1">
        <f>hyperlink("http://dspace.library.uu.nl/handle/1874/237916","Laat-romeinsche munten in Utrecht J H Jongkees 1952")</f>
        <v>0</v>
      </c>
    </row>
    <row r="2357" spans="2:4">
      <c r="B2357">
        <v>95</v>
      </c>
      <c r="C2357" s="1">
        <f>hyperlink("https://hetutrechtsarchief.nl/collectie/B77FE7D13A9350FFB92306BFB3C12752","Ir Daan Jansen overleden 50 1949")</f>
        <v>0</v>
      </c>
      <c r="D2357" s="1">
        <f>hyperlink("http://dspace.library.uu.nl/handle/1874/237917","Ir Daan Jansen overleden 1949")</f>
        <v>0</v>
      </c>
    </row>
    <row r="2358" spans="2:4">
      <c r="B2358">
        <v>85</v>
      </c>
      <c r="C2358" s="1">
        <f>hyperlink("https://hetutrechtsarchief.nl/collectie/B582601D28A85EDFA62E2E917B5AD23A","Bunschoten en Eemnes - de J 46-47 1955")</f>
        <v>0</v>
      </c>
      <c r="D2358" s="1">
        <f>hyperlink("http://dspace.library.uu.nl/handle/1874/237918","Bunschoten en Eemnes H de Jong 1955")</f>
        <v>0</v>
      </c>
    </row>
    <row r="2359" spans="2:4">
      <c r="B2359">
        <v>95</v>
      </c>
      <c r="C2359" s="1">
        <f>hyperlink("https://hetutrechtsarchief.nl/collectie/CBAE730636CF547D9B536CE644FBE7DE","Ook straatnamen zijn monumenten - de J 64-68 1957")</f>
        <v>0</v>
      </c>
      <c r="D2359" s="1">
        <f>hyperlink("http://dspace.library.uu.nl/handle/1874/237919","Ook straatnamen zijn monumenten H de Jong 64-68 1957")</f>
        <v>0</v>
      </c>
    </row>
    <row r="2360" spans="2:4">
      <c r="B2360">
        <v>83</v>
      </c>
      <c r="C2360" s="1">
        <f>hyperlink("https://hetutrechtsarchief.nl/collectie/BD7732CA36F75210AB434B3AB200B4A4","Grijpbaar verleden - de J 108-113 ill portr 1957")</f>
        <v>0</v>
      </c>
      <c r="D2360" s="1">
        <f>hyperlink("http://dspace.library.uu.nl/handle/1874/237920","Grijpbaar verleden H de Jong 108-113 1957")</f>
        <v>0</v>
      </c>
    </row>
    <row r="2361" spans="2:4">
      <c r="B2361">
        <v>93</v>
      </c>
      <c r="C2361" s="1">
        <f>hyperlink("https://hetutrechtsarchief.nl/collectie/60E091E5612155A99E82888E918437F6","In memoriam Dr K Heeringa B M de Jonge van Ellemeet 75-77 1943")</f>
        <v>0</v>
      </c>
      <c r="D2361" s="1">
        <f>hyperlink("http://dspace.library.uu.nl/handle/1874/237921","In memoriam dr K Heeringa B M de Jonge van Ellemeet 1945")</f>
        <v>0</v>
      </c>
    </row>
    <row r="2362" spans="2:4">
      <c r="B2362">
        <v>59</v>
      </c>
      <c r="C2362" s="1">
        <f>hyperlink("https://hetutrechtsarchief.nl/collectie/DFCD66F72135529BA2E80A97105959CC","Archeologie en geschiedenis 1982")</f>
        <v>0</v>
      </c>
      <c r="D2362" s="1">
        <f>hyperlink("http://dspace.library.uu.nl/handle/1874/237922","Archaeologie uit de lucht J H Jongkees 1949")</f>
        <v>0</v>
      </c>
    </row>
    <row r="2363" spans="2:4">
      <c r="B2363">
        <v>92</v>
      </c>
      <c r="C2363" s="1">
        <f>hyperlink("https://hetutrechtsarchief.nl/collectie/A8084BBA63095606BD01C88973AD5EE7","Het Stedelijk Centraal Museum 1838-1938 - K 73-75 1938")</f>
        <v>0</v>
      </c>
      <c r="D2363" s="1">
        <f>hyperlink("http://dspace.library.uu.nl/handle/1874/237923","Het Stedelijk Centraal Museum 1838-1938 K 1938")</f>
        <v>0</v>
      </c>
    </row>
    <row r="2364" spans="2:4">
      <c r="B2364">
        <v>88</v>
      </c>
      <c r="C2364" s="1">
        <f>hyperlink("https://hetutrechtsarchief.nl/collectie/F65EA951BDD7513390CE3A870A5FBE07","Een late beeldenstormer - K 18-21 1941")</f>
        <v>0</v>
      </c>
      <c r="D2364" s="1">
        <f>hyperlink("http://dspace.library.uu.nl/handle/1874/237924","Een late beeldenstormer K 1941")</f>
        <v>0</v>
      </c>
    </row>
    <row r="2365" spans="2:4">
      <c r="B2365">
        <v>95</v>
      </c>
      <c r="C2365" s="1">
        <f>hyperlink("https://hetutrechtsarchief.nl/collectie/7EA491D239195555AABA38F14A7306BA","Een door Karel V aan de Buurkerk geschonken glasraam - K 4-6 1941")</f>
        <v>0</v>
      </c>
      <c r="D2365" s="1">
        <f>hyperlink("http://dspace.library.uu.nl/handle/1874/237925","Een door Karel V aan de Buurkerk geschonken glasraam K 1941")</f>
        <v>0</v>
      </c>
    </row>
    <row r="2366" spans="2:4">
      <c r="B2366">
        <v>86</v>
      </c>
      <c r="C2366" s="1">
        <f>hyperlink("https://hetutrechtsarchief.nl/collectie/85350B5FE97D5F8B89DC567CD9ED64E2","Het graf van Johannes Wtenbogaert - K 37 1946")</f>
        <v>0</v>
      </c>
      <c r="D2366" s="1">
        <f>hyperlink("http://dspace.library.uu.nl/handle/1874/237926","Het graf van Johannes Wtenbogaert G van Klaveren 1946")</f>
        <v>0</v>
      </c>
    </row>
    <row r="2367" spans="2:4">
      <c r="B2367">
        <v>84</v>
      </c>
      <c r="C2367" s="1">
        <f>hyperlink("https://hetutrechtsarchief.nl/collectie/D8D4426A88FF594AA90F025B2915F93E","Vergaderplaatsen der Roomsch-Katholieken in 1647 - K 25-28")</f>
        <v>0</v>
      </c>
      <c r="D2367" s="1">
        <f>hyperlink("http://dspace.library.uu.nl/handle/1874/237927","Vergaderplaatsen der Roomsch Katholieken in 1647 G van Klaveren 1946")</f>
        <v>0</v>
      </c>
    </row>
    <row r="2368" spans="2:4">
      <c r="B2368">
        <v>93</v>
      </c>
      <c r="C2368" s="1">
        <f>hyperlink("https://hetutrechtsarchief.nl/collectie/E1923700AEBB581693C01D34238A4CAB","Hoe honden langs de straten zullen mogen lopen - K 19-22 1948")</f>
        <v>0</v>
      </c>
      <c r="D2368" s="1">
        <f>hyperlink("http://dspace.library.uu.nl/handle/1874/237928","Hoe honden langs de straten zullen mogen lopen K 1948")</f>
        <v>0</v>
      </c>
    </row>
    <row r="2369" spans="2:4">
      <c r="B2369">
        <v>90</v>
      </c>
      <c r="C2369" s="1">
        <f>hyperlink("https://hetutrechtsarchief.nl/collectie/F1A3DB21E95658A3A31D63DAF8D66D6E","De schouwburg op het Vredenburg - K 24-28 1938")</f>
        <v>0</v>
      </c>
      <c r="D2369" s="1">
        <f>hyperlink("http://dspace.library.uu.nl/handle/1874/237929","De schouwburg op het Vredenburg K 1938")</f>
        <v>0</v>
      </c>
    </row>
    <row r="2370" spans="2:4">
      <c r="B2370">
        <v>91</v>
      </c>
      <c r="C2370" s="1">
        <f>hyperlink("https://hetutrechtsarchief.nl/collectie/967770BF7C0C557A84177964138A1D65","Volksuitingen in de 15de eeuw verboden - K 57-58 1940")</f>
        <v>0</v>
      </c>
      <c r="D2370" s="1">
        <f>hyperlink("http://dspace.library.uu.nl/handle/1874/237930","Volksuitingen in de 15e eeuw verboden K 1940")</f>
        <v>0</v>
      </c>
    </row>
    <row r="2371" spans="2:4">
      <c r="B2371">
        <v>87</v>
      </c>
      <c r="C2371" s="1">
        <f>hyperlink("https://hetutrechtsarchief.nl/collectie/3E186E3F7A545AF1AE7EDACB83D79C64","Vrijwoningen in 1687 - K 26-28 1940")</f>
        <v>0</v>
      </c>
      <c r="D2371" s="1">
        <f>hyperlink("http://dspace.library.uu.nl/handle/1874/237931","Vrijwoningen in 1687 K 1940")</f>
        <v>0</v>
      </c>
    </row>
    <row r="2372" spans="2:4">
      <c r="B2372">
        <v>87</v>
      </c>
      <c r="C2372" s="1">
        <f>hyperlink("https://hetutrechtsarchief.nl/collectie/2AF0F6925A83515BB9DB330C3EDF03BE","Koffie kunst wetenschap en concurrentie - K 66-69 78-80 1941")</f>
        <v>0</v>
      </c>
      <c r="D2372" s="1">
        <f>hyperlink("http://dspace.library.uu.nl/handle/1874/237932","Koffie kunst wetenschap en concurrentie K 1941")</f>
        <v>0</v>
      </c>
    </row>
    <row r="2373" spans="2:4">
      <c r="B2373">
        <v>82</v>
      </c>
      <c r="C2373" s="1">
        <f>hyperlink("https://hetutrechtsarchief.nl/collectie/FA49759F9CB25C79B301062C8BA481CE","Bezoek van den keizer 1546 - K 2-7 1946")</f>
        <v>0</v>
      </c>
      <c r="D2373" s="1">
        <f>hyperlink("http://dspace.library.uu.nl/handle/1874/237933","Bezoek van den keizer 1546 G van Klaveren 1946")</f>
        <v>0</v>
      </c>
    </row>
    <row r="2374" spans="2:4">
      <c r="B2374">
        <v>97</v>
      </c>
      <c r="C2374" s="1">
        <f>hyperlink("https://hetutrechtsarchief.nl/collectie/959D6328657D5222AAF550F9D478E081","Over het karhuis en steenwegen binnen en buiten Utrecht F Ketner 9-12 1951")</f>
        <v>0</v>
      </c>
      <c r="D2374" s="1">
        <f>hyperlink("http://dspace.library.uu.nl/handle/1874/237934","Over het Karhuis en steenwegen binnen en buiten Utrecht F Ketner 1951")</f>
        <v>0</v>
      </c>
    </row>
    <row r="2375" spans="2:4">
      <c r="B2375">
        <v>94</v>
      </c>
      <c r="C2375" s="1">
        <f>hyperlink("https://hetutrechtsarchief.nl/collectie/40086A1045F15DEA835D858982C67D4B","Mickelenborch bij de Gaardbrug F Ketner 43-45 1948")</f>
        <v>0</v>
      </c>
      <c r="D2375" s="1">
        <f>hyperlink("http://dspace.library.uu.nl/handle/1874/237935","Mickelenborch bij de Gaardbrug F Ketner 1948")</f>
        <v>0</v>
      </c>
    </row>
    <row r="2376" spans="2:4">
      <c r="B2376">
        <v>97</v>
      </c>
      <c r="C2376" s="1">
        <f>hyperlink("https://hetutrechtsarchief.nl/collectie/27927EA075DD54E5A5DAA85AD2762478","Hendrik van Arnhem schrijver van de latijnse bijbel in vier delen anno 1402-1403 F Ketner 59-61 1948")</f>
        <v>0</v>
      </c>
      <c r="D2376" s="1">
        <f>hyperlink("http://dspace.library.uu.nl/handle/1874/237936","Hendrik van Arnhem schrijver van de Latijnse Bijbel in vier delen anno 1402-1403 F Ketner 1948")</f>
        <v>0</v>
      </c>
    </row>
    <row r="2377" spans="2:4">
      <c r="B2377">
        <v>56</v>
      </c>
      <c r="C2377" s="1">
        <f>hyperlink("https://hetutrechtsarchief.nl/collectie/E1BE99AF1713539FBE33C4C2C14F1FB0","Lijst van afgietsels van de zegels der Utrechtsche bisschoppen voorhanden in het rijksarchief in Utrecht S Muller Fz 292-295 1901")</f>
        <v>0</v>
      </c>
      <c r="D2377" s="1">
        <f>hyperlink("http://dspace.library.uu.nl/handle/1874/237937","De verhouding van het grondbezit der Utrechtsche bisschoppen tot hun landsheerlijkheid in Oost-Nederland F Ketner 1946")</f>
        <v>0</v>
      </c>
    </row>
    <row r="2378" spans="2:4">
      <c r="B2378">
        <v>91</v>
      </c>
      <c r="C2378" s="1">
        <f>hyperlink("https://hetutrechtsarchief.nl/collectie/62A64567EB9656E3A7752BB700C855F3","De familie Basin C J Keur 36-38 1948")</f>
        <v>0</v>
      </c>
      <c r="D2378" s="1">
        <f>hyperlink("http://dspace.library.uu.nl/handle/1874/237938","De familie Basin C J Keur 1948")</f>
        <v>0</v>
      </c>
    </row>
    <row r="2379" spans="2:4">
      <c r="B2379">
        <v>60</v>
      </c>
      <c r="C2379" s="1">
        <f>hyperlink("https://hetutrechtsarchief.nl/collectie/731AC1447AB85BF7937A4FEE808B36C8","Iets over het bijenhouden en bijenteelt te Wijk bij Duurstede H W M J Kits Nieuwenkamp 18-19 1978")</f>
        <v>0</v>
      </c>
      <c r="D2379" s="1">
        <f>hyperlink("http://dspace.library.uu.nl/handle/1874/237939","Wapen van Wijk bij Duurstede H Kits Nieuwenkamp 1954")</f>
        <v>0</v>
      </c>
    </row>
    <row r="2380" spans="2:4">
      <c r="B2380">
        <v>77</v>
      </c>
      <c r="C2380" s="1">
        <f>hyperlink("https://hetutrechtsarchief.nl/collectie/A0627546B3995E2797C1BD28BE5532AA","De zijl van St Marie - K 44-46 1951")</f>
        <v>0</v>
      </c>
      <c r="D2380" s="1">
        <f>hyperlink("http://dspace.library.uu.nl/handle/1874/237940","De Zijl van St Marie G van Klaveren 1951")</f>
        <v>0</v>
      </c>
    </row>
    <row r="2381" spans="2:4">
      <c r="B2381">
        <v>86</v>
      </c>
      <c r="C2381" s="1">
        <f>hyperlink("https://hetutrechtsarchief.nl/collectie/9417A84D2B255DC8846D2896E254F221","De voorgeschiedenis van Vredenburg - K 32 1952")</f>
        <v>0</v>
      </c>
      <c r="D2381" s="1">
        <f>hyperlink("http://dspace.library.uu.nl/handle/1874/237941","De voorgeschiedenis van Vredenburg G van Klaveren 1952")</f>
        <v>0</v>
      </c>
    </row>
    <row r="2382" spans="2:4">
      <c r="B2382">
        <v>78</v>
      </c>
      <c r="C2382" s="1">
        <f>hyperlink("https://hetutrechtsarchief.nl/collectie/04F831FD9494571B8377D9DE2E9B8EF1","Utrechtsche schrijvers en verlichters van miniaturen - G v K Pz 35-37 1935")</f>
        <v>0</v>
      </c>
      <c r="D2382" s="1">
        <f>hyperlink("http://dspace.library.uu.nl/handle/1874/237942","Utrechtsche schrijvers en verlichters van miniaturen G van Klaveren 35-37 jg 27 1954 no 4 p 30 1935-1952")</f>
        <v>0</v>
      </c>
    </row>
    <row r="2383" spans="2:4">
      <c r="B2383">
        <v>84</v>
      </c>
      <c r="C2383" s="1">
        <f>hyperlink("https://hetutrechtsarchief.nl/collectie/DA90CD06D72F5357A82585B7BE33A02B","G van Klaveren Pz 97-98")</f>
        <v>0</v>
      </c>
      <c r="D2383" s="1">
        <f>hyperlink("http://dspace.library.uu.nl/handle/1874/237943","G van Klaveren Pz 1953")</f>
        <v>0</v>
      </c>
    </row>
    <row r="2384" spans="2:4">
      <c r="B2384">
        <v>93</v>
      </c>
      <c r="C2384" s="1">
        <f>hyperlink("https://hetutrechtsarchief.nl/collectie/41E77956A94E5F3883F18E168E382CDF","Gijsbert Knijff messesteecker 15 1948")</f>
        <v>0</v>
      </c>
      <c r="D2384" s="1">
        <f>hyperlink("http://dspace.library.uu.nl/handle/1874/237944","Gijsbert Knijff messesteecker 1949")</f>
        <v>0</v>
      </c>
    </row>
    <row r="2385" spans="2:4">
      <c r="B2385">
        <v>55</v>
      </c>
      <c r="C2385" s="1">
        <f>hyperlink("https://hetutrechtsarchief.nl/collectie/259345E146125F19AA65C12DCCE24BA1","Had Wickenburg een leenkamer J Belonje 9-10 1978")</f>
        <v>0</v>
      </c>
      <c r="D2385" s="1">
        <f>hyperlink("http://dspace.library.uu.nl/handle/1874/237945","Had Kockengen inderdaad een galgenveld 99 1957")</f>
        <v>0</v>
      </c>
    </row>
    <row r="2386" spans="2:4">
      <c r="B2386">
        <v>94</v>
      </c>
      <c r="C2386" s="1">
        <f>hyperlink("https://hetutrechtsarchief.nl/collectie/E7EE4AB2EABE5E1DB085DAA6994EC180","Utrechtsche en andere straatnamen B Kruitwagen 20-23 1949")</f>
        <v>0</v>
      </c>
      <c r="D2386" s="1">
        <f>hyperlink("http://dspace.library.uu.nl/handle/1874/237946","Utrechtsche en andere straatnamen B Kruitwagen 1949")</f>
        <v>0</v>
      </c>
    </row>
    <row r="2387" spans="2:4">
      <c r="B2387">
        <v>75</v>
      </c>
      <c r="C2387" s="1">
        <f>hyperlink("https://hetutrechtsarchief.nl/collectie/3365A51201C15515A809EC01047D0D19","Uit de laatste jaren van J H Kufferath J W C van Campen 68-69 1947")</f>
        <v>0</v>
      </c>
      <c r="D2387" s="1">
        <f>hyperlink("http://dspace.library.uu.nl/handle/1874/237947","Uit de laatste levensjaren van J H Kufferath 1947")</f>
        <v>0</v>
      </c>
    </row>
    <row r="2388" spans="2:4">
      <c r="B2388">
        <v>88</v>
      </c>
      <c r="C2388" s="1">
        <f>hyperlink("https://hetutrechtsarchief.nl/collectie/CCBD27542FD3546C9029FDF8622F8581","Het Waarborgmuseum - A Kw 33-34 1941")</f>
        <v>0</v>
      </c>
      <c r="D2388" s="1">
        <f>hyperlink("http://dspace.library.uu.nl/handle/1874/237948","Het waarborgmuseum A Kw 1941")</f>
        <v>0</v>
      </c>
    </row>
    <row r="2389" spans="2:4">
      <c r="B2389">
        <v>90</v>
      </c>
      <c r="C2389" s="1">
        <f>hyperlink("https://hetutrechtsarchief.nl/collectie/DFC5E3F2D5A25CC6BA831662BC384359","De Buurkerk oudste parochiekerk van Utrecht - d J 67-68 1952")</f>
        <v>0</v>
      </c>
      <c r="D2389" s="1">
        <f>hyperlink("http://dspace.library.uu.nl/handle/1874/237949","De Buurkerk oudste parochiekerk van Utrecht H de Jong 1952")</f>
        <v>0</v>
      </c>
    </row>
    <row r="2390" spans="2:4">
      <c r="B2390">
        <v>87</v>
      </c>
      <c r="C2390" s="1">
        <f>hyperlink("https://hetutrechtsarchief.nl/collectie/699FBC4C2CF9573E81AB57572D35C7E3","Het graf van Nicolaas Beets - de J 22-24 1953")</f>
        <v>0</v>
      </c>
      <c r="D2390" s="1">
        <f>hyperlink("http://dspace.library.uu.nl/handle/1874/237950","Het graf van Nicolaas Beets H de Jong 1953")</f>
        <v>0</v>
      </c>
    </row>
    <row r="2391" spans="2:4">
      <c r="B2391">
        <v>66</v>
      </c>
      <c r="C2391" s="1">
        <f>hyperlink("https://hetutrechtsarchief.nl/collectie/23B81A6C17805E6C9908623B315F2D48","De Liesbos - K 66-68 ill 1947")</f>
        <v>0</v>
      </c>
      <c r="D2391" s="1">
        <f>hyperlink("http://dspace.library.uu.nl/handle/1874/237951","De Liesbosch G van Klaveren 1947")</f>
        <v>0</v>
      </c>
    </row>
    <row r="2392" spans="2:4">
      <c r="B2392">
        <v>89</v>
      </c>
      <c r="C2392" s="1">
        <f>hyperlink("https://hetutrechtsarchief.nl/collectie/E4C3AED181395B0A9CB9F1493E8B7DB5","Bodem-onderzoek in Utrecht - L 82-83 1946")</f>
        <v>0</v>
      </c>
      <c r="D2392" s="1">
        <f>hyperlink("http://dspace.library.uu.nl/handle/1874/237952","Bodem-onderzoek in Utrecht L 1946")</f>
        <v>0</v>
      </c>
    </row>
    <row r="2393" spans="2:4">
      <c r="B2393">
        <v>92</v>
      </c>
      <c r="C2393" s="1">
        <f>hyperlink("https://hetutrechtsarchief.nl/collectie/36A1074BE54857DCBAC45877C49B2DDB","Rijnwijk onder Zeist - L 76 1949")</f>
        <v>0</v>
      </c>
      <c r="D2393" s="1">
        <f>hyperlink("http://dspace.library.uu.nl/handle/1874/237953","Rijnwijk onder Zeist L 1949")</f>
        <v>0</v>
      </c>
    </row>
    <row r="2394" spans="2:4">
      <c r="B2394">
        <v>91</v>
      </c>
      <c r="C2394" s="1">
        <f>hyperlink("https://hetutrechtsarchief.nl/collectie/59BF9F21460C5F8381A8BF5F1B33FE39","St Pieterskerk 1048 - 1 mei - 1948 - E L 27-29 1948")</f>
        <v>0</v>
      </c>
      <c r="D2394" s="1">
        <f>hyperlink("http://dspace.library.uu.nl/handle/1874/237954","St Pieterskerk 1048 - 1 Mei - 1948 E L 1948")</f>
        <v>0</v>
      </c>
    </row>
    <row r="2395" spans="2:4">
      <c r="B2395">
        <v>90</v>
      </c>
      <c r="C2395" s="1">
        <f>hyperlink("https://hetutrechtsarchief.nl/collectie/CF756DCD19A75CB3819753087BF10B38","Een nationaal park der oostelijke Vechtplassen 60-64 1949")</f>
        <v>0</v>
      </c>
      <c r="D2395" s="1">
        <f>hyperlink("http://dspace.library.uu.nl/handle/1874/237955","Een nationaal park de oostelijke Vechtplassen J Loeff 1949")</f>
        <v>0</v>
      </c>
    </row>
    <row r="2396" spans="2:4">
      <c r="B2396">
        <v>95</v>
      </c>
      <c r="C2396" s="1">
        <f>hyperlink("https://hetutrechtsarchief.nl/collectie/755C1CF9D6D65480ABC40C7F358172C9","Hoe een Silezisch student in 1664 te Utrecht kwam 60-62 1941")</f>
        <v>0</v>
      </c>
      <c r="D2396" s="1">
        <f>hyperlink("http://dspace.library.uu.nl/handle/1874/237956","Hoe een Silezisch student in 1664 te Utrecht kwam 1941")</f>
        <v>0</v>
      </c>
    </row>
    <row r="2397" spans="2:4">
      <c r="B2397">
        <v>92</v>
      </c>
      <c r="C2397" s="1">
        <f>hyperlink("https://hetutrechtsarchief.nl/collectie/0AFB34EBC6D85608964275CC4B0F2625","Iets over de Vechtstreek R van Luttervelt 16-19 1950")</f>
        <v>0</v>
      </c>
      <c r="D2397" s="1">
        <f>hyperlink("http://dspace.library.uu.nl/handle/1874/237957","Iets over de Vechtstreek R van Luttervelt 1949")</f>
        <v>0</v>
      </c>
    </row>
    <row r="2398" spans="2:4">
      <c r="B2398">
        <v>98</v>
      </c>
      <c r="C2398" s="1">
        <f>hyperlink("https://hetutrechtsarchief.nl/collectie/D3CB31F9CD20592F9D4E211A274D3BC4","Werk van Anna Maria van Schurman te Utrecht R van Luttervelt 38 1946")</f>
        <v>0</v>
      </c>
      <c r="D2398" s="1">
        <f>hyperlink("http://dspace.library.uu.nl/handle/1874/237958","Werk van Anna Maria van Schurman te Utrecht R van Luttervelt 1946")</f>
        <v>0</v>
      </c>
    </row>
    <row r="2399" spans="2:4">
      <c r="B2399">
        <v>93</v>
      </c>
      <c r="C2399" s="1">
        <f>hyperlink("https://hetutrechtsarchief.nl/collectie/6F34C3F677A556A09021BD9281B1411B","De Gronsvelt-kameren R van Luttervelt 60-62 1946")</f>
        <v>0</v>
      </c>
      <c r="D2399" s="1">
        <f>hyperlink("http://dspace.library.uu.nl/handle/1874/237959","De Gronsvelt-kameren R van Luttervelt 1946")</f>
        <v>0</v>
      </c>
    </row>
    <row r="2400" spans="2:4">
      <c r="B2400">
        <v>95</v>
      </c>
      <c r="C2400" s="1">
        <f>hyperlink("https://hetutrechtsarchief.nl/collectie/B6F0378E7A345337A604D1EA430509CB","Markgravin Wilhelmine van Bayreuth R van Luttervelt 29-32 1948")</f>
        <v>0</v>
      </c>
      <c r="D2400" s="1">
        <f>hyperlink("http://dspace.library.uu.nl/handle/1874/237960","Markgravin Wilhelmine van Bayreuth R van Luttervelt 1948")</f>
        <v>0</v>
      </c>
    </row>
    <row r="2401" spans="2:4">
      <c r="B2401">
        <v>75</v>
      </c>
      <c r="C2401" s="1">
        <f>hyperlink("https://hetutrechtsarchief.nl/collectie/48AE411951975E8DA86C948897425625","Typen uit voormalig Wijk C J L Marchal 34-36 44-45 1946")</f>
        <v>0</v>
      </c>
      <c r="D2401" s="1">
        <f>hyperlink("http://dspace.library.uu.nl/handle/1874/237961","Typen uit voormalig Wijk C te Utrecht A Marchal J L K 1946-1953")</f>
        <v>0</v>
      </c>
    </row>
    <row r="2402" spans="2:4">
      <c r="B2402">
        <v>59</v>
      </c>
      <c r="C2402" s="1">
        <f>hyperlink("https://hetutrechtsarchief.nl/collectie/3C6E56CAACD35AA288E3C68C7AB8B579","Drakensteyn A Johanna Maris 90-91 1967")</f>
        <v>0</v>
      </c>
      <c r="D2402" s="1">
        <f>hyperlink("http://dspace.library.uu.nl/handle/1874/237962","Resten van Mari ndaal 1956")</f>
        <v>0</v>
      </c>
    </row>
    <row r="2403" spans="2:4">
      <c r="B2403">
        <v>95</v>
      </c>
      <c r="C2403" s="1">
        <f>hyperlink("https://hetutrechtsarchief.nl/collectie/9A6C065102725724B77405CD6914C503","De bisschop als klokluider te Zeist A Johanna Maris 89-90 1946")</f>
        <v>0</v>
      </c>
      <c r="D2403" s="1">
        <f>hyperlink("http://dspace.library.uu.nl/handle/1874/237963","De bisschop als klokluider te Zeist A Johanna Maris 1946")</f>
        <v>0</v>
      </c>
    </row>
    <row r="2404" spans="2:4">
      <c r="B2404">
        <v>94</v>
      </c>
      <c r="C2404" s="1">
        <f>hyperlink("https://hetutrechtsarchief.nl/collectie/4E9F795135765B1D8D4EF2930C24215C","Oud-Utrecht en Nedersticht A Johanna Maris 74-76 1948")</f>
        <v>0</v>
      </c>
      <c r="D2404" s="1">
        <f>hyperlink("http://dspace.library.uu.nl/handle/1874/237964","Oud-Utrecht en Nedersticht A Johanna Maris 1948")</f>
        <v>0</v>
      </c>
    </row>
    <row r="2405" spans="2:4">
      <c r="B2405">
        <v>95</v>
      </c>
      <c r="C2405" s="1">
        <f>hyperlink("https://hetutrechtsarchief.nl/collectie/3405D37414A45B3A86D2070441F801DA","Begint het Utrechtse staten-archief met 1375 A Johanna Maris 47-48 1951")</f>
        <v>0</v>
      </c>
      <c r="D2405" s="1">
        <f>hyperlink("http://dspace.library.uu.nl/handle/1874/237965","Begint het Utrechtse Statenarchief met 1375 A Johanna Maris 1951")</f>
        <v>0</v>
      </c>
    </row>
    <row r="2406" spans="2:4">
      <c r="B2406">
        <v>60</v>
      </c>
      <c r="C2406" s="1">
        <f>hyperlink("https://hetutrechtsarchief.nl/collectie/691FA448E9A25739BDD13586DEB42DF4","De Tuindorpkerk J de Vries 5 -8 1937")</f>
        <v>0</v>
      </c>
      <c r="D2406" s="1">
        <f>hyperlink("http://dspace.library.uu.nl/handle/1874/237966","De hervormde kerk te Vreeswijk J W W 1947")</f>
        <v>0</v>
      </c>
    </row>
    <row r="2407" spans="2:4">
      <c r="B2407">
        <v>95</v>
      </c>
      <c r="C2407" s="1">
        <f>hyperlink("https://hetutrechtsarchief.nl/collectie/323713F1FB9F59258AAB765FC44003B5","Ten derden male de rode deur ten Dom te Utrecht A Johanna Maris 105-108")</f>
        <v>0</v>
      </c>
      <c r="D2407" s="1">
        <f>hyperlink("http://dspace.library.uu.nl/handle/1874/237967","Ten derden male De Rode Deur ten Dom te Utrecht A Johanna Maris 1953")</f>
        <v>0</v>
      </c>
    </row>
    <row r="2408" spans="2:4">
      <c r="B2408">
        <v>97</v>
      </c>
      <c r="C2408" s="1">
        <f>hyperlink("https://hetutrechtsarchief.nl/collectie/C78F2972F22B5DF89FE2B83044C9F718","Het verzoeken van een leengoed aan de rode deur van den Dom te Utrecht A Johanna Maris 46-48 1950")</f>
        <v>0</v>
      </c>
      <c r="D2408" s="1">
        <f>hyperlink("http://dspace.library.uu.nl/handle/1874/237968","Het verzoeken van een leengoed aan de rode deur van den Dom te Utrecht A Johanna Maris 1950")</f>
        <v>0</v>
      </c>
    </row>
    <row r="2409" spans="2:4">
      <c r="B2409">
        <v>97</v>
      </c>
      <c r="C2409" s="1">
        <f>hyperlink("https://hetutrechtsarchief.nl/collectie/7BAC104FFEF0513F97688E8C112B24F4","Nogmaals de rode deur van den Dom in verband met leenrechtelijke handelingen A Johanna Maris 65-67 1950")</f>
        <v>0</v>
      </c>
      <c r="D2409" s="1">
        <f>hyperlink("http://dspace.library.uu.nl/handle/1874/237969","Nogmaals de rode deur van den Dom in verband met leenrechtelijke handelingen A Johanna Maris 1950")</f>
        <v>0</v>
      </c>
    </row>
    <row r="2410" spans="2:4">
      <c r="B2410">
        <v>78</v>
      </c>
      <c r="C2410" s="1">
        <f>hyperlink("https://hetutrechtsarchief.nl/collectie/4F7C73CBE7AB5007AD0C64655F1A418B","Naar aanleiding van den brand van 1007 A Johanna Maris 46-47 1957")</f>
        <v>0</v>
      </c>
      <c r="D2410" s="1">
        <f>hyperlink("http://dspace.library.uu.nl/handle/1874/237970","Naar aanleiding van de brand van 1007 J van Maris A Johanna Galen 46-48 nr 5 p 55 1957")</f>
        <v>0</v>
      </c>
    </row>
    <row r="2411" spans="2:4">
      <c r="B2411">
        <v>96</v>
      </c>
      <c r="C2411" s="1">
        <f>hyperlink("https://hetutrechtsarchief.nl/collectie/7C28D8F6D19C52328AAC7395ACA6AEBE","N a v de voorjaarsschoonmaak in de provincie Utrecht P J Meertens 18-19 1948")</f>
        <v>0</v>
      </c>
      <c r="D2411" s="1">
        <f>hyperlink("http://dspace.library.uu.nl/handle/1874/237971","N a v de voorjaarsschoonmaak in de provincie Utrecht P J Meertens 1948")</f>
        <v>0</v>
      </c>
    </row>
    <row r="2412" spans="2:4">
      <c r="B2412">
        <v>87</v>
      </c>
      <c r="C2412" s="1">
        <f>hyperlink("https://hetutrechtsarchief.nl/collectie/363329014D495303B61FA6190A1B7893","Amersfoort of Rhenen S W Melchior 51-54 ill 91-92 98-99 1957")</f>
        <v>0</v>
      </c>
      <c r="D2412" s="1">
        <f>hyperlink("http://dspace.library.uu.nl/handle/1874/237972","Amersfoort of Rhenen S W Melchior 51-54 nr 9 p 91-92 nr 10 p 98-99 1957")</f>
        <v>0</v>
      </c>
    </row>
    <row r="2413" spans="2:4">
      <c r="B2413">
        <v>90</v>
      </c>
      <c r="C2413" s="1">
        <f>hyperlink("https://hetutrechtsarchief.nl/collectie/A01744A4C0D053ADA862E7AF279595DD","De oude gevelstenen der provincie Utrecht J J Abbink Spaink 83 1941")</f>
        <v>0</v>
      </c>
      <c r="D2413" s="1">
        <f>hyperlink("http://dspace.library.uu.nl/handle/1874/237973","De oude gevelstenen der provincie Utrecht J J Minnaert M Abbink Spaink 1941")</f>
        <v>0</v>
      </c>
    </row>
    <row r="2414" spans="2:4">
      <c r="B2414">
        <v>93</v>
      </c>
      <c r="C2414" s="1">
        <f>hyperlink("https://hetutrechtsarchief.nl/collectie/BBC335EB68F5543BA096DEA910DDAA31","De oude stad aan de Eem H Molendijk 26-27 1950")</f>
        <v>0</v>
      </c>
      <c r="D2414" s="1">
        <f>hyperlink("http://dspace.library.uu.nl/handle/1874/237974","De oude stad aan de Eem H Molendijk 1950")</f>
        <v>0</v>
      </c>
    </row>
    <row r="2415" spans="2:4">
      <c r="B2415">
        <v>91</v>
      </c>
      <c r="C2415" s="1">
        <f>hyperlink("https://hetutrechtsarchief.nl/collectie/71317079C780575C8C563A6E761A6CBE","Montfoort F J A M Monchen 27-30 1950")</f>
        <v>0</v>
      </c>
      <c r="D2415" s="1">
        <f>hyperlink("http://dspace.library.uu.nl/handle/1874/237975","Montfoort F J A M Monchen 1950")</f>
        <v>0</v>
      </c>
    </row>
    <row r="2416" spans="2:4">
      <c r="B2416">
        <v>87</v>
      </c>
      <c r="C2416" s="1">
        <f>hyperlink("https://hetutrechtsarchief.nl/collectie/5AA3DAC790255EBE9F1A1666DCE1EDDD","Snellenburch E van Oosterom 97-100 1956")</f>
        <v>0</v>
      </c>
      <c r="D2416" s="1">
        <f>hyperlink("http://dspace.library.uu.nl/handle/1874/237976","Snellenburch E van Oosterom 1956-1957")</f>
        <v>0</v>
      </c>
    </row>
    <row r="2417" spans="2:4">
      <c r="B2417">
        <v>94</v>
      </c>
      <c r="C2417" s="1">
        <f>hyperlink("https://hetutrechtsarchief.nl/collectie/3054E6DB3C235BC58F3A91100CE2FAC5","Vijf en twintig jaren Oud-Utrecht A N L Otten 12-14 1948")</f>
        <v>0</v>
      </c>
      <c r="D2417" s="1">
        <f>hyperlink("http://dspace.library.uu.nl/handle/1874/237977","Vijf en twintig jaren Oud-Utrecht A N L Otten 1948")</f>
        <v>0</v>
      </c>
    </row>
    <row r="2418" spans="2:4">
      <c r="B2418">
        <v>88</v>
      </c>
      <c r="C2418" s="1">
        <f>hyperlink("https://hetutrechtsarchief.nl/collectie/9FE4565654E05A7EA62C1DA6E812F554","Dr J P Fockema Andreae A N L O 49-50 1949")</f>
        <v>0</v>
      </c>
      <c r="D2418" s="1">
        <f>hyperlink("http://dspace.library.uu.nl/handle/1874/237978","Dr J P Fockema Andreae A N L Otten 1949")</f>
        <v>0</v>
      </c>
    </row>
    <row r="2419" spans="2:4">
      <c r="B2419">
        <v>93</v>
      </c>
      <c r="C2419" s="1">
        <f>hyperlink("https://hetutrechtsarchief.nl/collectie/92E99CA51A7E5F3883F4992BE04F1F74","Belangrijke restauratie A N L Otten 53-55 1950")</f>
        <v>0</v>
      </c>
      <c r="D2419" s="1">
        <f>hyperlink("http://dspace.library.uu.nl/handle/1874/237979","Belangrijke restauratie A N L Otten 1950")</f>
        <v>0</v>
      </c>
    </row>
    <row r="2420" spans="2:4">
      <c r="B2420">
        <v>97</v>
      </c>
      <c r="C2420" s="1">
        <f>hyperlink("https://hetutrechtsarchief.nl/collectie/84DF4034F4D2578C864EDDEB128ACEB5","Utrechtsche kunst 1800-1850 tentoonstelling in het Centraal Museum 15 juli - 13 september 1942 R van Luttervelt 67-72 1942")</f>
        <v>0</v>
      </c>
      <c r="D2420" s="1">
        <f>hyperlink("http://dspace.library.uu.nl/handle/1874/237980","Utrechtsche kunst 1800-1850 tentoonstelling in het Centraal Museum 15 Juli-13 September 1942 R van Luttervelt 1942")</f>
        <v>0</v>
      </c>
    </row>
    <row r="2421" spans="2:4">
      <c r="B2421">
        <v>98</v>
      </c>
      <c r="C2421" s="1">
        <f>hyperlink("https://hetutrechtsarchief.nl/collectie/41C6AA3FA2055428ABF76AADBEC25A6E","Spellingprobleem naam De Bilt op landkaart Kees Floor 19 1999")</f>
        <v>0</v>
      </c>
      <c r="D2421" s="1">
        <f>hyperlink("http://dspace.library.uu.nl/handle/1874/237994","Spellingprobleem naam De Bilt op landkaart Kees Floor 19-20 1999")</f>
        <v>0</v>
      </c>
    </row>
    <row r="2422" spans="2:4">
      <c r="B2422">
        <v>79</v>
      </c>
      <c r="C2422" s="1">
        <f>hyperlink("https://hetutrechtsarchief.nl/collectie/BA1586C580B15F7F994A8E159BA40ECB","Intocht van Philips II W v d Pas 87-88 1949")</f>
        <v>0</v>
      </c>
      <c r="D2422" s="1">
        <f>hyperlink("http://dspace.library.uu.nl/handle/1874/238000","Intocht van Philips II in Utrecht W van de Pas 1949")</f>
        <v>0</v>
      </c>
    </row>
    <row r="2423" spans="2:4">
      <c r="B2423">
        <v>94</v>
      </c>
      <c r="C2423" s="1">
        <f>hyperlink("https://hetutrechtsarchief.nl/collectie/98F582C6E227501AAD35D345FCD595F7","De Biltstraat in vroeger eeuwen W van de Pas 82-85 1950")</f>
        <v>0</v>
      </c>
      <c r="D2423" s="1">
        <f>hyperlink("http://dspace.library.uu.nl/handle/1874/238001","De Biltstraat in vroeger eeuwen W van de Pas 1950")</f>
        <v>0</v>
      </c>
    </row>
    <row r="2424" spans="2:4">
      <c r="B2424">
        <v>91</v>
      </c>
      <c r="C2424" s="1">
        <f>hyperlink("https://hetutrechtsarchief.nl/collectie/934EC0C6A44054D099512C7CEC6E89B7","Hessenwegen W van de Pas 61-63 1950")</f>
        <v>0</v>
      </c>
      <c r="D2424" s="1">
        <f>hyperlink("http://dspace.library.uu.nl/handle/1874/238002","Hessenwegen W van de Pas 1950")</f>
        <v>0</v>
      </c>
    </row>
    <row r="2425" spans="2:4">
      <c r="B2425">
        <v>88</v>
      </c>
      <c r="C2425" s="1">
        <f>hyperlink("https://hetutrechtsarchief.nl/collectie/1156E7986E3E529BA131E55AB78D6381","Muiden en zijn rivier W A G Perks 85-88 krt 1955")</f>
        <v>0</v>
      </c>
      <c r="D2425" s="1">
        <f>hyperlink("http://dspace.library.uu.nl/handle/1874/238004","Muiden en zijn rivier W A G Perks 1955")</f>
        <v>0</v>
      </c>
    </row>
    <row r="2426" spans="2:4">
      <c r="B2426">
        <v>92</v>
      </c>
      <c r="C2426" s="1">
        <f>hyperlink("https://hetutrechtsarchief.nl/collectie/8AA0D7DFC04B548DA1D87E9CB26BBF80","Een Stichts-Gelders conflict dat ruim vier eeuwen duurde D Philips 100-104 krt 1955")</f>
        <v>0</v>
      </c>
      <c r="D2426" s="1">
        <f>hyperlink("http://dspace.library.uu.nl/handle/1874/238005","Een Stichts-Gelders conflict dat ruim vier eeuwen duurde D Philips 1955")</f>
        <v>0</v>
      </c>
    </row>
    <row r="2427" spans="2:4">
      <c r="B2427">
        <v>96</v>
      </c>
      <c r="C2427" s="1">
        <f>hyperlink("https://hetutrechtsarchief.nl/collectie/11A6DE749FEC547F91B79F885F5C9C7E","Van die aanbrenginge der veenen voir commissarissen D Philips 29-32 1956")</f>
        <v>0</v>
      </c>
      <c r="D2427" s="1">
        <f>hyperlink("http://dspace.library.uu.nl/handle/1874/238006","Van die aanbrenginge der veenen voir commissarissen D Philips 1956")</f>
        <v>0</v>
      </c>
    </row>
    <row r="2428" spans="2:4">
      <c r="B2428">
        <v>95</v>
      </c>
      <c r="C2428" s="1">
        <f>hyperlink("https://hetutrechtsarchief.nl/collectie/D01918AA72805B449A23C885557B73A0","Theodorus Siliginus eerste predikant te Veenendaal D Philips 58-62 1956")</f>
        <v>0</v>
      </c>
      <c r="D2428" s="1">
        <f>hyperlink("http://dspace.library.uu.nl/handle/1874/238007","Theodorus Siliginius eerste predikant te Veenendaal D Philips 1956")</f>
        <v>0</v>
      </c>
    </row>
    <row r="2429" spans="2:4">
      <c r="B2429">
        <v>96</v>
      </c>
      <c r="C2429" s="1">
        <f>hyperlink("https://hetutrechtsarchief.nl/collectie/F30455B81C545B0F9FB366514FC7C1B7","Leven en bedrijf in het laat-middeleeuwse Veenendaal D Philips 83-87 1956")</f>
        <v>0</v>
      </c>
      <c r="D2429" s="1">
        <f>hyperlink("http://dspace.library.uu.nl/handle/1874/238008","Leven en bedrijf in het laat-middeleeuwse Veenendaal D Philips 1956")</f>
        <v>0</v>
      </c>
    </row>
    <row r="2430" spans="2:4">
      <c r="B2430">
        <v>95</v>
      </c>
      <c r="C2430" s="1">
        <f>hyperlink("https://hetutrechtsarchief.nl/collectie/54EC891C7EB959C5BF2C5670EEC0AC2A","Pasen 1584 te Veenendaal de gestoorde kerkdienst D Philips 51-54 1955")</f>
        <v>0</v>
      </c>
      <c r="D2430" s="1">
        <f>hyperlink("http://dspace.library.uu.nl/handle/1874/238009","Pasen 1584 te Veenendaal de gestoorde kerkdienst D Philips 1955")</f>
        <v>0</v>
      </c>
    </row>
    <row r="2431" spans="2:4">
      <c r="B2431">
        <v>100</v>
      </c>
      <c r="C2431" s="1">
        <f>hyperlink("https://hetutrechtsarchief.nl/collectie/A320279BD9155CDB81DDE93176EFD563","Van de kerckgebroicken gebruiken en toestanden in een laat-zestiende-eeuwse dorpskerk Veenendaal D Philips 59-64 1957")</f>
        <v>0</v>
      </c>
      <c r="D2431" s="1">
        <f>hyperlink("http://dspace.library.uu.nl/handle/1874/238010","Van de kerckgebroicken gebruiken en toestanden in een laat-zestiende-eeuwse dorpskerk Veenendaal D Philips 59-64 1957")</f>
        <v>0</v>
      </c>
    </row>
    <row r="2432" spans="2:4">
      <c r="B2432">
        <v>90</v>
      </c>
      <c r="C2432" s="1">
        <f>hyperlink("https://hetutrechtsarchief.nl/collectie/385ADCA19C73522AAB4811F8C9A03317","De hofstede Chatreuse J I Planjer 97-101 1938")</f>
        <v>0</v>
      </c>
      <c r="D2432" s="1">
        <f>hyperlink("http://dspace.library.uu.nl/handle/1874/238011","De hofstede Chartreuse J I Planjer 1936-1938")</f>
        <v>0</v>
      </c>
    </row>
    <row r="2433" spans="2:4">
      <c r="B2433">
        <v>93</v>
      </c>
      <c r="C2433" s="1">
        <f>hyperlink("https://hetutrechtsarchief.nl/collectie/C4CD2D00E1DE570EADA13FFF7C3CC20D","Een gerestaureerde muurschildering in de Pieterskerk Jacob Por 49-54 ill 1940")</f>
        <v>0</v>
      </c>
      <c r="D2433" s="1">
        <f>hyperlink("http://dspace.library.uu.nl/handle/1874/238012","Een gerestaureerde muurschildering in de Pieterskerk Jacob Por 1940")</f>
        <v>0</v>
      </c>
    </row>
    <row r="2434" spans="2:4">
      <c r="B2434">
        <v>61</v>
      </c>
      <c r="C2434" s="1">
        <f>hyperlink("https://hetutrechtsarchief.nl/collectie/C74EA31D6C6454C2823635F849D224A4","De aanstelling van notarissen in de provincie Utrecht ten tijde der republiek A J van de Ven 10-12 1949")</f>
        <v>0</v>
      </c>
      <c r="D2434" s="1">
        <f>hyperlink("http://dspace.library.uu.nl/handle/1874/238013","Staatsrechtvorming in Utrecht ten tijde der Bataafsche Republiek G A Evers 1947-1948")</f>
        <v>0</v>
      </c>
    </row>
    <row r="2435" spans="2:4">
      <c r="B2435">
        <v>96</v>
      </c>
      <c r="C2435" s="1">
        <f>hyperlink("https://hetutrechtsarchief.nl/collectie/10DA302F2BD8503583688BC87C775F3E","De zijl van St Marie en andere punten J Prakken 4-5 1952")</f>
        <v>0</v>
      </c>
      <c r="D2435" s="1">
        <f>hyperlink("http://dspace.library.uu.nl/handle/1874/238014","De Zijl van St Marie en andere punten J Prakken 1952")</f>
        <v>0</v>
      </c>
    </row>
    <row r="2436" spans="2:4">
      <c r="B2436">
        <v>97</v>
      </c>
      <c r="C2436" s="1">
        <f>hyperlink("https://hetutrechtsarchief.nl/collectie/D24EBCD6F9935903B6A05F7085B01E4C","De Zakkendragerssteeg als groote verkeersweg J Prakken 1-5 1951")</f>
        <v>0</v>
      </c>
      <c r="D2436" s="1">
        <f>hyperlink("http://dspace.library.uu.nl/handle/1874/238015","De Zakkendragerssteeg als groote verkeersweg J Prakken 1951")</f>
        <v>0</v>
      </c>
    </row>
    <row r="2437" spans="2:4">
      <c r="B2437">
        <v>96</v>
      </c>
      <c r="C2437" s="1">
        <f>hyperlink("https://hetutrechtsarchief.nl/collectie/926D5C4F617E55BF9CFCF1991B7B6DBD","De oorsprong van de Wittevrouwenpoort J Prakken 7-8 1953")</f>
        <v>0</v>
      </c>
      <c r="D2437" s="1">
        <f>hyperlink("http://dspace.library.uu.nl/handle/1874/238016","De oorsprong van de Wittevrouwenpoort J Prakken 1953")</f>
        <v>0</v>
      </c>
    </row>
    <row r="2438" spans="2:4">
      <c r="B2438">
        <v>94</v>
      </c>
      <c r="C2438" s="1">
        <f>hyperlink("https://hetutrechtsarchief.nl/collectie/F6AD03FC1D1753BD900C6FB9D16DBE84","De Utrechtsche stadsweide in 1407 J Prakken 49-52 1952")</f>
        <v>0</v>
      </c>
      <c r="D2438" s="1">
        <f>hyperlink("http://dspace.library.uu.nl/handle/1874/238017","De Utrechtsche stadsweide in 1407 J Prakken 1952")</f>
        <v>0</v>
      </c>
    </row>
    <row r="2439" spans="2:4">
      <c r="B2439">
        <v>97</v>
      </c>
      <c r="C2439" s="1">
        <f>hyperlink("https://hetutrechtsarchief.nl/collectie/9F6807E7DB905BE4A9B31C4C1AA98D7E","Was er omstreeks 600 reeds een bisdom Utrecht J Prakken 109")</f>
        <v>0</v>
      </c>
      <c r="D2439" s="1">
        <f>hyperlink("http://dspace.library.uu.nl/handle/1874/238018","Was er omstreeks 600 reeds een bisdom Utrecht J Prakken 1953")</f>
        <v>0</v>
      </c>
    </row>
    <row r="2440" spans="2:4">
      <c r="B2440">
        <v>96</v>
      </c>
      <c r="C2440" s="1">
        <f>hyperlink("https://hetutrechtsarchief.nl/collectie/691E05FA760E5329900760107CDB6FDD","Achttienhoven en Werkhoven J Prakken 22 1952")</f>
        <v>0</v>
      </c>
      <c r="D2440" s="1">
        <f>hyperlink("http://dspace.library.uu.nl/handle/1874/238019","Achttienhoven en Werkhoven J Prakken 1952")</f>
        <v>0</v>
      </c>
    </row>
    <row r="2441" spans="2:4">
      <c r="B2441">
        <v>95</v>
      </c>
      <c r="C2441" s="1">
        <f>hyperlink("https://hetutrechtsarchief.nl/collectie/397B52292E545CE9802AEA5B09506D9A","De aanleg van de straat Donkere Gaard J Prakken 58-61 1950")</f>
        <v>0</v>
      </c>
      <c r="D2441" s="1">
        <f>hyperlink("http://dspace.library.uu.nl/handle/1874/238020","De aanleg van de straat Donkere Gaard J Prakken 1950")</f>
        <v>0</v>
      </c>
    </row>
    <row r="2442" spans="2:4">
      <c r="B2442">
        <v>92</v>
      </c>
      <c r="C2442" s="1">
        <f>hyperlink("https://hetutrechtsarchief.nl/collectie/17223BF52F29512A923DC6507C742016","De Gouw rondom Utrecht J Prakken 20-21 1954")</f>
        <v>0</v>
      </c>
      <c r="D2442" s="1">
        <f>hyperlink("http://dspace.library.uu.nl/handle/1874/238021","De Gouw rondom Utrecht J Prakken 1954")</f>
        <v>0</v>
      </c>
    </row>
    <row r="2443" spans="2:4">
      <c r="B2443">
        <v>96</v>
      </c>
      <c r="C2443" s="1">
        <f>hyperlink("https://hetutrechtsarchief.nl/collectie/0C727BE0535450F08294FE5B0A0C6FE6","Het Joderijtje als herinnering aan een Oude Gracht J Prakken 25-28 1951")</f>
        <v>0</v>
      </c>
      <c r="D2443" s="1">
        <f>hyperlink("http://dspace.library.uu.nl/handle/1874/238022","Het Joderijtje als herinnering aan een oude gracht J Prakken 1951")</f>
        <v>0</v>
      </c>
    </row>
    <row r="2444" spans="2:4">
      <c r="B2444">
        <v>90</v>
      </c>
      <c r="C2444" s="1">
        <f>hyperlink("https://hetutrechtsarchief.nl/collectie/77266654E866541CB7396386531F4242","Het echte en onechte lijnpad J Prakken 49-54 1951")</f>
        <v>0</v>
      </c>
      <c r="D2444" s="1">
        <f>hyperlink("http://dspace.library.uu.nl/handle/1874/238023","Het echte en het onechte Lijnpad J Prakken 1951")</f>
        <v>0</v>
      </c>
    </row>
    <row r="2445" spans="2:4">
      <c r="B2445">
        <v>93</v>
      </c>
      <c r="C2445" s="1">
        <f>hyperlink("https://hetutrechtsarchief.nl/collectie/D507A38D6EFB58F5B961E95ADE63BA92","Het Gein de geintol en de toltoren II J Prakken 1-4 1952")</f>
        <v>0</v>
      </c>
      <c r="D2445" s="1">
        <f>hyperlink("http://dspace.library.uu.nl/handle/1874/238024","Het Gein de Geintol en de Toltoren J Prakken 1951-1952")</f>
        <v>0</v>
      </c>
    </row>
    <row r="2446" spans="2:4">
      <c r="B2446">
        <v>96</v>
      </c>
      <c r="C2446" s="1">
        <f>hyperlink("https://hetutrechtsarchief.nl/collectie/838199B28A975F1AADDAA65BF5AF827E","Het ontstaan van de Annastraat en de ligging van het Oude kerkhof J Prakken 42-46 1950")</f>
        <v>0</v>
      </c>
      <c r="D2446" s="1">
        <f>hyperlink("http://dspace.library.uu.nl/handle/1874/238025","Het ontstaan van de Annastraat en de ligging van het oude Kerkhof J Prakken 1950")</f>
        <v>0</v>
      </c>
    </row>
    <row r="2447" spans="2:4">
      <c r="B2447">
        <v>95</v>
      </c>
      <c r="C2447" s="1">
        <f>hyperlink("https://hetutrechtsarchief.nl/collectie/2980D39EADFE5F04A9BA49DFB7457477","Het kleine Bisschopshof aan de Domsteeg J Prakken 81-85 1949")</f>
        <v>0</v>
      </c>
      <c r="D2447" s="1">
        <f>hyperlink("http://dspace.library.uu.nl/handle/1874/238026","Het kleine Bisschopshof aan de Domsteeg J Prakken 1949")</f>
        <v>0</v>
      </c>
    </row>
    <row r="2448" spans="2:4">
      <c r="B2448">
        <v>84</v>
      </c>
      <c r="C2448" s="1">
        <f>hyperlink("https://hetutrechtsarchief.nl/collectie/920BB65DF6C1594E954F13319F2DC13F","Utrecht duizend jaar stad 35-39 1949")</f>
        <v>0</v>
      </c>
      <c r="D2448" s="1">
        <f>hyperlink("http://dspace.library.uu.nl/handle/1874/238027","Utrecht duizend jaar stad J Prakken 1949")</f>
        <v>0</v>
      </c>
    </row>
    <row r="2449" spans="2:4">
      <c r="B2449">
        <v>92</v>
      </c>
      <c r="C2449" s="1">
        <f>hyperlink("https://hetutrechtsarchief.nl/collectie/518F3CB0890259FEA9842C660107B46B","Bij Jan Eloy Brom s aftreden als conservator der aartsbisschoppelijke Musea - A E R 17-18 1942")</f>
        <v>0</v>
      </c>
      <c r="D2449" s="1">
        <f>hyperlink("http://dspace.library.uu.nl/handle/1874/238028","Bij Jan Eloy Brom s aftreden als conservator der aartsbisschoppelijke musea A E Rientjes 1942")</f>
        <v>0</v>
      </c>
    </row>
    <row r="2450" spans="2:4">
      <c r="B2450">
        <v>84</v>
      </c>
      <c r="C2450" s="1">
        <f>hyperlink("https://hetutrechtsarchief.nl/collectie/DDFC977ACC9E5EA5AA2BAFB6B3140C97","Een politieke weddingschap - G v R 82-83 1940")</f>
        <v>0</v>
      </c>
      <c r="D2450" s="1">
        <f>hyperlink("http://dspace.library.uu.nl/handle/1874/238029","Een politieke weddenschap G van R 1940")</f>
        <v>0</v>
      </c>
    </row>
    <row r="2451" spans="2:4">
      <c r="B2451">
        <v>91</v>
      </c>
      <c r="C2451" s="1">
        <f>hyperlink("https://hetutrechtsarchief.nl/collectie/DEF1A6DCCA0751CA8F1F698E174D3E1C","Komt u ook uit Utrecht Waar -zeggen Een kwestie van klemtoon Op aan of in J G Raatgever Jr 2-4 1949")</f>
        <v>0</v>
      </c>
      <c r="D2451" s="1">
        <f>hyperlink("http://dspace.library.uu.nl/handle/1874/238030","Komt U ook uit Utrecht Waar -zeggen een kwestie van klemtoon op J G Raatgever 1949")</f>
        <v>0</v>
      </c>
    </row>
    <row r="2452" spans="2:4">
      <c r="B2452">
        <v>92</v>
      </c>
      <c r="C2452" s="1">
        <f>hyperlink("https://hetutrechtsarchief.nl/collectie/DDAD258EF64B5EDEB3B5864E9BE219B1","Waar stond de hofstede van Elten M Raven 71-72")</f>
        <v>0</v>
      </c>
      <c r="D2452" s="1">
        <f>hyperlink("http://dspace.library.uu.nl/handle/1874/238031","Waar stond de hofstede van Elten M Raven 1953")</f>
        <v>0</v>
      </c>
    </row>
    <row r="2453" spans="2:4">
      <c r="B2453">
        <v>94</v>
      </c>
      <c r="C2453" s="1">
        <f>hyperlink("https://hetutrechtsarchief.nl/collectie/A3A52CA530795F279D9FADF97A625764","Soeststapel een oud grenspunt M Raven 92-93")</f>
        <v>0</v>
      </c>
      <c r="D2453" s="1">
        <f>hyperlink("http://dspace.library.uu.nl/handle/1874/238032","Soeststapel een oud grenspunt M Raven 1953")</f>
        <v>0</v>
      </c>
    </row>
    <row r="2454" spans="2:4">
      <c r="B2454">
        <v>93</v>
      </c>
      <c r="C2454" s="1">
        <f>hyperlink("https://hetutrechtsarchief.nl/collectie/ED4132DCA6A35F7D8E2CCE4631D555FC","De grens Gooi-Sticht van 1535 M Raven 94-95 1954")</f>
        <v>0</v>
      </c>
      <c r="D2454" s="1">
        <f>hyperlink("http://dspace.library.uu.nl/handle/1874/238033","De grens Gooi-Sticht van 1535 M Raven 1954")</f>
        <v>0</v>
      </c>
    </row>
    <row r="2455" spans="2:4">
      <c r="B2455">
        <v>95</v>
      </c>
      <c r="C2455" s="1">
        <f>hyperlink("https://hetutrechtsarchief.nl/collectie/E38939CCA5D45F549B632146E6409060","Iets over oude kaarten M Raven 6-7 1955")</f>
        <v>0</v>
      </c>
      <c r="D2455" s="1">
        <f>hyperlink("http://dspace.library.uu.nl/handle/1874/238034","Iets over oude kaarten M Raven 1955")</f>
        <v>0</v>
      </c>
    </row>
    <row r="2456" spans="2:4">
      <c r="B2456">
        <v>90</v>
      </c>
      <c r="C2456" s="1">
        <f>hyperlink("https://hetutrechtsarchief.nl/collectie/51171B2B21A65E22953689D9945CAB89","Kleine kroniek van Hollandsche Rading en Weer - M R 29-33 1953")</f>
        <v>0</v>
      </c>
      <c r="D2456" s="1">
        <f>hyperlink("http://dspace.library.uu.nl/handle/1874/238035","Kleine kroniek van Hollandsche Rading en Weer M Raven 1953")</f>
        <v>0</v>
      </c>
    </row>
    <row r="2457" spans="2:4">
      <c r="B2457">
        <v>97</v>
      </c>
      <c r="C2457" s="1">
        <f>hyperlink("https://hetutrechtsarchief.nl/collectie/65F4B4D00C115F13AAA0A0DA42F1ECE2","Iets over de ontginningsgeschiedenis van Oostveen Riddervenen Nonnenland en Vuurse M Raven 47-51 1955")</f>
        <v>0</v>
      </c>
      <c r="D2457" s="1">
        <f>hyperlink("http://dspace.library.uu.nl/handle/1874/238036","Iets over de ontginningsgeschiedenis van Oostveen Riddervenen Nonnenland en Vuurse M Raven 1955")</f>
        <v>0</v>
      </c>
    </row>
    <row r="2458" spans="2:4">
      <c r="B2458">
        <v>97</v>
      </c>
      <c r="C2458" s="1">
        <f>hyperlink("https://hetutrechtsarchief.nl/collectie/CA1753D8A181597EB3CB7D71ADBC173D","Het domkapittel en de visrechten op het Naardermeer M Raven 63")</f>
        <v>0</v>
      </c>
      <c r="D2458" s="1">
        <f>hyperlink("http://dspace.library.uu.nl/handle/1874/238037","Het Domkapittel en de visrechten op het Naardermeer M Raven 1953")</f>
        <v>0</v>
      </c>
    </row>
    <row r="2459" spans="2:4">
      <c r="B2459">
        <v>93</v>
      </c>
      <c r="C2459" s="1">
        <f>hyperlink("https://hetutrechtsarchief.nl/collectie/D382D897C59A55E2A25645AD703C715F","Iets over topografische namen M Raven 90-93 1955")</f>
        <v>0</v>
      </c>
      <c r="D2459" s="1">
        <f>hyperlink("http://dspace.library.uu.nl/handle/1874/238038","Iets over topografische namen M Raven 1955")</f>
        <v>0</v>
      </c>
    </row>
    <row r="2460" spans="2:4">
      <c r="B2460">
        <v>94</v>
      </c>
      <c r="C2460" s="1">
        <f>hyperlink("https://hetutrechtsarchief.nl/collectie/938B779FE6AC5C7F9EBCC31712A899A0","In Memoriam Catharina van Rennes M J Reynvaan 89-90 1940")</f>
        <v>0</v>
      </c>
      <c r="D2460" s="1">
        <f>hyperlink("http://dspace.library.uu.nl/handle/1874/238039","In memoriam Catharina van Rennes M J Reynvaan 1940")</f>
        <v>0</v>
      </c>
    </row>
    <row r="2461" spans="2:4">
      <c r="B2461">
        <v>58</v>
      </c>
      <c r="C2461" s="1">
        <f>hyperlink("https://hetutrechtsarchief.nl/collectie/D3E5642DD9F158D88E44484A83627CEF","Nog eens over t Glindt tuin en vrede en vrucht A E Rientjes 48 1957")</f>
        <v>0</v>
      </c>
      <c r="D2461" s="1">
        <f>hyperlink("http://dspace.library.uu.nl/handle/1874/238040","Een kinderpreek Buiten Wittevrouwen A E Rientjes 1953")</f>
        <v>0</v>
      </c>
    </row>
    <row r="2462" spans="2:4">
      <c r="B2462">
        <v>91</v>
      </c>
      <c r="C2462" s="1">
        <f>hyperlink("https://hetutrechtsarchief.nl/collectie/D7E8895C22745B72B6CA8D7E8AB3AA99","De Sint-Jansviering door de gildebroeders van Sint-Eloye of smedegild A E R 12-13 1948")</f>
        <v>0</v>
      </c>
      <c r="D2462" s="1">
        <f>hyperlink("http://dspace.library.uu.nl/handle/1874/238041","De Sint-Jansviering door de Gildebroeders van Sint-Eloye of Smedegild A E Rientjes 1949")</f>
        <v>0</v>
      </c>
    </row>
    <row r="2463" spans="2:4">
      <c r="B2463">
        <v>100</v>
      </c>
      <c r="C2463" s="1">
        <f>hyperlink("https://hetutrechtsarchief.nl/collectie/A3351AC53EE3579EA9331FE2A689F18A","Een merkwaardig koorkapschild A E Rientjes 113-114 1957")</f>
        <v>0</v>
      </c>
      <c r="D2463" s="1">
        <f>hyperlink("http://dspace.library.uu.nl/handle/1874/238042","Een merkwaardig koorkapschild A E Rientjes 113-114 1957")</f>
        <v>0</v>
      </c>
    </row>
    <row r="2464" spans="2:4">
      <c r="B2464">
        <v>58</v>
      </c>
      <c r="C2464" s="1">
        <f>hyperlink("https://hetutrechtsarchief.nl/collectie/0FCB0F27BA1050A1A13CC25922E10CB0","Droomtoren boven lichtstad K A Rombach 65-66 1930")</f>
        <v>0</v>
      </c>
      <c r="D2464" s="1">
        <f>hyperlink("http://dspace.library.uu.nl/handle/1874/238043","Straatverlichting K A Rombach 1942")</f>
        <v>0</v>
      </c>
    </row>
    <row r="2465" spans="2:4">
      <c r="B2465">
        <v>93</v>
      </c>
      <c r="C2465" s="1">
        <f>hyperlink("https://hetutrechtsarchief.nl/collectie/0A96D44D0F5B509186EAEBA830251513","De emancipatie van vrouwenklooster W van de Pas 2-5 1949")</f>
        <v>0</v>
      </c>
      <c r="D2465" s="1">
        <f>hyperlink("http://dspace.library.uu.nl/handle/1874/238044","De emancipatie van Vrouwenklooster W van de Pas 1950")</f>
        <v>0</v>
      </c>
    </row>
    <row r="2466" spans="2:4">
      <c r="B2466">
        <v>99</v>
      </c>
      <c r="C2466" s="1">
        <f>hyperlink("https://hetutrechtsarchief.nl/collectie/BE43225D4C5A55E38A3C9B46B97357A6","Stichts-Gelderse grensperikelen fragment uit een verhandeling over landtscheydinge tusschen die Gelderschen ende die van Utrecht D Philips 105-108 ill 1957")</f>
        <v>0</v>
      </c>
      <c r="D2466" s="1">
        <f>hyperlink("http://dspace.library.uu.nl/handle/1874/238045","Stichts-Gelderse grensperikelen fragment uit een verhandeling over Landtscheydinge tusschen die Gelderschen ende die van Utrecht D Philips 105-108 1957")</f>
        <v>0</v>
      </c>
    </row>
    <row r="2467" spans="2:4">
      <c r="B2467">
        <v>95</v>
      </c>
      <c r="C2467" s="1">
        <f>hyperlink("https://hetutrechtsarchief.nl/collectie/99F9629E9D615E34B07A303BE61B7FCF","Een jaarbeursgebouw van omstr 1125 of 1175 J Prakken 72-76 1950")</f>
        <v>0</v>
      </c>
      <c r="D2467" s="1">
        <f>hyperlink("http://dspace.library.uu.nl/handle/1874/238046","Een jaarbeursgebouw van omstr 1125 of 1175 J Prakken 1950")</f>
        <v>0</v>
      </c>
    </row>
    <row r="2468" spans="2:4">
      <c r="B2468">
        <v>95</v>
      </c>
      <c r="C2468" s="1">
        <f>hyperlink("https://hetutrechtsarchief.nl/collectie/4D325F8CAE2151478F83027EE3D6F14B","Fornhese Hees en de nonnengroepen M Raven 9-11 1957")</f>
        <v>0</v>
      </c>
      <c r="D2468" s="1">
        <f>hyperlink("http://dspace.library.uu.nl/handle/1874/238047","Fornhese Hees en de Nonnengroepen M Raven 1957")</f>
        <v>0</v>
      </c>
    </row>
    <row r="2469" spans="2:4">
      <c r="B2469">
        <v>60</v>
      </c>
      <c r="C2469" s="1">
        <f>hyperlink("https://hetutrechtsarchief.nl/collectie/34A83B59C4F35A55871386F07460869C","De Nederlanse bouwkunst in het begin van de negentiende eeuw R C Hekker 1-28 ill 1951")</f>
        <v>0</v>
      </c>
      <c r="D2469" s="1">
        <f>hyperlink("http://dspace.library.uu.nl/handle/1874/238048","Beroepsvisserij te Breukeleveen in het begin van de twintigste eeuw P Bakker 91-97 1988")</f>
        <v>0</v>
      </c>
    </row>
    <row r="2470" spans="2:4">
      <c r="B2470">
        <v>93</v>
      </c>
      <c r="C2470" s="1">
        <f>hyperlink("https://hetutrechtsarchief.nl/collectie/E64D4C99558056C5B14135BA1FD3D197","Utrecht en Jacob Obrecht J du Saar 50-55 1943")</f>
        <v>0</v>
      </c>
      <c r="D2470" s="1">
        <f>hyperlink("http://dspace.library.uu.nl/handle/1874/238049","Utrecht en Jacob Obrecht J du Saar 1943")</f>
        <v>0</v>
      </c>
    </row>
    <row r="2471" spans="2:4">
      <c r="B2471">
        <v>95</v>
      </c>
      <c r="C2471" s="1">
        <f>hyperlink("https://hetutrechtsarchief.nl/collectie/A4D2FB397D845A35847C3CEDAEEC8370","Eenige mededeelingen over de Grebbe-linie W H Schukking 43-48 1938")</f>
        <v>0</v>
      </c>
      <c r="D2471" s="1">
        <f>hyperlink("http://dspace.library.uu.nl/handle/1874/238050","Eenige mededeelingen over de Grebbe-linie W H Schukking 1938")</f>
        <v>0</v>
      </c>
    </row>
    <row r="2472" spans="2:4">
      <c r="B2472">
        <v>85</v>
      </c>
      <c r="C2472" s="1">
        <f>hyperlink("https://hetutrechtsarchief.nl/collectie/05B5FF546E95572295D64270E0864433","De oudste bastions van Utrecht W H Schukking en G C Labouchere 49-52 ill 1941")</f>
        <v>0</v>
      </c>
      <c r="D2472" s="1">
        <f>hyperlink("http://dspace.library.uu.nl/handle/1874/238051","De oudste bastions van Utrecht G C Schukking W H Labouchere 1941")</f>
        <v>0</v>
      </c>
    </row>
    <row r="2473" spans="2:4">
      <c r="B2473">
        <v>82</v>
      </c>
      <c r="C2473" s="1">
        <f>hyperlink("https://hetutrechtsarchief.nl/collectie/561655FCA55C5A97A31FCF57DC479E64","100 jaar Sterrewacht 86-88")</f>
        <v>0</v>
      </c>
      <c r="D2473" s="1">
        <f>hyperlink("http://dspace.library.uu.nl/handle/1874/238052","100 jaar Sterrewacht 1953")</f>
        <v>0</v>
      </c>
    </row>
    <row r="2474" spans="2:4">
      <c r="B2474">
        <v>91</v>
      </c>
      <c r="C2474" s="1">
        <f>hyperlink("https://hetutrechtsarchief.nl/collectie/2F44FCC0888D57C3B8458097D9BD6196","De Paulus abdij W Stooker 89-90 1949")</f>
        <v>0</v>
      </c>
      <c r="D2474" s="1">
        <f>hyperlink("http://dspace.library.uu.nl/handle/1874/238053","De Paulus Abdij W Stooker 1949")</f>
        <v>0</v>
      </c>
    </row>
    <row r="2475" spans="2:4">
      <c r="B2475">
        <v>86</v>
      </c>
      <c r="C2475" s="1">
        <f>hyperlink("https://hetutrechtsarchief.nl/collectie/330B4731A66E5169BDFA0C9EB1362293","De jongste opgravingen te Utrecht W Stooker 73-78 ill plgr 1956")</f>
        <v>0</v>
      </c>
      <c r="D2475" s="1">
        <f>hyperlink("http://dspace.library.uu.nl/handle/1874/238054","De jongste opgravingen te Utrecht W Stooker 1956")</f>
        <v>0</v>
      </c>
    </row>
    <row r="2476" spans="2:4">
      <c r="B2476">
        <v>96</v>
      </c>
      <c r="C2476" s="1">
        <f>hyperlink("https://hetutrechtsarchief.nl/collectie/A2189EED66AA53429F41B3E07E28C173","Iets over de boerderij Laanwijk te Lopik en een Utrechtse familie W Stooker 114-117 ill tab 1957")</f>
        <v>0</v>
      </c>
      <c r="D2476" s="1">
        <f>hyperlink("http://dspace.library.uu.nl/handle/1874/238055","Iets over de boerderij Laanwijk te Lopik en een Utrechtse familie W Stooker 114-117 1957")</f>
        <v>0</v>
      </c>
    </row>
    <row r="2477" spans="2:4">
      <c r="B2477">
        <v>86</v>
      </c>
      <c r="C2477" s="1">
        <f>hyperlink("https://hetutrechtsarchief.nl/collectie/3D2DC2CA05C5544DB3311F73D0DF9FAC","De topografisch-tekenaar Dirk van der Burg - Sw 28-29 1951")</f>
        <v>0</v>
      </c>
      <c r="D2477" s="1">
        <f>hyperlink("http://dspace.library.uu.nl/handle/1874/238056","De topografische tekenaar Dirk van der Burg P T A Swillens 1951")</f>
        <v>0</v>
      </c>
    </row>
    <row r="2478" spans="2:4">
      <c r="B2478">
        <v>66</v>
      </c>
      <c r="C2478" s="1">
        <f>hyperlink("https://hetutrechtsarchief.nl/collectie/19157AD3B899585DA91E8F0417FDCA47","De Utrechtsche kunstenaarsfamilie Craeyvanger P T A Swillens 150-181 ill 1947")</f>
        <v>0</v>
      </c>
      <c r="D2478" s="1">
        <f>hyperlink("http://dspace.library.uu.nl/handle/1874/238057","Utrechtse kunstenaars Maerten Stoop Nicolaas Knupfer P T A Swillens 1950")</f>
        <v>0</v>
      </c>
    </row>
    <row r="2479" spans="2:4">
      <c r="B2479">
        <v>92</v>
      </c>
      <c r="C2479" s="1">
        <f>hyperlink("https://hetutrechtsarchief.nl/collectie/502D12BFAE2455B5B14EB8916092799D","Hendrik Goudt P T A Swillens 84-88 1946")</f>
        <v>0</v>
      </c>
      <c r="D2479" s="1">
        <f>hyperlink("http://dspace.library.uu.nl/handle/1874/238058","Hendrik Goudt P T A Swillens 1946")</f>
        <v>0</v>
      </c>
    </row>
    <row r="2480" spans="2:4">
      <c r="B2480">
        <v>96</v>
      </c>
      <c r="C2480" s="1">
        <f>hyperlink("https://hetutrechtsarchief.nl/collectie/545E1CC9270356D3B6CFAFEC6C5A5910","De muurschildering De boom van Jesse in de Buurkerk P T A Swillens 73-76 1942")</f>
        <v>0</v>
      </c>
      <c r="D2480" s="1">
        <f>hyperlink("http://dspace.library.uu.nl/handle/1874/238059","De muurschildering De Boom van Jesse in de Buurkerk P T A Swillens 1942")</f>
        <v>0</v>
      </c>
    </row>
    <row r="2481" spans="2:4">
      <c r="B2481">
        <v>84</v>
      </c>
      <c r="C2481" s="1">
        <f>hyperlink("https://hetutrechtsarchief.nl/collectie/5B04E55F89F752B5A7094D7437FDC9C8","Renswoude M J L Taets van Amerongen 82-84 1955")</f>
        <v>0</v>
      </c>
      <c r="D2481" s="1">
        <f>hyperlink("http://dspace.library.uu.nl/handle/1874/238060","Renswoude M J L Taets van Amerongen van Renswoude 1955")</f>
        <v>0</v>
      </c>
    </row>
    <row r="2482" spans="2:4">
      <c r="B2482">
        <v>98</v>
      </c>
      <c r="C2482" s="1">
        <f>hyperlink("https://hetutrechtsarchief.nl/collectie/136A47F0AE4F577983B2F00761051A0F","Gewelfbeschildering in de kloostergang van het Catharijne convent te Utrecht C L Temminck Groll 90-91 ill 1957")</f>
        <v>0</v>
      </c>
      <c r="D2482" s="1">
        <f>hyperlink("http://dspace.library.uu.nl/handle/1874/238061","Gewelfbeschildering in de kloostergang van het Catharijneconvent te Utrecht C L Temminck Groll 90-91 1957")</f>
        <v>0</v>
      </c>
    </row>
    <row r="2483" spans="2:4">
      <c r="B2483">
        <v>100</v>
      </c>
      <c r="C2483" s="1">
        <f>hyperlink("https://hetutrechtsarchief.nl/collectie/293E101394745D7E9546AE7B0D61A77D","Hoe de veeartsenijschool tot stand kwam J H ten Thije 49-50 1957")</f>
        <v>0</v>
      </c>
      <c r="D2483" s="1">
        <f>hyperlink("http://dspace.library.uu.nl/handle/1874/238062","Hoe de veeartsenijschool tot stand kwam J H ten Thije 49-50 1957")</f>
        <v>0</v>
      </c>
    </row>
    <row r="2484" spans="2:4">
      <c r="B2484">
        <v>53</v>
      </c>
      <c r="C2484" s="1">
        <f>hyperlink("https://hetutrechtsarchief.nl/collectie/9DD0DEF1C9005797B6204C718F5908A4","Aelt met de ijzeren hand - K 32 1946")</f>
        <v>0</v>
      </c>
      <c r="D2484" s="1">
        <f>hyperlink("http://dspace.library.uu.nl/handle/1874/238063","Adam Elsheimer en Hendrik Goudt 1945")</f>
        <v>0</v>
      </c>
    </row>
    <row r="2485" spans="2:4">
      <c r="B2485">
        <v>100</v>
      </c>
      <c r="C2485" s="1">
        <f>hyperlink("https://hetutrechtsarchief.nl/collectie/675EC1537ABD52E8850E21EDE48424A7","De molen van de polder Broek onder IJsselstein in 1589 gebouwd naar de inventie van Symon Stevyn door Jan de Groot te Delft wesende complys ofte vennit van voorz Stevyn W F J den Uyl 137-140 1960")</f>
        <v>0</v>
      </c>
      <c r="D2485" s="1">
        <f>hyperlink("http://dspace.library.uu.nl/handle/1874/238064","De molen van de polder Broek onder IJsselstein in 1589 gebouwd naar de inventie van Symon Stevyn door Jan de Groot te Delft wesende complys ofte vennit van voorz Stevyn W F J den Uyl 137-140 1960")</f>
        <v>0</v>
      </c>
    </row>
    <row r="2486" spans="2:4">
      <c r="B2486">
        <v>58</v>
      </c>
      <c r="C2486" s="1">
        <f>hyperlink("https://hetutrechtsarchief.nl/collectie/740BE6247B595E31B83C916C01205C2C","Hulpgoederen voor Veenendaal 81-83 2000")</f>
        <v>0</v>
      </c>
      <c r="D2486" s="1">
        <f>hyperlink("http://dspace.library.uu.nl/handle/1874/238065","Het Lampegietersfeest in Veenendaal 1953")</f>
        <v>0</v>
      </c>
    </row>
    <row r="2487" spans="2:4">
      <c r="B2487">
        <v>78</v>
      </c>
      <c r="C2487" s="1">
        <f>hyperlink("https://hetutrechtsarchief.nl/collectie/262B6DE98B39527A827248CEF91DB1F6","Het huis Clarenburch te Utrecht A J van de Ven 32-61 ill 1952")</f>
        <v>0</v>
      </c>
      <c r="D2487" s="1">
        <f>hyperlink("http://dspace.library.uu.nl/handle/1874/238066","Het huis Clarenburch te Utrecht A J van de Ven 32-65 Maandblad van Oud-Utrecht 1952-1953")</f>
        <v>0</v>
      </c>
    </row>
    <row r="2488" spans="2:4">
      <c r="B2488">
        <v>97</v>
      </c>
      <c r="C2488" s="1">
        <f>hyperlink("https://hetutrechtsarchief.nl/collectie/C74EA31D6C6454C2823635F849D224A4","De aanstelling van notarissen in de provincie Utrecht ten tijde der republiek A J van de Ven 10-12 1949")</f>
        <v>0</v>
      </c>
      <c r="D2488" s="1">
        <f>hyperlink("http://dspace.library.uu.nl/handle/1874/238067","De aanstelling van notarissen in de provincie Utrecht ten tijde der Republiek A J van de Ven 1949")</f>
        <v>0</v>
      </c>
    </row>
    <row r="2489" spans="2:4">
      <c r="B2489">
        <v>80</v>
      </c>
      <c r="C2489" s="1">
        <f>hyperlink("https://hetutrechtsarchief.nl/collectie/671EF49FCB395BB3BFB894EAC8FE0EB5","Ram van Schalkwijk - v d V 89-92")</f>
        <v>0</v>
      </c>
      <c r="D2489" s="1">
        <f>hyperlink("http://dspace.library.uu.nl/handle/1874/238068","Ram van Schalkwijk A J van de Ven 1953")</f>
        <v>0</v>
      </c>
    </row>
    <row r="2490" spans="2:4">
      <c r="B2490">
        <v>93</v>
      </c>
      <c r="C2490" s="1">
        <f>hyperlink("https://hetutrechtsarchief.nl/collectie/4A01FA30155C525792BBA641D38C0384","Een weefinrichting te Utrecht in 1780 A J van de Ven 1-5 9-11 1942")</f>
        <v>0</v>
      </c>
      <c r="D2490" s="1">
        <f>hyperlink("http://dspace.library.uu.nl/handle/1874/238069","Een weefinrichting te Utrecht in 1780 A J van de Ven 1942")</f>
        <v>0</v>
      </c>
    </row>
    <row r="2491" spans="2:4">
      <c r="B2491">
        <v>88</v>
      </c>
      <c r="C2491" s="1">
        <f>hyperlink("https://hetutrechtsarchief.nl/collectie/0DD3A013481C503AB3D979D5504B3F4E","De naam Van den Vondel - v d V 79 1951")</f>
        <v>0</v>
      </c>
      <c r="D2491" s="1">
        <f>hyperlink("http://dspace.library.uu.nl/handle/1874/238070","De naam Van den Vondel A J van de Ven 1951")</f>
        <v>0</v>
      </c>
    </row>
    <row r="2492" spans="2:4">
      <c r="B2492">
        <v>92</v>
      </c>
      <c r="C2492" s="1">
        <f>hyperlink("https://hetutrechtsarchief.nl/collectie/8C7E5E9F4F2C58F895F856DE9EE0E74E","Oud-Utrecht als provinciale vereeniging A J van de Ven 11-12 1950")</f>
        <v>0</v>
      </c>
      <c r="D2492" s="1">
        <f>hyperlink("http://dspace.library.uu.nl/handle/1874/238071","Oud-Utrecht als provinciale vereeniging A J van de Ven 1949")</f>
        <v>0</v>
      </c>
    </row>
    <row r="2493" spans="2:4">
      <c r="B2493">
        <v>91</v>
      </c>
      <c r="C2493" s="1">
        <f>hyperlink("https://hetutrechtsarchief.nl/collectie/7FD8DB24A46855B69376E3EEA0F71283","De Provinciale Utrechtsche Monumenten-Commissie 1905-1946 - v d V 33-39 1950")</f>
        <v>0</v>
      </c>
      <c r="D2493" s="1">
        <f>hyperlink("http://dspace.library.uu.nl/handle/1874/238072","De provinciale Utrechtsche Monumentencommissie 1905-1946 A J van de Ven 1950")</f>
        <v>0</v>
      </c>
    </row>
    <row r="2494" spans="2:4">
      <c r="B2494">
        <v>95</v>
      </c>
      <c r="C2494" s="1">
        <f>hyperlink("https://hetutrechtsarchief.nl/collectie/27DB56AD75BB52E1B28D510E863FAD35","Iets over de opgravingen in de v m Wijk C J Vink 9-13 1947")</f>
        <v>0</v>
      </c>
      <c r="D2494" s="1">
        <f>hyperlink("http://dspace.library.uu.nl/handle/1874/238073","Iets over de opgravingen in de v m Wijk C J Vink 1947")</f>
        <v>0</v>
      </c>
    </row>
    <row r="2495" spans="2:4">
      <c r="B2495">
        <v>91</v>
      </c>
      <c r="C2495" s="1">
        <f>hyperlink("https://hetutrechtsarchief.nl/collectie/120A561472115986BFAC605561C44879","Opschriften te Utrecht J de Vries 98-99")</f>
        <v>0</v>
      </c>
      <c r="D2495" s="1">
        <f>hyperlink("http://dspace.library.uu.nl/handle/1874/238074","Opschriften te Utrecht J de Vries 1953")</f>
        <v>0</v>
      </c>
    </row>
    <row r="2496" spans="2:4">
      <c r="B2496">
        <v>83</v>
      </c>
      <c r="C2496" s="1">
        <f>hyperlink("https://hetutrechtsarchief.nl/collectie/70F575CBCECC5A8CBF65E960C0F49DB3","Hendrik van Arnhem J M Westerhout 6 1949")</f>
        <v>0</v>
      </c>
      <c r="D2496" s="1">
        <f>hyperlink("http://dspace.library.uu.nl/handle/1874/238075","Hendrik van Arnhem F Westerhout J M Ketner 1949")</f>
        <v>0</v>
      </c>
    </row>
    <row r="2497" spans="2:4">
      <c r="B2497">
        <v>94</v>
      </c>
      <c r="C2497" s="1">
        <f>hyperlink("https://hetutrechtsarchief.nl/collectie/C0C503E326E7572881F648CF3787A846","Uit de oude gildekisten van Rhenen W Zanen 52-56 1948")</f>
        <v>0</v>
      </c>
      <c r="D2497" s="1">
        <f>hyperlink("http://dspace.library.uu.nl/handle/1874/238076","Uit de oude gildekisten van Rhenen W Zanen 1948")</f>
        <v>0</v>
      </c>
    </row>
    <row r="2498" spans="2:4">
      <c r="B2498">
        <v>96</v>
      </c>
      <c r="C2498" s="1">
        <f>hyperlink("https://hetutrechtsarchief.nl/collectie/70582CAFAC875EF5BBF01542C024455D","De zijl van St Marie en vragen daaromheen W L van Nieuwenhuysen 60-62 1951")</f>
        <v>0</v>
      </c>
      <c r="D2498" s="1">
        <f>hyperlink("http://dspace.library.uu.nl/handle/1874/238077","De Zijl van St Marie en vragen daaromheen W L van Nieuwenhuysen 1951")</f>
        <v>0</v>
      </c>
    </row>
    <row r="2499" spans="2:4">
      <c r="B2499">
        <v>97</v>
      </c>
      <c r="C2499" s="1">
        <f>hyperlink("https://hetutrechtsarchief.nl/collectie/C362A3E99288512BB4B31D4442FFC83E","Het Collegium Musicum Ultrajectinum in de laatste honderd jaar J du Saar 74-132 ill 1941")</f>
        <v>0</v>
      </c>
      <c r="D2499" s="1">
        <f>hyperlink("http://dspace.library.uu.nl/handle/1874/238078","Het Collegium Musicum Ultrajectinum in de laatste honderd jaar J du Saar 74-132 1945")</f>
        <v>0</v>
      </c>
    </row>
    <row r="2500" spans="2:4">
      <c r="B2500">
        <v>67</v>
      </c>
      <c r="C2500" s="1">
        <f>hyperlink("https://hetutrechtsarchief.nl/collectie/298DE4A8FAB756C1A9914F273133C748","Oudegein 15-16 1949")</f>
        <v>0</v>
      </c>
      <c r="D2500" s="1">
        <f>hyperlink("http://dspace.library.uu.nl/handle/1874/238079","Oudegein van Staveren 1949")</f>
        <v>0</v>
      </c>
    </row>
    <row r="2501" spans="2:4">
      <c r="B2501">
        <v>100</v>
      </c>
      <c r="C2501" s="1">
        <f>hyperlink("https://hetutrechtsarchief.nl/collectie/E426407069AB5154BE0DEBA2178DB37C","Oproerige beweging te Benschop in 1809 en de bevrijding van de Franse overheersing in 1813 W F J den Uyl 117-120 1959")</f>
        <v>0</v>
      </c>
      <c r="D2501" s="1">
        <f>hyperlink("http://dspace.library.uu.nl/handle/1874/238080","Oproerige beweging te Benschop in 1809 en de bevrijding van de Franse overheersing in 1813 W F J den Uyl 117-120 1959")</f>
        <v>0</v>
      </c>
    </row>
    <row r="2502" spans="2:4">
      <c r="B2502">
        <v>85</v>
      </c>
      <c r="C2502" s="1">
        <f>hyperlink("https://hetutrechtsarchief.nl/collectie/26302B36EEA55A758C692545BE3D6B80","De kardinaal de Bouillon - v d V 14-16 1951")</f>
        <v>0</v>
      </c>
      <c r="D2502" s="1">
        <f>hyperlink("http://dspace.library.uu.nl/handle/1874/238081","De kardinaal De Bouillon A J van de Ven 1951")</f>
        <v>0</v>
      </c>
    </row>
    <row r="2503" spans="2:4">
      <c r="B2503">
        <v>100</v>
      </c>
      <c r="C2503" s="1">
        <f>hyperlink("https://hetutrechtsarchief.nl/collectie/D4DA0F77423E555DA80F64B01E9E49B5","Door het soevereine volk gekozen lokale bestuurders in Holland en Utrecht 1795-1798 R E de Bruin 22-36 2000")</f>
        <v>0</v>
      </c>
      <c r="D2503" s="1">
        <f>hyperlink("http://dspace.library.uu.nl/handle/1874/238090","Door het soevereine volk gekozen lokale bestuurders in Holland en Utrecht 1795-1798 R E de Bruin 22-36 2000")</f>
        <v>0</v>
      </c>
    </row>
    <row r="2504" spans="2:4">
      <c r="B2504">
        <v>87</v>
      </c>
      <c r="C2504" s="1">
        <f>hyperlink("https://hetutrechtsarchief.nl/collectie/C0D9EBEE20FE55D08404853E560FF5C6","De Utrechtsche beeldhouwer Adriaen van Wesel 1420- na 1489 56-60 1949")</f>
        <v>0</v>
      </c>
      <c r="D2504" s="1">
        <f>hyperlink("http://dspace.library.uu.nl/handle/1874/238095","De Utrechtsche beeldhouwer Adriaen van Wesel ca 1420- na 1489 P T A Swillens 1949")</f>
        <v>0</v>
      </c>
    </row>
    <row r="2505" spans="2:4">
      <c r="B2505">
        <v>100</v>
      </c>
      <c r="C2505" s="1">
        <f>hyperlink("https://hetutrechtsarchief.nl/collectie/51A1AF049E775965BED8020B2834B89A","Frederik en Elisabeth van de Palts in Rhenen Aleid van de Bunt 51-52 1959")</f>
        <v>0</v>
      </c>
      <c r="D2505" s="1">
        <f>hyperlink("http://dspace.library.uu.nl/handle/1874/238096","Frederik en Elisabeth van de Palts in Rhenen Aleid van de Bunt 51-52 1959")</f>
        <v>0</v>
      </c>
    </row>
    <row r="2506" spans="2:4">
      <c r="B2506">
        <v>100</v>
      </c>
      <c r="C2506" s="1">
        <f>hyperlink("https://hetutrechtsarchief.nl/collectie/944BC20F56485F18AFCD0E771FD5E8D6","Jan Tolhuis klokken- en geschutgieter en de klokken van Rhenen Aleid van de Bunt 77-81 1961")</f>
        <v>0</v>
      </c>
      <c r="D2506" s="1">
        <f>hyperlink("http://dspace.library.uu.nl/handle/1874/238097","Jan Tolhuis klokken- en geschutgieter en de klokken van Rhenen Aleid van de Bunt 77-81 1961")</f>
        <v>0</v>
      </c>
    </row>
    <row r="2507" spans="2:4">
      <c r="B2507">
        <v>100</v>
      </c>
      <c r="C2507" s="1">
        <f>hyperlink("https://hetutrechtsarchief.nl/collectie/83456562A3EF5DCF9D7F196900D2E977","De overrompeling van Rhenen in 1527 kastelentocht D Philips 16-21 1958")</f>
        <v>0</v>
      </c>
      <c r="D2507" s="1">
        <f>hyperlink("http://dspace.library.uu.nl/handle/1874/238098","De overrompeling van Rhenen in 1527 kastelentocht D Philips 16-21 1958")</f>
        <v>0</v>
      </c>
    </row>
    <row r="2508" spans="2:4">
      <c r="B2508">
        <v>98</v>
      </c>
      <c r="C2508" s="1">
        <f>hyperlink("https://hetutrechtsarchief.nl/collectie/37AFD6A7A8D8572B9BBE1055F6F29F86","Het Liber Secretorum van het kapittel ter Horst bij Rhenen D Philips 33-39 ill 1958")</f>
        <v>0</v>
      </c>
      <c r="D2508" s="1">
        <f>hyperlink("http://dspace.library.uu.nl/handle/1874/238099","Het Liber Secretorum van het kapittel ter Horst bij Rhenen D Philips 33-39 1958")</f>
        <v>0</v>
      </c>
    </row>
    <row r="2509" spans="2:4">
      <c r="B2509">
        <v>100</v>
      </c>
      <c r="C2509" s="1">
        <f>hyperlink("https://hetutrechtsarchief.nl/collectie/F905422B93535F0DA37630C38EAF3A4F","Papegaaischieten te Rhenen D Philips 108-109 1961")</f>
        <v>0</v>
      </c>
      <c r="D2509" s="1">
        <f>hyperlink("http://dspace.library.uu.nl/handle/1874/238100","Papegaaischieten te Rhenen D Philips 108-109 1961")</f>
        <v>0</v>
      </c>
    </row>
    <row r="2510" spans="2:4">
      <c r="B2510">
        <v>64</v>
      </c>
      <c r="C2510" s="1">
        <f>hyperlink("https://hetutrechtsarchief.nl/collectie/2C91A5CF5FF456EC9E0BFE46C7AA121E","Ichnaton openluchtspel ter viering van het 58ste Lustrum der Utrechtsche Hoogeschool 312-329 ill 1927")</f>
        <v>0</v>
      </c>
      <c r="D2510" s="1">
        <f>hyperlink("http://dspace.library.uu.nl/handle/1874/238101","Het beleg van Utrecht in 1345 historische toelichting ter gelegenheid van het 55ste lustrum der Utrechtsche Hoogeschool 1911")</f>
        <v>0</v>
      </c>
    </row>
    <row r="2511" spans="2:4">
      <c r="B2511">
        <v>89</v>
      </c>
      <c r="C2511" s="1">
        <f>hyperlink("https://hetutrechtsarchief.nl/collectie/8A49494287825BA3A1CA81A39BB1E3FA","Hoogeland en Wilhelminapark - K 57-59 1938")</f>
        <v>0</v>
      </c>
      <c r="D2511" s="1">
        <f>hyperlink("http://dspace.library.uu.nl/handle/1874/238102","Hoogeland en Wilhelminapark K 1938")</f>
        <v>0</v>
      </c>
    </row>
    <row r="2512" spans="2:4">
      <c r="B2512">
        <v>78</v>
      </c>
      <c r="C2512" s="1">
        <f>hyperlink("https://hetutrechtsarchief.nl/collectie/691B4C5BDBA956C1B2F6B285E06DC0B1","Wijk C - X 76-77 1939")</f>
        <v>0</v>
      </c>
      <c r="D2512" s="1">
        <f>hyperlink("http://dspace.library.uu.nl/handle/1874/238103","Wijk C K X 1939")</f>
        <v>0</v>
      </c>
    </row>
    <row r="2513" spans="2:4">
      <c r="B2513">
        <v>86</v>
      </c>
      <c r="C2513" s="1">
        <f>hyperlink("https://hetutrechtsarchief.nl/collectie/BFD35F1DCE49558B8F8D57D30624FD4C","Waar speelden wij zestig jaren geleden door A J S v L 47-48 1948")</f>
        <v>0</v>
      </c>
      <c r="D2513" s="1">
        <f>hyperlink("http://dspace.library.uu.nl/handle/1874/238104","Waar speelden wij zestig jaar geleden A J S van L 1948")</f>
        <v>0</v>
      </c>
    </row>
    <row r="2514" spans="2:4">
      <c r="B2514">
        <v>93</v>
      </c>
      <c r="C2514" s="1">
        <f>hyperlink("https://hetutrechtsarchief.nl/collectie/49D00ED774B45768BBE7326C824D5829","Leidseveer eigendom van de gemeente 42-44 1949")</f>
        <v>0</v>
      </c>
      <c r="D2514" s="1">
        <f>hyperlink("http://dspace.library.uu.nl/handle/1874/238105","Leidseveer eigendom van de gemeente 1949")</f>
        <v>0</v>
      </c>
    </row>
    <row r="2515" spans="2:4">
      <c r="B2515">
        <v>100</v>
      </c>
      <c r="C2515" s="1">
        <f>hyperlink("https://hetutrechtsarchief.nl/collectie/7DAA0360650555B597A741B263226042","Het plan Zocher H W M van der Wyck 65-68 1959")</f>
        <v>0</v>
      </c>
      <c r="D2515" s="1">
        <f>hyperlink("http://dspace.library.uu.nl/handle/1874/238106","Het plan-Zocher H W M van der Wyck 65-68 1959")</f>
        <v>0</v>
      </c>
    </row>
    <row r="2516" spans="2:4">
      <c r="B2516">
        <v>94</v>
      </c>
      <c r="C2516" s="1">
        <f>hyperlink("https://hetutrechtsarchief.nl/collectie/5E1275E6C2365D80A296BD3781E9787E","De Nederlandsche maatschappij voor spoorwegmaterieel fabriek Damlust J D M Bardet 90-94 plgr 1956")</f>
        <v>0</v>
      </c>
      <c r="D2516" s="1">
        <f>hyperlink("http://dspace.library.uu.nl/handle/1874/238107","De Nederlandsche Maatschappij voor spoorwegmaterieel Fabriek Damlust J D M Bardet 1956")</f>
        <v>0</v>
      </c>
    </row>
    <row r="2517" spans="2:4">
      <c r="B2517">
        <v>59</v>
      </c>
      <c r="C2517" s="1">
        <f>hyperlink("https://hetutrechtsarchief.nl/collectie/CDF429585AF15B53BB4CCF457D47B05A","Utrechtsche beelden J Slagter 120 1915")</f>
        <v>0</v>
      </c>
      <c r="D2517" s="1">
        <f>hyperlink("http://dspace.library.uu.nl/handle/1874/238108","Utrechts oude gasfabriek 99-100 1959")</f>
        <v>0</v>
      </c>
    </row>
    <row r="2518" spans="2:4">
      <c r="B2518">
        <v>92</v>
      </c>
      <c r="C2518" s="1">
        <f>hyperlink("https://hetutrechtsarchief.nl/collectie/84101F53D9C65D5298B4F4C7585437B8","Uit de bouwgeschiedenis der Silo-kerk - de J 10-14 ill 1958")</f>
        <v>0</v>
      </c>
      <c r="D2518" s="1">
        <f>hyperlink("http://dspace.library.uu.nl/handle/1874/238109","Uit de bouwgeschiedenis der Silo-kerk H de Jong 10-14 1958")</f>
        <v>0</v>
      </c>
    </row>
    <row r="2519" spans="2:4">
      <c r="B2519">
        <v>53</v>
      </c>
      <c r="C2519" s="1">
        <f>hyperlink("https://hetutrechtsarchief.nl/collectie/262D2A106F4553178DF290641986D1EE","De kunst van het overleven 3 Ellen Drees 29-35 2003")</f>
        <v>0</v>
      </c>
      <c r="D2519" s="1">
        <f>hyperlink("http://dspace.library.uu.nl/handle/1874/238110","Vijf jaar drukkunst in het verborgene Jan Hendriks 1945")</f>
        <v>0</v>
      </c>
    </row>
    <row r="2520" spans="2:4">
      <c r="B2520">
        <v>97</v>
      </c>
      <c r="C2520" s="1">
        <f>hyperlink("https://hetutrechtsarchief.nl/collectie/D3BF574B810458779A9DDCCD36AD3CD3","Herinneringen aan Utrecht in 1900 C Catharina van de Graft 109-112 ill 1962")</f>
        <v>0</v>
      </c>
      <c r="D2520" s="1">
        <f>hyperlink("http://dspace.library.uu.nl/handle/1874/238111","Herinneringen aan Utrecht in 1900 C Catharina van de Graft 109-112 1962")</f>
        <v>0</v>
      </c>
    </row>
    <row r="2521" spans="2:4">
      <c r="B2521">
        <v>100</v>
      </c>
      <c r="C2521" s="1">
        <f>hyperlink("https://hetutrechtsarchief.nl/collectie/02AE059BD46656C6A9AB030A4AC5081A","De oostgrens van het Gooi de geschiedenis van de verschillende grensvakken Jaap Groeneveld 115-131 2006")</f>
        <v>0</v>
      </c>
      <c r="D2521" s="1">
        <f>hyperlink("http://dspace.library.uu.nl/handle/1874/238112","De oostgrens van het Gooi de geschiedenis van de verschillende grensvakken Jaap Groeneveld 115-131 2006")</f>
        <v>0</v>
      </c>
    </row>
    <row r="2522" spans="2:4">
      <c r="B2522">
        <v>58</v>
      </c>
      <c r="C2522" s="1">
        <f>hyperlink("https://hetutrechtsarchief.nl/collectie/816A501D1C7A5CAFB6FD69790C6D152E","Prostitutie in Utrecht in de 19e eeuw I Hans Sterk 17-19 1984")</f>
        <v>0</v>
      </c>
      <c r="D2522" s="1">
        <f>hyperlink("http://dspace.library.uu.nl/handle/1874/238113","Vis op het droge visstillevens in Holland en Utrecht in de 17de eeuw Bonny Van Sighem 177 -186 2006")</f>
        <v>0</v>
      </c>
    </row>
    <row r="2523" spans="2:4">
      <c r="B2523">
        <v>87</v>
      </c>
      <c r="C2523" s="1">
        <f>hyperlink("https://hetutrechtsarchief.nl/collectie/9178F8A09B015382A6941DD17C61E947","Huis en heerlijkheid Stoutenburg I-III S W Melchior 52-54 57-60 69-71 1958")</f>
        <v>0</v>
      </c>
      <c r="D2523" s="1">
        <f>hyperlink("http://dspace.library.uu.nl/handle/1874/238114","Huis en heerlijkheid Stoutenburg S W Melchior 52-54 nr 6 p 57-60 nr 7 p 69-71 1958")</f>
        <v>0</v>
      </c>
    </row>
    <row r="2524" spans="2:4">
      <c r="B2524">
        <v>100</v>
      </c>
      <c r="C2524" s="1">
        <f>hyperlink("https://hetutrechtsarchief.nl/collectie/FE687DD7028A526AB12A812585549B3C","Nadere vondst van de romeinse bewoning in Houten A B Haefkens 1 1958")</f>
        <v>0</v>
      </c>
      <c r="D2524" s="1">
        <f>hyperlink("http://dspace.library.uu.nl/handle/1874/238115","Nadere vondst van de Romeinse bewoning in Houten A B Haefkens 1 1958")</f>
        <v>0</v>
      </c>
    </row>
    <row r="2525" spans="2:4">
      <c r="B2525">
        <v>68</v>
      </c>
      <c r="C2525" s="1">
        <f>hyperlink("https://hetutrechtsarchief.nl/collectie/1F6769BB158E59378D3EB03F42A46195","Restauraties in Utrecht C L Temminck Groll 2-6 14-16 40 51 63-66 71 101-105 115-119 121-122 ill 1958")</f>
        <v>0</v>
      </c>
      <c r="D2525" s="1">
        <f>hyperlink("http://dspace.library.uu.nl/handle/1874/238116","Restauraties in Utrecht C L Temminck Groll 124-125 jg 31 1958 nr 1 p 2-6 nr 2 p 14-16 nr 5 p 51-52 nr 7 p 71 1957-1958")</f>
        <v>0</v>
      </c>
    </row>
    <row r="2526" spans="2:4">
      <c r="B2526">
        <v>94</v>
      </c>
      <c r="C2526" s="1">
        <f>hyperlink("https://hetutrechtsarchief.nl/collectie/BAF8CBAF5A6E5300B87BDEF80A6E19FC","Een middeleeuws huis te Utrecht C L Temminck Groll 25-29 ill tek 1958")</f>
        <v>0</v>
      </c>
      <c r="D2526" s="1">
        <f>hyperlink("http://dspace.library.uu.nl/handle/1874/238117","Een middeleeuws huis te Utrecht C L Temminck Groll 25-29 1958")</f>
        <v>0</v>
      </c>
    </row>
    <row r="2527" spans="2:4">
      <c r="B2527">
        <v>54</v>
      </c>
      <c r="C2527" s="1">
        <f>hyperlink("https://hetutrechtsarchief.nl/collectie/B0AFBD2C857A5F63A6D2131A9855932B","Restauraties en vondsten te Utrecht C L Temminck Groll 16-20 32-34 46-47 52-55 74 111-114 132-134 145-147 ill plgr tek 1959")</f>
        <v>0</v>
      </c>
      <c r="D2527" s="1">
        <f>hyperlink("http://dspace.library.uu.nl/handle/1874/238118","Restauraties en vondsten te Utrecht C L Temminck Groll 40-41 nr 6 p 63-66 jg 32 1959 nr 2 p 16 -20 nr 6 p 74-75 nr 11 p 132-134 nr 12 p 145-147 jg 33 1960 nr 2 p 13-18 nr 5 p 54-58 nr 6 p 77-80 nr 7 p 89-90 nr 12 p 149-151 jg 34 1961 nr 3 p 42-44 1958-1961")</f>
        <v>0</v>
      </c>
    </row>
    <row r="2528" spans="2:4">
      <c r="B2528">
        <v>100</v>
      </c>
      <c r="C2528" s="1">
        <f>hyperlink("https://hetutrechtsarchief.nl/collectie/296994BB5B0C54039F2EED5FA76355A4","Het kerkorgel te Benschop E van Oosterom 41-42 1958")</f>
        <v>0</v>
      </c>
      <c r="D2528" s="1">
        <f>hyperlink("http://dspace.library.uu.nl/handle/1874/238119","Het kerkorgel te Benschop E van Oosterom 41-42 1958")</f>
        <v>0</v>
      </c>
    </row>
    <row r="2529" spans="2:4">
      <c r="B2529">
        <v>58</v>
      </c>
      <c r="C2529" s="1">
        <f>hyperlink("https://hetutrechtsarchief.nl/collectie/88745DBFCD4BE731E0534701000AB773","De Gelderpolder Kees Floor 16-19 2018")</f>
        <v>0</v>
      </c>
      <c r="D2529" s="1">
        <f>hyperlink("http://dspace.library.uu.nl/handle/1874/238120","De Geldersche bloem K 50-51 1958")</f>
        <v>0</v>
      </c>
    </row>
    <row r="2530" spans="2:4">
      <c r="B2530">
        <v>75</v>
      </c>
      <c r="C2530" s="1">
        <f>hyperlink("https://hetutrechtsarchief.nl/collectie/E8797A470DBB5F2F99F58144035214BA","Restauraties in Utrecht C L Temminck Groll 124-125 1957")</f>
        <v>0</v>
      </c>
      <c r="D2530" s="1">
        <f>hyperlink("http://dspace.library.uu.nl/handle/1874/238121","Monumentenzorg in Utrecht C L Temminck Groll 61-62 1958")</f>
        <v>0</v>
      </c>
    </row>
    <row r="2531" spans="2:4">
      <c r="B2531">
        <v>100</v>
      </c>
      <c r="C2531" s="1">
        <f>hyperlink("https://hetutrechtsarchief.nl/collectie/4B7CDC45FE25581CB9892341908732AA","Suster Bertkens doopceel C C van de Graft 66-67 1958")</f>
        <v>0</v>
      </c>
      <c r="D2531" s="1">
        <f>hyperlink("http://dspace.library.uu.nl/handle/1874/238122","Suster Bertkens doopceel C C van de Graft 66-67 1958")</f>
        <v>0</v>
      </c>
    </row>
    <row r="2532" spans="2:4">
      <c r="B2532">
        <v>87</v>
      </c>
      <c r="C2532" s="1">
        <f>hyperlink("https://hetutrechtsarchief.nl/collectie/73642E18F1E657D8ACDF4B1CD5F2AB6D","Bezoek aan Nimmerdor in 1875 S W Melchior 77-79 98-100 113-115 1958")</f>
        <v>0</v>
      </c>
      <c r="D2532" s="1">
        <f>hyperlink("http://dspace.library.uu.nl/handle/1874/238123","Bezoek aan Nimmerdor in 1875 S W Melchior 77-79 1958")</f>
        <v>0</v>
      </c>
    </row>
    <row r="2533" spans="2:4">
      <c r="B2533">
        <v>100</v>
      </c>
      <c r="C2533" s="1">
        <f>hyperlink("https://hetutrechtsarchief.nl/collectie/99C83B0B72B35FD5BD2C6B609907558E","Everard van Hindersteyn en de door hem gestichte vicarie in de St Pieterskerk te Utrecht H Wagenvoort 86-90 1958")</f>
        <v>0</v>
      </c>
      <c r="D2533" s="1">
        <f>hyperlink("http://dspace.library.uu.nl/handle/1874/238124","Everard van Hindersteyn en de door hem gestichte vicarie in de St Pieterkerk te Utrecht H Wagenvoort 86-90 1958")</f>
        <v>0</v>
      </c>
    </row>
    <row r="2534" spans="2:4">
      <c r="B2534">
        <v>100</v>
      </c>
      <c r="C2534" s="1">
        <f>hyperlink("https://hetutrechtsarchief.nl/collectie/78DE88E512E15E24B2CA0F7EAA7BEBDC","Uit het verleden van Soest J van Galen 90-92 1958")</f>
        <v>0</v>
      </c>
      <c r="D2534" s="1">
        <f>hyperlink("http://dspace.library.uu.nl/handle/1874/238125","Uit het verleden van Soest J van Galen 90-92 1958")</f>
        <v>0</v>
      </c>
    </row>
    <row r="2535" spans="2:4">
      <c r="B2535">
        <v>97</v>
      </c>
      <c r="C2535" s="1">
        <f>hyperlink("https://hetutrechtsarchief.nl/collectie/439B74B1D99E582983F699B60613BEC5","Sauvegarde aan Veenendaal verleend door Prins Maurits en de Graaf van Leycester D Philips 93-97 1958")</f>
        <v>0</v>
      </c>
      <c r="D2535" s="1">
        <f>hyperlink("http://dspace.library.uu.nl/handle/1874/238126","Sauvegarde aan Veenendaal verleend door Prins Maurits en de graaf van Leicester 1585 D Philips 93-97 1958")</f>
        <v>0</v>
      </c>
    </row>
    <row r="2536" spans="2:4">
      <c r="B2536">
        <v>100</v>
      </c>
      <c r="C2536" s="1">
        <f>hyperlink("https://hetutrechtsarchief.nl/collectie/D0BBDC4867FD5EB1B4142A38FA1C0062","Het stuijversgeld van de Nederlandse Hervormde Kerk te Soest E Heupers 105-111 1958")</f>
        <v>0</v>
      </c>
      <c r="D2536" s="1">
        <f>hyperlink("http://dspace.library.uu.nl/handle/1874/238127","Het stuijversgeld van de Nederlandse Hervormde Kerk te Soest E Heupers 105-111 1958")</f>
        <v>0</v>
      </c>
    </row>
    <row r="2537" spans="2:4">
      <c r="B2537">
        <v>59</v>
      </c>
      <c r="C2537" s="1">
        <f>hyperlink("https://hetutrechtsarchief.nl/collectie/73642E18F1E657D8ACDF4B1CD5F2AB6D","Bezoek aan Nimmerdor in 1875 S W Melchior 77-79 98-100 113-115 1958")</f>
        <v>0</v>
      </c>
      <c r="D2537" s="1">
        <f>hyperlink("http://dspace.library.uu.nl/handle/1874/238128","Uit het manuscript van Ds J F Asma S W Melchior 98-100 nr 11 p 113-115 1958")</f>
        <v>0</v>
      </c>
    </row>
    <row r="2538" spans="2:4">
      <c r="B2538">
        <v>54</v>
      </c>
      <c r="C2538" s="1">
        <f>hyperlink("https://hetutrechtsarchief.nl/collectie/B9C67A999C295CB78BEB5E0E08A9C56A","Lazarus- of Lasenberg E Heupers 22-25 1961")</f>
        <v>0</v>
      </c>
      <c r="D2538" s="1">
        <f>hyperlink("http://dspace.library.uu.nl/handle/1874/238129","Kwaad volk E Heupers 1959")</f>
        <v>0</v>
      </c>
    </row>
    <row r="2539" spans="2:4">
      <c r="B2539">
        <v>93</v>
      </c>
      <c r="C2539" s="1">
        <f>hyperlink("https://hetutrechtsarchief.nl/collectie/C7BBB5979C935A54958B3EE92C70D884","Het huis Putruwiel C L Temminck Groll 126-132 ill tek 1960")</f>
        <v>0</v>
      </c>
      <c r="D2539" s="1">
        <f>hyperlink("http://dspace.library.uu.nl/handle/1874/238130","Het huis Putruwiel C L Temminck Groll 126-132 1960")</f>
        <v>0</v>
      </c>
    </row>
    <row r="2540" spans="2:4">
      <c r="B2540">
        <v>90</v>
      </c>
      <c r="C2540" s="1">
        <f>hyperlink("https://hetutrechtsarchief.nl/collectie/3F6F94A8FB18585E907CF7C3CC2F5A33","Zondagsviering te Veenendaal en elders in de zeventiende eeuw 24-32 49-50 1959")</f>
        <v>0</v>
      </c>
      <c r="D2540" s="1">
        <f>hyperlink("http://dspace.library.uu.nl/handle/1874/238131","Zondagsviering te Veenendaal en elders in de zeventiende eeuw D Philips 24-32 nr 4 p 49-50 1959")</f>
        <v>0</v>
      </c>
    </row>
    <row r="2541" spans="2:4">
      <c r="B2541">
        <v>92</v>
      </c>
      <c r="C2541" s="1">
        <f>hyperlink("https://hetutrechtsarchief.nl/collectie/7D8271AF7A565B6BBC05B82E61C442C2","Bulla super universas 12 mei 1559 A Graafhuis 38-49 krt 1959")</f>
        <v>0</v>
      </c>
      <c r="D2541" s="1">
        <f>hyperlink("http://dspace.library.uu.nl/handle/1874/238132","Bulla super universas 12 mei 1559 A Graafhuis 38-45 48-49 1959")</f>
        <v>0</v>
      </c>
    </row>
    <row r="2542" spans="2:4">
      <c r="B2542">
        <v>100</v>
      </c>
      <c r="C2542" s="1">
        <f>hyperlink("https://hetutrechtsarchief.nl/collectie/DEF8A303FF7756E8BDFB8587A178879D","Berlage en Feuchtinger P Singelenberg 59-65 1959")</f>
        <v>0</v>
      </c>
      <c r="D2542" s="1">
        <f>hyperlink("http://dspace.library.uu.nl/handle/1874/238133","Berlage en Feuchtinger P Singelenberg 59-65 1959")</f>
        <v>0</v>
      </c>
    </row>
    <row r="2543" spans="2:4">
      <c r="B2543">
        <v>95</v>
      </c>
      <c r="C2543" s="1">
        <f>hyperlink("https://hetutrechtsarchief.nl/collectie/4754B63302C757F3B158E582A3D38EAB","De winterstruycken E Heupers 76-77 ill 1959")</f>
        <v>0</v>
      </c>
      <c r="D2543" s="1">
        <f>hyperlink("http://dspace.library.uu.nl/handle/1874/238134","De Winterstruycken E Heupers 76-77 1959")</f>
        <v>0</v>
      </c>
    </row>
    <row r="2544" spans="2:4">
      <c r="B2544">
        <v>100</v>
      </c>
      <c r="C2544" s="1">
        <f>hyperlink("https://hetutrechtsarchief.nl/collectie/B3A5BE47E9095884BC1328BDC809FEC7","Oldenbarnevelts dood en de meiboom 1619-1959 D Philips 81-85 1959")</f>
        <v>0</v>
      </c>
      <c r="D2544" s="1">
        <f>hyperlink("http://dspace.library.uu.nl/handle/1874/238135","Oldenbarnevelts dood en de Meiboom 1619-1959 D Philips 81-85 1959")</f>
        <v>0</v>
      </c>
    </row>
    <row r="2545" spans="2:4">
      <c r="B2545">
        <v>100</v>
      </c>
      <c r="C2545" s="1">
        <f>hyperlink("https://hetutrechtsarchief.nl/collectie/51038AB3036C5862A0008E8896BA0F23","Het gieten van een klok tot Zoest in den jaere 1696 E Heupers 89-93 1959")</f>
        <v>0</v>
      </c>
      <c r="D2545" s="1">
        <f>hyperlink("http://dspace.library.uu.nl/handle/1874/238136","Het gieten van een klok tot Zoest in den jaere 1696 E Heupers 89-93 1959")</f>
        <v>0</v>
      </c>
    </row>
    <row r="2546" spans="2:4">
      <c r="B2546">
        <v>52</v>
      </c>
      <c r="C2546" s="1">
        <f>hyperlink("https://hetutrechtsarchief.nl/collectie/F0D04CE7437E57DBADF7D2D2C1D76CC2","Monumenten in De Bilt 86-87 2011")</f>
        <v>0</v>
      </c>
      <c r="D2546" s="1">
        <f>hyperlink("http://dspace.library.uu.nl/handle/1874/238137","Paardenmarkt en Palmzondag in De Bilt 98-99 1959")</f>
        <v>0</v>
      </c>
    </row>
    <row r="2547" spans="2:4">
      <c r="B2547">
        <v>96</v>
      </c>
      <c r="C2547" s="1">
        <f>hyperlink("https://hetutrechtsarchief.nl/collectie/BDA1FB91A6E7543288EAAA8966C28B90","Een huis en zijn bewoners S W Melchior 103-109 ill 1959")</f>
        <v>0</v>
      </c>
      <c r="D2547" s="1">
        <f>hyperlink("http://dspace.library.uu.nl/handle/1874/238138","Een huis en zijn bewoners S W Melchior 103-109 1959")</f>
        <v>0</v>
      </c>
    </row>
    <row r="2548" spans="2:4">
      <c r="B2548">
        <v>55</v>
      </c>
      <c r="C2548" s="1">
        <f>hyperlink("https://hetutrechtsarchief.nl/collectie/298DE4A8FAB756C1A9914F273133C748","Oudegein 15-16 1949")</f>
        <v>0</v>
      </c>
      <c r="D2548" s="1">
        <f>hyperlink("http://dspace.library.uu.nl/handle/1874/238139","Brandsteeg en Huis Brandaa 115-116 1959")</f>
        <v>0</v>
      </c>
    </row>
    <row r="2549" spans="2:4">
      <c r="B2549">
        <v>68</v>
      </c>
      <c r="C2549" s="1">
        <f>hyperlink("https://hetutrechtsarchief.nl/collectie/9967771E90BB5E7BB54ECFDA2CA7F4AD","De Rosi re van Utrecht J W C van Campen 135-140 1967")</f>
        <v>0</v>
      </c>
      <c r="D2549" s="1">
        <f>hyperlink("http://dspace.library.uu.nl/handle/1874/238140","Adriaanstraat J W C van Campen 124 1959")</f>
        <v>0</v>
      </c>
    </row>
    <row r="2550" spans="2:4">
      <c r="B2550">
        <v>98</v>
      </c>
      <c r="C2550" s="1">
        <f>hyperlink("https://hetutrechtsarchief.nl/collectie/9C023D59F26F52C1B1F579A588F4A111","Toen Utrecht residentie werd - E P 127 1959")</f>
        <v>0</v>
      </c>
      <c r="D2550" s="1">
        <f>hyperlink("http://dspace.library.uu.nl/handle/1874/238141","Toen Utrecht residentie werd E P 127 1959")</f>
        <v>0</v>
      </c>
    </row>
    <row r="2551" spans="2:4">
      <c r="B2551">
        <v>100</v>
      </c>
      <c r="C2551" s="1">
        <f>hyperlink("https://hetutrechtsarchief.nl/collectie/DE52CE1DBF6F5E8FA006E393F0C37DCD","Alarm in de Venen 1588 D Philips 128-132 1959")</f>
        <v>0</v>
      </c>
      <c r="D2551" s="1">
        <f>hyperlink("http://dspace.library.uu.nl/handle/1874/238142","Alarm in de venen 1588 D Philips 128-132 1959")</f>
        <v>0</v>
      </c>
    </row>
    <row r="2552" spans="2:4">
      <c r="B2552">
        <v>100</v>
      </c>
      <c r="C2552" s="1">
        <f>hyperlink("https://hetutrechtsarchief.nl/collectie/A6ADA426E41D5A3DA3D4A5E8C0C2ED5B","Hervormde kerk te Benschop gerestaureerd J G M Boon 134-135 1959")</f>
        <v>0</v>
      </c>
      <c r="D2552" s="1">
        <f>hyperlink("http://dspace.library.uu.nl/handle/1874/238143","Hervormde Kerk te Benschop gerestaureerd J G M Boon 134-135 1959")</f>
        <v>0</v>
      </c>
    </row>
    <row r="2553" spans="2:4">
      <c r="B2553">
        <v>70</v>
      </c>
      <c r="C2553" s="1">
        <f>hyperlink("https://hetutrechtsarchief.nl/collectie/F1BD64C3E9FE535984AF32FB4A802397","De provincie Utrecht in 1836 II 1-3 1960")</f>
        <v>0</v>
      </c>
      <c r="D2553" s="1">
        <f>hyperlink("http://dspace.library.uu.nl/handle/1874/238144","De provincie Utrecht in 1836 141-145 jg 33 1960 nr 1 p 1-3 1959-1960")</f>
        <v>0</v>
      </c>
    </row>
    <row r="2554" spans="2:4">
      <c r="B2554">
        <v>100</v>
      </c>
      <c r="C2554" s="1">
        <f>hyperlink("https://hetutrechtsarchief.nl/collectie/9EC56FF446A757C2BBD07D93D3448465","Het archief van het kasteel De Haar te Haarzuilens A J van de Ven 4-5 1960")</f>
        <v>0</v>
      </c>
      <c r="D2554" s="1">
        <f>hyperlink("http://dspace.library.uu.nl/handle/1874/238145","Het archief van het kasteel De Haar te Haarzuilens A J van de Ven 4-5 1960")</f>
        <v>0</v>
      </c>
    </row>
    <row r="2555" spans="2:4">
      <c r="B2555">
        <v>85</v>
      </c>
      <c r="C2555" s="1">
        <f>hyperlink("https://hetutrechtsarchief.nl/collectie/D3A3AC4BFD295E1FA3BC1E92801E2246","Een vergeten kroniekschrijver I en II D Philips 22-28 38-42 ill 1960")</f>
        <v>0</v>
      </c>
      <c r="D2555" s="1">
        <f>hyperlink("http://dspace.library.uu.nl/handle/1874/238146","Een vergeten kroniekschrijver D Philips 22-28 nr 4 p 38-42 1960")</f>
        <v>0</v>
      </c>
    </row>
    <row r="2556" spans="2:4">
      <c r="B2556">
        <v>56</v>
      </c>
      <c r="C2556" s="1">
        <f>hyperlink("https://hetutrechtsarchief.nl/collectie/91A2601BF14952109DA9681E58B98843","Vreeland in de Franse Tijd Bart Jagt 30-36 2013")</f>
        <v>0</v>
      </c>
      <c r="D2556" s="1">
        <f>hyperlink("http://dspace.library.uu.nl/handle/1874/238147","Schoolberichten uit de Franse tijd 32 1960")</f>
        <v>0</v>
      </c>
    </row>
    <row r="2557" spans="2:4">
      <c r="B2557">
        <v>96</v>
      </c>
      <c r="C2557" s="1">
        <f>hyperlink("https://hetutrechtsarchief.nl/collectie/1127AF3118715FDDA077F29EC5F77DB9","De Utrechtse palmpaas C C van de Graft 42-44 tek 1960")</f>
        <v>0</v>
      </c>
      <c r="D2557" s="1">
        <f>hyperlink("http://dspace.library.uu.nl/handle/1874/238148","De Utrechtse palmpaas C C van de Graft 42-44 1960")</f>
        <v>0</v>
      </c>
    </row>
    <row r="2558" spans="2:4">
      <c r="B2558">
        <v>91</v>
      </c>
      <c r="C2558" s="1">
        <f>hyperlink("https://hetutrechtsarchief.nl/collectie/439A1146F2EE5EA1AD5F3B7DF486A53C","Vierhonderd jaar St Aegten schutters- of Groot Gaesbeker Gilde van Soest I en II E Heupers 46-53 74-76 ill 1960")</f>
        <v>0</v>
      </c>
      <c r="D2558" s="1">
        <f>hyperlink("http://dspace.library.uu.nl/handle/1874/238149","Vierhonderd jaar St Aegten Schutters- of Groot Gaesbeeker gilde van Soest E Heupers 46-53 nr 6 p 74-76 1960")</f>
        <v>0</v>
      </c>
    </row>
    <row r="2559" spans="2:4">
      <c r="B2559">
        <v>98</v>
      </c>
      <c r="C2559" s="1">
        <f>hyperlink("https://hetutrechtsarchief.nl/collectie/27B0EEB5DD8C55FE93AA73D4F1A2AAA5","Enige aantekeningen over het verwijderen van de wapenborden uit de Utrechtse kerken in 1795 A Graafhuis 58-62 ill 1960")</f>
        <v>0</v>
      </c>
      <c r="D2559" s="1">
        <f>hyperlink("http://dspace.library.uu.nl/handle/1874/238150","Enige aantekeningen over het verwijderen van de wapenborden uit de Utrechtse kerken in 1795 A Graafhuis 58-62 1960")</f>
        <v>0</v>
      </c>
    </row>
    <row r="2560" spans="2:4">
      <c r="B2560">
        <v>84</v>
      </c>
      <c r="C2560" s="1">
        <f>hyperlink("https://hetutrechtsarchief.nl/collectie/94816A3DECEF5493B920991CC6C4D90A","Een uitzonderlijk lid van een bekend geslacht Aleid W van de Bunt 85-88 1960")</f>
        <v>0</v>
      </c>
      <c r="D2560" s="1">
        <f>hyperlink("http://dspace.library.uu.nl/handle/1874/238151","Een uitzonderlijk lid van een bekend geslacht Aleid W van de Bunt 85-88 jg 34 1961 nr 2 p 16-18 1960-1961")</f>
        <v>0</v>
      </c>
    </row>
    <row r="2561" spans="2:4">
      <c r="B2561">
        <v>100</v>
      </c>
      <c r="C2561" s="1">
        <f>hyperlink("https://hetutrechtsarchief.nl/collectie/B6FB1293D1ED5DD4B6557C1032DBA10C","Een kleyn steedge en een deftig dorp in 1672-1673 D Philips 94-97 1960")</f>
        <v>0</v>
      </c>
      <c r="D2561" s="1">
        <f>hyperlink("http://dspace.library.uu.nl/handle/1874/238152","Een kleyn steedge en een deftig dorp in 1672-1673 D Philips 94-97 1960")</f>
        <v>0</v>
      </c>
    </row>
    <row r="2562" spans="2:4">
      <c r="B2562">
        <v>64</v>
      </c>
      <c r="C2562" s="1">
        <f>hyperlink("https://hetutrechtsarchief.nl/collectie/1B768B27B3035E148F83E9CBE4055424","Utrechtse gevelstenen en -versieringen III-VI - de J 7-9 35-36 52-54 98 ill 1961")</f>
        <v>0</v>
      </c>
      <c r="D2562" s="1">
        <f>hyperlink("http://dspace.library.uu.nl/handle/1874/238153","Utrechtse gevelstenen en -versieringen H de Jong 108-110 nr 12 p 147-149 jg 34 1961 nr 1 p 7-9 nr 3 p 35-36 nr 5 p 52-54 nr 8 p 98 1960-1961")</f>
        <v>0</v>
      </c>
    </row>
    <row r="2563" spans="2:4">
      <c r="B2563">
        <v>69</v>
      </c>
      <c r="C2563" s="1">
        <f>hyperlink("https://hetutrechtsarchief.nl/collectie/9372297F90535C728B54E31D5D8F1D7A","De Domtoren L E Bosch 101-121 1865")</f>
        <v>0</v>
      </c>
      <c r="D2563" s="1">
        <f>hyperlink("http://dspace.library.uu.nl/handle/1874/238154","De courantier L E Bosch 122-124 1960")</f>
        <v>0</v>
      </c>
    </row>
    <row r="2564" spans="2:4">
      <c r="B2564">
        <v>98</v>
      </c>
      <c r="C2564" s="1">
        <f>hyperlink("https://hetutrechtsarchief.nl/collectie/683455220E465E32ABE115EC5594AE7F","Doktershonoraria in de 17e en de 18e eeuw - vdV 132-134 1960")</f>
        <v>0</v>
      </c>
      <c r="D2564" s="1">
        <f>hyperlink("http://dspace.library.uu.nl/handle/1874/238155","Doktershonoraria in de 17e en de 18e eeuw vdV 132-134 1960")</f>
        <v>0</v>
      </c>
    </row>
    <row r="2565" spans="2:4">
      <c r="B2565">
        <v>95</v>
      </c>
      <c r="C2565" s="1">
        <f>hyperlink("https://hetutrechtsarchief.nl/collectie/8BE0A62D32C459EBBDDA8F32A0919AB9","Tekeningen van Andries Schoemaker D Philips 140-142 ill 1960")</f>
        <v>0</v>
      </c>
      <c r="D2565" s="1">
        <f>hyperlink("http://dspace.library.uu.nl/handle/1874/238156","Tekeningen van Andries Schoemaker D Philips 140-143 1960")</f>
        <v>0</v>
      </c>
    </row>
    <row r="2566" spans="2:4">
      <c r="B2566">
        <v>87</v>
      </c>
      <c r="C2566" s="1">
        <f>hyperlink("https://hetutrechtsarchief.nl/collectie/0E20A9D121F1544F8F60BF9C63B939B1","Die rechte helfte - v C 151-153 1960")</f>
        <v>0</v>
      </c>
      <c r="D2566" s="1">
        <f>hyperlink("http://dspace.library.uu.nl/handle/1874/238157","Die rechte helfte J W C van Campen 151-153 1960")</f>
        <v>0</v>
      </c>
    </row>
    <row r="2567" spans="2:4">
      <c r="B2567">
        <v>92</v>
      </c>
      <c r="C2567" s="1">
        <f>hyperlink("https://hetutrechtsarchief.nl/collectie/D2713E9802975247828788C2BE55F4A0","D E Wentink 1867-1939 J H C van den Berg 9-10 1961")</f>
        <v>0</v>
      </c>
      <c r="D2567" s="1">
        <f>hyperlink("http://dspace.library.uu.nl/handle/1874/238158","D E Wentink 1867-1939 i e 1940 J H C van den Berg 9-10 1961")</f>
        <v>0</v>
      </c>
    </row>
    <row r="2568" spans="2:4">
      <c r="B2568">
        <v>97</v>
      </c>
      <c r="C2568" s="1">
        <f>hyperlink("https://hetutrechtsarchief.nl/collectie/758A5AC3E18A5B3E997C0DB9FEC56FB6","Twee Utrechtse penningen en een Utrechtse munt D Philips 13-16 ill 1961")</f>
        <v>0</v>
      </c>
      <c r="D2568" s="1">
        <f>hyperlink("http://dspace.library.uu.nl/handle/1874/238159","Twee Utrechtse penningen en een Utrechtse munt D Philips 13-16 1961")</f>
        <v>0</v>
      </c>
    </row>
    <row r="2569" spans="2:4">
      <c r="B2569">
        <v>100</v>
      </c>
      <c r="C2569" s="1">
        <f>hyperlink("https://hetutrechtsarchief.nl/collectie/B9C67A999C295CB78BEB5E0E08A9C56A","Lazarus- of Lasenberg E Heupers 22-25 1961")</f>
        <v>0</v>
      </c>
      <c r="D2569" s="1">
        <f>hyperlink("http://dspace.library.uu.nl/handle/1874/238160","Lazarus- of Lasenberg E Heupers 22-25 1961")</f>
        <v>0</v>
      </c>
    </row>
    <row r="2570" spans="2:4">
      <c r="B2570">
        <v>100</v>
      </c>
      <c r="C2570" s="1">
        <f>hyperlink("https://hetutrechtsarchief.nl/collectie/919AC2C3CFF553078705BA2618CF63AE","De gouden schat van de Korte Nieuwstraat A Graafhuis 31-35 1961")</f>
        <v>0</v>
      </c>
      <c r="D2570" s="1">
        <f>hyperlink("http://dspace.library.uu.nl/handle/1874/238161","De gouden schat van de Korte Nieuwstraat A Graafhuis 31-35 1961")</f>
        <v>0</v>
      </c>
    </row>
    <row r="2571" spans="2:4">
      <c r="B2571">
        <v>96</v>
      </c>
      <c r="C2571" s="1">
        <f>hyperlink("https://hetutrechtsarchief.nl/collectie/A37BBEABC4A85234B3509733BAC15414","De herberg De Drie Ringen te Soest E Heupers 38-42 ill 1961")</f>
        <v>0</v>
      </c>
      <c r="D2571" s="1">
        <f>hyperlink("http://dspace.library.uu.nl/handle/1874/238162","De herberg De Drie Ringen te Soest E Heupers 38-42 1961")</f>
        <v>0</v>
      </c>
    </row>
    <row r="2572" spans="2:4">
      <c r="B2572">
        <v>100</v>
      </c>
      <c r="C2572" s="1">
        <f>hyperlink("https://hetutrechtsarchief.nl/collectie/F2204AEC3A7051FFB6C8E85C6A7FBC58","Bellechier D Philips 49-51 1961")</f>
        <v>0</v>
      </c>
      <c r="D2572" s="1">
        <f>hyperlink("http://dspace.library.uu.nl/handle/1874/238163","Bellechier D Philips 49-51 1961")</f>
        <v>0</v>
      </c>
    </row>
    <row r="2573" spans="2:4">
      <c r="B2573">
        <v>100</v>
      </c>
      <c r="C2573" s="1">
        <f>hyperlink("https://hetutrechtsarchief.nl/collectie/7C34B020575D5968B3B3C1B5B0671EC3","Pierre Minuit A Graafhuis 51-52 1961")</f>
        <v>0</v>
      </c>
      <c r="D2573" s="1">
        <f>hyperlink("http://dspace.library.uu.nl/handle/1874/238164","Pierre Minuit A Graafhuis 51-52 1961")</f>
        <v>0</v>
      </c>
    </row>
    <row r="2574" spans="2:4">
      <c r="B2574">
        <v>98</v>
      </c>
      <c r="C2574" s="1">
        <f>hyperlink("https://hetutrechtsarchief.nl/collectie/4619AA99248A5A4FAB748AAA32E313BE","Namen in de buurt van de Johannapolder - C D G 63-65 1961")</f>
        <v>0</v>
      </c>
      <c r="D2574" s="1">
        <f>hyperlink("http://dspace.library.uu.nl/handle/1874/238165","Namen in de buurt van de Johannapolder C D G 63-65 1961")</f>
        <v>0</v>
      </c>
    </row>
    <row r="2575" spans="2:4">
      <c r="B2575">
        <v>97</v>
      </c>
      <c r="C2575" s="1">
        <f>hyperlink("https://hetutrechtsarchief.nl/collectie/295F028898EC5A619F1C3D53F20E85FD","De Camera Obscura in uitbeelding C Catharina van de Graft 65-68 ill 1961")</f>
        <v>0</v>
      </c>
      <c r="D2575" s="1">
        <f>hyperlink("http://dspace.library.uu.nl/handle/1874/238166","De Camera Obscura in uitbeelding C Catharina van de Graft 65-68 1961")</f>
        <v>0</v>
      </c>
    </row>
    <row r="2576" spans="2:4">
      <c r="B2576">
        <v>100</v>
      </c>
      <c r="C2576" s="1">
        <f>hyperlink("https://hetutrechtsarchief.nl/collectie/04AA6602A09A5F1895D4C37B7F9FAA20","Een Utrechtse edelsmid D Philips 68-69 1961")</f>
        <v>0</v>
      </c>
      <c r="D2576" s="1">
        <f>hyperlink("http://dspace.library.uu.nl/handle/1874/238167","Een Utrechtse edelsmid D Philips 68-69 1961")</f>
        <v>0</v>
      </c>
    </row>
    <row r="2577" spans="2:4">
      <c r="B2577">
        <v>96</v>
      </c>
      <c r="C2577" s="1">
        <f>hyperlink("https://hetutrechtsarchief.nl/collectie/0CCE3AA02F4451E7867655E350902F99","Oude kaart van zuid-west Utrecht J G M Boon 83- 85 krt 1961")</f>
        <v>0</v>
      </c>
      <c r="D2577" s="1">
        <f>hyperlink("http://dspace.library.uu.nl/handle/1874/238168","Oude kaart van Zuid-west Utrecht J G M Boon 83- 85 1961")</f>
        <v>0</v>
      </c>
    </row>
    <row r="2578" spans="2:4">
      <c r="B2578">
        <v>56</v>
      </c>
      <c r="C2578" s="1">
        <f>hyperlink("https://hetutrechtsarchief.nl/collectie/3004A7DCC32A5B00A7DB7AA31FC7D3E4","De sluis De Bemuurde Weerd gedicht J C Bloem 144 1980")</f>
        <v>0</v>
      </c>
      <c r="D2578" s="1">
        <f>hyperlink("http://dspace.library.uu.nl/handle/1874/238169","De huizen Bemuurde Weerd O Z 19 en W Z 3 J H Nieuwenhuys 91 1961")</f>
        <v>0</v>
      </c>
    </row>
    <row r="2579" spans="2:4">
      <c r="B2579">
        <v>90</v>
      </c>
      <c r="C2579" s="1">
        <f>hyperlink("https://hetutrechtsarchief.nl/collectie/EBEF1F53B52954878403F0630D562FFB","Mijdrecht en Wilnis in de vorige eeuw I en II J van der Haar 93-97 102-104 1961")</f>
        <v>0</v>
      </c>
      <c r="D2579" s="1">
        <f>hyperlink("http://dspace.library.uu.nl/handle/1874/238170","Mijdrecht en Wilnis in de vorige eeuw J van der Haar 93-97 nr 9 p 102-104 1961")</f>
        <v>0</v>
      </c>
    </row>
    <row r="2580" spans="2:4">
      <c r="B2580">
        <v>100</v>
      </c>
      <c r="C2580" s="1">
        <f>hyperlink("https://hetutrechtsarchief.nl/collectie/29F88A3679255898A26D80C0CADE0EDB","Herinneringen aan de Domsteeg W L van Nieuwenhuysen 104-107 1961")</f>
        <v>0</v>
      </c>
      <c r="D2580" s="1">
        <f>hyperlink("http://dspace.library.uu.nl/handle/1874/238171","Herinneringen aan de Domsteeg W L van Nieuwenhuysen 104-107 1961")</f>
        <v>0</v>
      </c>
    </row>
    <row r="2581" spans="2:4">
      <c r="B2581">
        <v>97</v>
      </c>
      <c r="C2581" s="1">
        <f>hyperlink("https://hetutrechtsarchief.nl/collectie/88FB9CF149C1594BB6C80C8F8BFFE647","Een hofstede in 1718 op het voorterrein van Sparrendaal Wim Harzing 115-117 plgr 1961")</f>
        <v>0</v>
      </c>
      <c r="D2581" s="1">
        <f>hyperlink("http://dspace.library.uu.nl/handle/1874/238172","Een hofstede in 1718 op het voorterrein van Sparrendaal Wim Harzing 115-117 1961")</f>
        <v>0</v>
      </c>
    </row>
    <row r="2582" spans="2:4">
      <c r="B2582">
        <v>83</v>
      </c>
      <c r="C2582" s="1">
        <f>hyperlink("https://hetutrechtsarchief.nl/collectie/7B5E8D3F89275BEF8234141EBA5A3AE0","Raven I en II A Graafhuis 118-119 148-150 1961")</f>
        <v>0</v>
      </c>
      <c r="D2582" s="1">
        <f>hyperlink("http://dspace.library.uu.nl/handle/1874/238173","Raven A Graafhuis 118-119 nr 12 p 148-150 1961")</f>
        <v>0</v>
      </c>
    </row>
    <row r="2583" spans="2:4">
      <c r="B2583">
        <v>97</v>
      </c>
      <c r="C2583" s="1">
        <f>hyperlink("https://hetutrechtsarchief.nl/collectie/A5037D671FED53B7AC610FA3FC188075","Herinneringen aan de Korte Jansstraat W L van Nieuwenhuysen 119-123 ill 1961")</f>
        <v>0</v>
      </c>
      <c r="D2583" s="1">
        <f>hyperlink("http://dspace.library.uu.nl/handle/1874/238174","Herinneringen aan de Korte Jansstraat W L van Nieuwenhuysen 119-123 1961")</f>
        <v>0</v>
      </c>
    </row>
    <row r="2584" spans="2:4">
      <c r="B2584">
        <v>96</v>
      </c>
      <c r="C2584" s="1">
        <f>hyperlink("https://hetutrechtsarchief.nl/collectie/12005C0FAE7858FF93B79BB99C85407E","De Kattenkampen te Amersfoort S W Melchior 123-124 ill 1961")</f>
        <v>0</v>
      </c>
      <c r="D2584" s="1">
        <f>hyperlink("http://dspace.library.uu.nl/handle/1874/238175","De Kattenkampen te Amersfoort S W Melchior 123-124 1961")</f>
        <v>0</v>
      </c>
    </row>
    <row r="2585" spans="2:4">
      <c r="B2585">
        <v>63</v>
      </c>
      <c r="C2585" s="1">
        <f>hyperlink("https://hetutrechtsarchief.nl/collectie/45AF48BDED4554D584DFB30CF3174647","Het Huis ter Heide P H Damst 62-64 ill 1971")</f>
        <v>0</v>
      </c>
      <c r="D2585" s="1">
        <f>hyperlink("http://dspace.library.uu.nl/handle/1874/238176","Het huis Ten Hert 126-127 1961")</f>
        <v>0</v>
      </c>
    </row>
    <row r="2586" spans="2:4">
      <c r="B2586">
        <v>100</v>
      </c>
      <c r="C2586" s="1">
        <f>hyperlink("https://hetutrechtsarchief.nl/collectie/AFDAA5DAC4985A669D6254C3FED34D62","Verkeersperikelen in de binnenstad A Graafhuis 135-136 1961")</f>
        <v>0</v>
      </c>
      <c r="D2586" s="1">
        <f>hyperlink("http://dspace.library.uu.nl/handle/1874/238177","Verkeersperikelen in de binnenstad A Graafhuis 135-136 1961")</f>
        <v>0</v>
      </c>
    </row>
    <row r="2587" spans="2:4">
      <c r="B2587">
        <v>100</v>
      </c>
      <c r="C2587" s="1">
        <f>hyperlink("https://hetutrechtsarchief.nl/collectie/C452F88459F658B9A447E16F6115AC23","Een vergeten Utrechts schrijver C Catharina van de Graft 137-141 1961")</f>
        <v>0</v>
      </c>
      <c r="D2587" s="1">
        <f>hyperlink("http://dspace.library.uu.nl/handle/1874/238178","Een vergeten Utrechts schrijver C Catharina van de Graft 137-141 1961")</f>
        <v>0</v>
      </c>
    </row>
    <row r="2588" spans="2:4">
      <c r="B2588">
        <v>97</v>
      </c>
      <c r="C2588" s="1">
        <f>hyperlink("https://hetutrechtsarchief.nl/collectie/ED43D1CE7FB255F38AE40CB4F0ACA804","De opheffing van de vijf Utrechtse kapittels A Graafhuis 142-145 ill 1961")</f>
        <v>0</v>
      </c>
      <c r="D2588" s="1">
        <f>hyperlink("http://dspace.library.uu.nl/handle/1874/238179","De opheffing van de vijf Utrechtse kapittels A Graafhuis 142-145 1961")</f>
        <v>0</v>
      </c>
    </row>
    <row r="2589" spans="2:4">
      <c r="B2589">
        <v>100</v>
      </c>
      <c r="C2589" s="1">
        <f>hyperlink("https://hetutrechtsarchief.nl/collectie/A9EDEE73F65D589CAFC474A1EB186968","Nogmaals de Kattenkampen te Amersfoort J H E Reeskamp 145-147 1961")</f>
        <v>0</v>
      </c>
      <c r="D2589" s="1">
        <f>hyperlink("http://dspace.library.uu.nl/handle/1874/238180","Nogmaals De Kattenkampen te Amersfoort J H E Reeskamp 145-147 1961")</f>
        <v>0</v>
      </c>
    </row>
    <row r="2590" spans="2:4">
      <c r="B2590">
        <v>100</v>
      </c>
      <c r="C2590" s="1">
        <f>hyperlink("https://hetutrechtsarchief.nl/collectie/5FDE891ACCDC507EA33C4CDF8D28E417","De familie van Berck en Rijsenburg E J Demoed 147-148 1961")</f>
        <v>0</v>
      </c>
      <c r="D2590" s="1">
        <f>hyperlink("http://dspace.library.uu.nl/handle/1874/238181","De familie Van Berck en Rijsenburg E J Demoed 147-148 1961")</f>
        <v>0</v>
      </c>
    </row>
    <row r="2591" spans="2:4">
      <c r="B2591">
        <v>78</v>
      </c>
      <c r="C2591" s="1">
        <f>hyperlink("https://hetutrechtsarchief.nl/collectie/A4D0385CD2AF582C8946C9AD1BD19749","Het schip van de Dom - C L T G 1-9 ill tek 1962")</f>
        <v>0</v>
      </c>
      <c r="D2591" s="1">
        <f>hyperlink("http://dspace.library.uu.nl/handle/1874/238182","Het schip van de Dom C L Temminck Groll 1-9 1962")</f>
        <v>0</v>
      </c>
    </row>
    <row r="2592" spans="2:4">
      <c r="B2592">
        <v>100</v>
      </c>
      <c r="C2592" s="1">
        <f>hyperlink("https://hetutrechtsarchief.nl/collectie/F5D5962B754556C6ABE16DB9F1CB8BDF","Studenten in Domsteeg F A L Franken 10-11 1962")</f>
        <v>0</v>
      </c>
      <c r="D2592" s="1">
        <f>hyperlink("http://dspace.library.uu.nl/handle/1874/238183","Studenten in Domsteeg F A L Franken 10-11 1962")</f>
        <v>0</v>
      </c>
    </row>
    <row r="2593" spans="2:4">
      <c r="B2593">
        <v>100</v>
      </c>
      <c r="C2593" s="1">
        <f>hyperlink("https://hetutrechtsarchief.nl/collectie/53FFA4F259F2574986F367CC7D454969","Verbreding van de Lange Viestraat G G Pekelharing 12-14 1962")</f>
        <v>0</v>
      </c>
      <c r="D2593" s="1">
        <f>hyperlink("http://dspace.library.uu.nl/handle/1874/238184","Verbreding van de Lange Viestraat G G Pekelharing 12-14 1962")</f>
        <v>0</v>
      </c>
    </row>
    <row r="2594" spans="2:4">
      <c r="B2594">
        <v>96</v>
      </c>
      <c r="C2594" s="1">
        <f>hyperlink("https://hetutrechtsarchief.nl/collectie/B1A8D27623BB5DBEB74562A0D5450EEB","Oude Utrechtse mensen en huizen Francis Kramer 18-21 plgr 1962")</f>
        <v>0</v>
      </c>
      <c r="D2594" s="1">
        <f>hyperlink("http://dspace.library.uu.nl/handle/1874/238185","Oude Utrechtse mensen en huizen Francis Kramer 18-21 1962")</f>
        <v>0</v>
      </c>
    </row>
    <row r="2595" spans="2:4">
      <c r="B2595">
        <v>58</v>
      </c>
      <c r="C2595" s="1">
        <f>hyperlink("https://hetutrechtsarchief.nl/collectie/C1FE4CF044DB5B4AB5069E25D90B4BC2","Het kasteel Vredenburg 131 -132 1936")</f>
        <v>0</v>
      </c>
      <c r="D2595" s="1">
        <f>hyperlink("http://dspace.library.uu.nl/handle/1874/238186","De edelsmeden Brom 23-24 1962")</f>
        <v>0</v>
      </c>
    </row>
    <row r="2596" spans="2:4">
      <c r="B2596">
        <v>96</v>
      </c>
      <c r="C2596" s="1">
        <f>hyperlink("https://hetutrechtsarchief.nl/collectie/D590992C27725EA6843268E567621074","Historische verdedigingswerken bij Veenendaal D Philips 25-30 plgr 1962")</f>
        <v>0</v>
      </c>
      <c r="D2596" s="1">
        <f>hyperlink("http://dspace.library.uu.nl/handle/1874/238187","Historische verdedigingswerken bij Veenendaal D Philips 25-30 1962")</f>
        <v>0</v>
      </c>
    </row>
    <row r="2597" spans="2:4">
      <c r="B2597">
        <v>93</v>
      </c>
      <c r="C2597" s="1">
        <f>hyperlink("https://hetutrechtsarchief.nl/collectie/3EE7969B73E75EA8A5DD230A2F4D44C0","De romeinse nederzetting onder Jutphaas W Grapendaal 30-32 krt plgr 1962")</f>
        <v>0</v>
      </c>
      <c r="D2597" s="1">
        <f>hyperlink("http://dspace.library.uu.nl/handle/1874/238188","De Romeinse nederzetting onder Jutphaas W Grapendaal 30-32 1962")</f>
        <v>0</v>
      </c>
    </row>
    <row r="2598" spans="2:4">
      <c r="B2598">
        <v>83</v>
      </c>
      <c r="C2598" s="1">
        <f>hyperlink("https://hetutrechtsarchief.nl/collectie/F0398E6A9C8256B4B432C5A40060A61A","De Soester dorpsbrink I en II E Heupers 34-37 42-45 ill 1962")</f>
        <v>0</v>
      </c>
      <c r="D2598" s="1">
        <f>hyperlink("http://dspace.library.uu.nl/handle/1874/238189","De Soester dorpsbrink E Heupers 34-37 nr 5 p 42-45 1962")</f>
        <v>0</v>
      </c>
    </row>
    <row r="2599" spans="2:4">
      <c r="B2599">
        <v>100</v>
      </c>
      <c r="C2599" s="1">
        <f>hyperlink("https://hetutrechtsarchief.nl/collectie/735EE2E65B42574F84EB7EDFEF9D921B","Korte Nieuwstraat al eerder verruimd W L van Nieuwenhuysen 37-38 1962")</f>
        <v>0</v>
      </c>
      <c r="D2599" s="1">
        <f>hyperlink("http://dspace.library.uu.nl/handle/1874/238190","Korte Nieuwstraat al eerder verruimd W L van Nieuwenhuysen 37-38 1962")</f>
        <v>0</v>
      </c>
    </row>
    <row r="2600" spans="2:4">
      <c r="B2600">
        <v>96</v>
      </c>
      <c r="C2600" s="1">
        <f>hyperlink("https://hetutrechtsarchief.nl/collectie/726D18DD4542561CA67DAC4AA4855DC7","Veldkeien als landmerken S W Melchior 46-48 ill 1962")</f>
        <v>0</v>
      </c>
      <c r="D2600" s="1">
        <f>hyperlink("http://dspace.library.uu.nl/handle/1874/238191","Veldkeien als landmerken S W Melchior 46-48 1962")</f>
        <v>0</v>
      </c>
    </row>
    <row r="2601" spans="2:4">
      <c r="B2601">
        <v>100</v>
      </c>
      <c r="C2601" s="1">
        <f>hyperlink("https://hetutrechtsarchief.nl/collectie/A0D679E9A5EE5872994936655E5175E5","Muit en twist in Montfoort tussen 1784 en 1788 A C Hellema 50-54 1962")</f>
        <v>0</v>
      </c>
      <c r="D2601" s="1">
        <f>hyperlink("http://dspace.library.uu.nl/handle/1874/238192","Muit en twist in Montfoort tussen 1784 en 1788 A C Hellema 50-54 1962")</f>
        <v>0</v>
      </c>
    </row>
    <row r="2602" spans="2:4">
      <c r="B2602">
        <v>100</v>
      </c>
      <c r="C2602" s="1">
        <f>hyperlink("https://hetutrechtsarchief.nl/collectie/4E8EDA3FC06A53C3800D4E41EF642872","Het fort aan de Buursteeg te Veenendaal D Philips 54-57 1962")</f>
        <v>0</v>
      </c>
      <c r="D2602" s="1">
        <f>hyperlink("http://dspace.library.uu.nl/handle/1874/238193","Het fort aan de Buursteeg te Veenendaal D Philips 54-57 1962")</f>
        <v>0</v>
      </c>
    </row>
    <row r="2603" spans="2:4">
      <c r="B2603">
        <v>92</v>
      </c>
      <c r="C2603" s="1">
        <f>hyperlink("https://hetutrechtsarchief.nl/collectie/E91E881DEC4C5C77B4BE7AA4CF53AF6E","Austerlitz A Graafhuis 61-66 portr 1962")</f>
        <v>0</v>
      </c>
      <c r="D2603" s="1">
        <f>hyperlink("http://dspace.library.uu.nl/handle/1874/238194","Austerlitz A Graafhuis 61-66 1962")</f>
        <v>0</v>
      </c>
    </row>
    <row r="2604" spans="2:4">
      <c r="B2604">
        <v>100</v>
      </c>
      <c r="C2604" s="1">
        <f>hyperlink("https://hetutrechtsarchief.nl/collectie/AF9DA509B87A5104BB79EFB51541539D","De naam Den Treek W H de Beaufort 66-68 1962")</f>
        <v>0</v>
      </c>
      <c r="D2604" s="1">
        <f>hyperlink("http://dspace.library.uu.nl/handle/1874/238195","De naam Den Treek W H de Beaufort 66-68 1962")</f>
        <v>0</v>
      </c>
    </row>
    <row r="2605" spans="2:4">
      <c r="B2605">
        <v>96</v>
      </c>
      <c r="C2605" s="1">
        <f>hyperlink("https://hetutrechtsarchief.nl/collectie/DE3681BC6D8D5AD8B56EF8AFFE23C4A8","Onze oudere geschiedschrijvers J van Galen 75-79 ill 1962")</f>
        <v>0</v>
      </c>
      <c r="D2605" s="1">
        <f>hyperlink("http://dspace.library.uu.nl/handle/1874/238196","Onze oudere geschiedschrijvers J van Galen 75-79 1962")</f>
        <v>0</v>
      </c>
    </row>
    <row r="2606" spans="2:4">
      <c r="B2606">
        <v>99</v>
      </c>
      <c r="C2606" s="1">
        <f>hyperlink("https://hetutrechtsarchief.nl/collectie/0AD2237860645C8C89E7D52BBDE72A1F","Banden tussen de familie Sweelinck en Venendaalse geslachten D Philips 101-106 1962")</f>
        <v>0</v>
      </c>
      <c r="D2606" s="1">
        <f>hyperlink("http://dspace.library.uu.nl/handle/1874/238197","Banden tussen de familie Sweelinck en Veenendaalse geslachten D Philips 101-106 1962")</f>
        <v>0</v>
      </c>
    </row>
    <row r="2607" spans="2:4">
      <c r="B2607">
        <v>93</v>
      </c>
      <c r="C2607" s="1">
        <f>hyperlink("https://hetutrechtsarchief.nl/collectie/638999E179CB5C2381EB6A81C6D26B65","Wilhelmus Steenhoff pastoor te Soest 1851-1880 E Heupers 113-119 ill portr 1962")</f>
        <v>0</v>
      </c>
      <c r="D2607" s="1">
        <f>hyperlink("http://dspace.library.uu.nl/handle/1874/238198","Wilhelmus Steenhoff pastoor te Soest 1851-1880 E Heupers 113-119 1962")</f>
        <v>0</v>
      </c>
    </row>
    <row r="2608" spans="2:4">
      <c r="B2608">
        <v>87</v>
      </c>
      <c r="C2608" s="1">
        <f>hyperlink("https://hetutrechtsarchief.nl/collectie/9FDD110AD2175EB0A281474199DBF52A","De Hoofdwacht E J Haslinghuis 57-61 ill 1954")</f>
        <v>0</v>
      </c>
      <c r="D2608" s="1">
        <f>hyperlink("http://dspace.library.uu.nl/handle/1874/238199","De Hoofdwacht E J Haslinghuis 1954")</f>
        <v>0</v>
      </c>
    </row>
    <row r="2609" spans="2:4">
      <c r="B2609">
        <v>96</v>
      </c>
      <c r="C2609" s="1">
        <f>hyperlink("https://hetutrechtsarchief.nl/collectie/E42F848426CE5ED79AFD082CCE92DFEC","Een standbeeld voor Beets of een monument voor Hildebrand J W C van Campen 16-21 1953")</f>
        <v>0</v>
      </c>
      <c r="D2609" s="1">
        <f>hyperlink("http://dspace.library.uu.nl/handle/1874/238200","Een standbeeld voor Beets of een monument voor Hildebrand J W C van Campen 1953")</f>
        <v>0</v>
      </c>
    </row>
    <row r="2610" spans="2:4">
      <c r="B2610">
        <v>96</v>
      </c>
      <c r="C2610" s="1">
        <f>hyperlink("https://hetutrechtsarchief.nl/collectie/0E2146ACC8AF55B19E75DA52D385FC96","Een vierde Utrechtsche kluis C C van de Graft 1-2 1954")</f>
        <v>0</v>
      </c>
      <c r="D2610" s="1">
        <f>hyperlink("http://dspace.library.uu.nl/handle/1874/238201","Een vierde Utrechtsche kluis C C van de Graft 1954")</f>
        <v>0</v>
      </c>
    </row>
    <row r="2611" spans="2:4">
      <c r="B2611">
        <v>98</v>
      </c>
      <c r="C2611" s="1">
        <f>hyperlink("https://hetutrechtsarchief.nl/collectie/8675DB9C20745DE1A2E1874748311E8C","Naar aanleiding van de dubbele beleningen van de heerlijkheden Zuilen en Westbroek A Johanna Maris 4-6 1954")</f>
        <v>0</v>
      </c>
      <c r="D2611" s="1">
        <f>hyperlink("http://dspace.library.uu.nl/handle/1874/238202","Naar aanleiding van de dubbele beleningen van de heerlijkheden Zuilen en Westbroek A Johanna Maris 1954")</f>
        <v>0</v>
      </c>
    </row>
    <row r="2612" spans="2:4">
      <c r="B2612">
        <v>91</v>
      </c>
      <c r="C2612" s="1">
        <f>hyperlink("https://hetutrechtsarchief.nl/collectie/88105E2BAAD553899A8C6D654B531373","Hreni M N Acket 6-7 1954")</f>
        <v>0</v>
      </c>
      <c r="D2612" s="1">
        <f>hyperlink("http://dspace.library.uu.nl/handle/1874/238203","Hreni M N Acket 1954")</f>
        <v>0</v>
      </c>
    </row>
    <row r="2613" spans="2:4">
      <c r="B2613">
        <v>93</v>
      </c>
      <c r="C2613" s="1">
        <f>hyperlink("https://hetutrechtsarchief.nl/collectie/21C736E92E2F54E89B108F3EED3459E5","Een ge mancipeerde vrouw - K 10 1954")</f>
        <v>0</v>
      </c>
      <c r="D2613" s="1">
        <f>hyperlink("http://dspace.library.uu.nl/handle/1874/238204","Een ge mancipeerde vrouw K 1954")</f>
        <v>0</v>
      </c>
    </row>
    <row r="2614" spans="2:4">
      <c r="B2614">
        <v>93</v>
      </c>
      <c r="C2614" s="1">
        <f>hyperlink("https://hetutrechtsarchief.nl/collectie/8315C9F01CE75C19A2DE7FC8689C29F5","Ter nagedachtenis van Jan-Eloy Brom J W C van Campen 17-20 1954")</f>
        <v>0</v>
      </c>
      <c r="D2614" s="1">
        <f>hyperlink("http://dspace.library.uu.nl/handle/1874/238205","Ter gedachtenis van Jan-Eloy Brom J W C van Campen 1954")</f>
        <v>0</v>
      </c>
    </row>
    <row r="2615" spans="2:4">
      <c r="B2615">
        <v>89</v>
      </c>
      <c r="C2615" s="1">
        <f>hyperlink("https://hetutrechtsarchief.nl/collectie/32E53899E766572CAD68AC259DC26EF7","Een nieuw stratenplan en nog iets - de J 21-23 1954")</f>
        <v>0</v>
      </c>
      <c r="D2615" s="1">
        <f>hyperlink("http://dspace.library.uu.nl/handle/1874/238206","Een nieuw stratenplan en nog iets H de Jong 1954")</f>
        <v>0</v>
      </c>
    </row>
    <row r="2616" spans="2:4">
      <c r="B2616">
        <v>86</v>
      </c>
      <c r="C2616" s="1">
        <f>hyperlink("https://hetutrechtsarchief.nl/collectie/68B1245072A25F0FB5D2E84950A6A1CC","Z K H Prins Bernhard en het Sticht - vdV 25-27 1954")</f>
        <v>0</v>
      </c>
      <c r="D2616" s="1">
        <f>hyperlink("http://dspace.library.uu.nl/handle/1874/238207","Z K H Prins Bernhard en het Sticht A J van de Ven 1954")</f>
        <v>0</v>
      </c>
    </row>
    <row r="2617" spans="2:4">
      <c r="B2617">
        <v>95</v>
      </c>
      <c r="C2617" s="1">
        <f>hyperlink("https://hetutrechtsarchief.nl/collectie/9CC5FA029DA450C3BC7C80456FF79CEA","Een Utrechtse benoeming in 1680 Aleid W van de Bunt 28-30 1954")</f>
        <v>0</v>
      </c>
      <c r="D2617" s="1">
        <f>hyperlink("http://dspace.library.uu.nl/handle/1874/238208","Een Utrechtse benoeming in 1680 Aleid W van de Bunt 1954")</f>
        <v>0</v>
      </c>
    </row>
    <row r="2618" spans="2:4">
      <c r="B2618">
        <v>92</v>
      </c>
      <c r="C2618" s="1">
        <f>hyperlink("https://hetutrechtsarchief.nl/collectie/E08F2AF2B1D454D2B66A833C391F1615","Over een kerkelijke feestdag en nog wat - K 35-36 1954")</f>
        <v>0</v>
      </c>
      <c r="D2618" s="1">
        <f>hyperlink("http://dspace.library.uu.nl/handle/1874/238209","Over een kerkelijke feestdag en nog wat K 1954")</f>
        <v>0</v>
      </c>
    </row>
    <row r="2619" spans="2:4">
      <c r="B2619">
        <v>92</v>
      </c>
      <c r="C2619" s="1">
        <f>hyperlink("https://hetutrechtsarchief.nl/collectie/02BE940F8F155BF8A898732E37C38393","Een leer- en leesboek voor de Utrechtsche schooljeugd - de J 36-38 1954")</f>
        <v>0</v>
      </c>
      <c r="D2619" s="1">
        <f>hyperlink("http://dspace.library.uu.nl/handle/1874/238210","Een leer- en leesboek voor de Utrechtsche schooljeugd H de Jong 1954")</f>
        <v>0</v>
      </c>
    </row>
    <row r="2620" spans="2:4">
      <c r="B2620">
        <v>86</v>
      </c>
      <c r="C2620" s="1">
        <f>hyperlink("https://hetutrechtsarchief.nl/collectie/1A4EF5517EE256A698261CE812CA69BD","De Sandenburg 44-46 1954")</f>
        <v>0</v>
      </c>
      <c r="D2620" s="1">
        <f>hyperlink("http://dspace.library.uu.nl/handle/1874/238211","De Sandenburg 1954")</f>
        <v>0</v>
      </c>
    </row>
    <row r="2621" spans="2:4">
      <c r="B2621">
        <v>56</v>
      </c>
      <c r="C2621" s="1">
        <f>hyperlink("https://hetutrechtsarchief.nl/collectie/F5714E0774A05F0F857DED373219145C","Het kasteel de Haar 34-35 1949")</f>
        <v>0</v>
      </c>
      <c r="D2621" s="1">
        <f>hyperlink("http://dspace.library.uu.nl/handle/1874/238212","Het Gaasbeker gilde 1954")</f>
        <v>0</v>
      </c>
    </row>
    <row r="2622" spans="2:4">
      <c r="B2622">
        <v>80</v>
      </c>
      <c r="C2622" s="1">
        <f>hyperlink("https://hetutrechtsarchief.nl/collectie/8DBA1B0380075ACD92E6A9F1BAC98D30","Oude Utrechtsche straatnamen - E 49-52 65-68 1954")</f>
        <v>0</v>
      </c>
      <c r="D2622" s="1">
        <f>hyperlink("http://dspace.library.uu.nl/handle/1874/238213","Oude Utrechtsche straatnamen G A Evers 1954")</f>
        <v>0</v>
      </c>
    </row>
    <row r="2623" spans="2:4">
      <c r="B2623">
        <v>86</v>
      </c>
      <c r="C2623" s="1">
        <f>hyperlink("https://hetutrechtsarchief.nl/collectie/55420415F3BF5838A935D2155F24C6F1","Reizen in de Vechtstreek 63-65 1954")</f>
        <v>0</v>
      </c>
      <c r="D2623" s="1">
        <f>hyperlink("http://dspace.library.uu.nl/handle/1874/238214","Reizen in de Vechtstreek M Raven 1954")</f>
        <v>0</v>
      </c>
    </row>
    <row r="2624" spans="2:4">
      <c r="B2624">
        <v>84</v>
      </c>
      <c r="C2624" s="1">
        <f>hyperlink("https://hetutrechtsarchief.nl/collectie/41C2A2112DE2531B8E82355CAF0984D7","De St Paulusabdij te Utrecht W Stooker 68-70 plgr 1954")</f>
        <v>0</v>
      </c>
      <c r="D2624" s="1">
        <f>hyperlink("http://dspace.library.uu.nl/handle/1874/238215","De St Paulusabdij te Utrecht W Stooker 1954-1955")</f>
        <v>0</v>
      </c>
    </row>
    <row r="2625" spans="2:4">
      <c r="B2625">
        <v>99</v>
      </c>
      <c r="C2625" s="1">
        <f>hyperlink("https://hetutrechtsarchief.nl/collectie/FF811D4A79BE57BC9B1ED5316CA16B1B","Verbod voor Arnhemse burgers van actieve deelneming aan den strijd tussen Bourgondi en Brederode in 1456 A J Maris 74 1954")</f>
        <v>0</v>
      </c>
      <c r="D2625" s="1">
        <f>hyperlink("http://dspace.library.uu.nl/handle/1874/238216","Verbod voor Arnhemse burgers van actieve deelneming aan den strijd tussen Bourgondi en Brederode in 1456 A J Maris 1954")</f>
        <v>0</v>
      </c>
    </row>
    <row r="2626" spans="2:4">
      <c r="B2626">
        <v>93</v>
      </c>
      <c r="C2626" s="1">
        <f>hyperlink("https://hetutrechtsarchief.nl/collectie/393A8D41B9BD52408518A1CF69E1764E","De molens in Utrecht J D M Bardet 81-83 1954")</f>
        <v>0</v>
      </c>
      <c r="D2626" s="1">
        <f>hyperlink("http://dspace.library.uu.nl/handle/1874/238217","De molens in Utrecht J D M Bardet 1954")</f>
        <v>0</v>
      </c>
    </row>
    <row r="2627" spans="2:4">
      <c r="B2627">
        <v>90</v>
      </c>
      <c r="C2627" s="1">
        <f>hyperlink("https://hetutrechtsarchief.nl/collectie/47761ED4A6FC58A394E870EC3AAF4B9B","Veldnamen P J Meertens 93-94 1954")</f>
        <v>0</v>
      </c>
      <c r="D2627" s="1">
        <f>hyperlink("http://dspace.library.uu.nl/handle/1874/238218","Veldnamen P J Meertens 1954")</f>
        <v>0</v>
      </c>
    </row>
    <row r="2628" spans="2:4">
      <c r="B2628">
        <v>57</v>
      </c>
      <c r="C2628" s="1">
        <f>hyperlink("https://hetutrechtsarchief.nl/collectie/695692DD9B8855DABBC03F59D8DBE624","Achtergronden van de Unie van Utrecht A van Hulzen 24-55 ill 1978")</f>
        <v>0</v>
      </c>
      <c r="D2628" s="1">
        <f>hyperlink("http://dspace.library.uu.nl/handle/1874/238219","Vianen middelpunt van het verzet 1566-1567 A van Hulzen 1-11 1981")</f>
        <v>0</v>
      </c>
    </row>
    <row r="2629" spans="2:4">
      <c r="B2629">
        <v>55</v>
      </c>
      <c r="C2629" s="1">
        <f>hyperlink("https://hetutrechtsarchief.nl/collectie/F596C9E1A8345E99990A1EC8A317C42C","Nalezingen op de proeve eener geschiedenis van het geslacht van Nyenrode J J de Geer 138 -226 1853")</f>
        <v>0</v>
      </c>
      <c r="D2629" s="1">
        <f>hyperlink("http://dspace.library.uu.nl/handle/1874/238220","De grote pomp te Vianen een monument ter nagedachtenis aan Johan Wolfert van Brederode J Ruijter 11-19 1980")</f>
        <v>0</v>
      </c>
    </row>
    <row r="2630" spans="2:4">
      <c r="B2630">
        <v>54</v>
      </c>
      <c r="C2630" s="1">
        <f>hyperlink("https://hetutrechtsarchief.nl/collectie/8A7C634B8A3B4C45E0534701000A9C7E","Nogmaals M ria L cina Jan Engelman en Jan Derks Sjoerd van Faassen 15-16 2019")</f>
        <v>0</v>
      </c>
      <c r="D2630" s="1">
        <f>hyperlink("http://dspace.library.uu.nl/handle/1874/238221","Nogmaals het Slot Batenstein zijn beschrijvers en zijn bewoners Hanna Schouten 1-5 1981")</f>
        <v>0</v>
      </c>
    </row>
    <row r="2631" spans="2:4">
      <c r="B2631">
        <v>52</v>
      </c>
      <c r="C2631" s="1">
        <f>hyperlink("https://hetutrechtsarchief.nl/collectie/D56C89081FB55509BC0CF2F2303BA1CF","Een schilderij centraal de Jeruzalemvaarders van Jan van Scorel E de Jongh en J A L de Meyere 1-26 1979")</f>
        <v>0</v>
      </c>
      <c r="D2631" s="1">
        <f>hyperlink("http://dspace.library.uu.nl/handle/1874/238222","Ladieu tue - ung me tout bij de graftombe van Reinoud III van Brederode en zijn echtgenote te Vianen J A L de Meyere 4-12 1980")</f>
        <v>0</v>
      </c>
    </row>
    <row r="2632" spans="2:4">
      <c r="B2632">
        <v>60</v>
      </c>
      <c r="C2632" s="1">
        <f>hyperlink("https://hetutrechtsarchief.nl/collectie/C6895ACA15535F3D810FF77FD0E41B39","Sanitaire toestanden te Utrecht in 1631 J Belonje 101-102 1980")</f>
        <v>0</v>
      </c>
      <c r="D2632" s="1">
        <f>hyperlink("http://dspace.library.uu.nl/handle/1874/238223","Twee gietijzeren grafmonumenten te Vianen J Belonje 20-25 1980")</f>
        <v>0</v>
      </c>
    </row>
    <row r="2633" spans="2:4">
      <c r="B2633">
        <v>61</v>
      </c>
      <c r="C2633" s="1">
        <f>hyperlink("https://hetutrechtsarchief.nl/collectie/EB40F6E225CF50FD81DF145CA5182B78","Nieuwe gegevens over Van Oosterzee M van Rhijn 34-48 1949")</f>
        <v>0</v>
      </c>
      <c r="D2633" s="1">
        <f>hyperlink("http://dspace.library.uu.nl/handle/1874/238224","Aanvullende gegevens over de Landpoort te Vianen J Ruijter 1-2 1979")</f>
        <v>0</v>
      </c>
    </row>
    <row r="2634" spans="2:4">
      <c r="B2634">
        <v>71</v>
      </c>
      <c r="C2634" s="1">
        <f>hyperlink("https://hetutrechtsarchief.nl/collectie/94F05477A24A1657E0534701000A51DB","Een geval van stalking in de achttiende eeuw Huib Leeuwenberg 32-35 2019")</f>
        <v>0</v>
      </c>
      <c r="D2634" s="1">
        <f>hyperlink("http://dspace.library.uu.nl/handle/1874/238225","Joden in Vianen in de achttiende eeuw H L Ph Leeuwenberg 7 - 13 1977")</f>
        <v>0</v>
      </c>
    </row>
    <row r="2635" spans="2:4">
      <c r="B2635">
        <v>57</v>
      </c>
      <c r="C2635" s="1">
        <f>hyperlink("https://hetutrechtsarchief.nl/collectie/4093C484021D5958B77453A54ACAB650","De Roos onder de Linden J Heniger 64-95 ill bijl 1974")</f>
        <v>0</v>
      </c>
      <c r="D2635" s="1">
        <f>hyperlink("http://dspace.library.uu.nl/handle/1874/238226","Zweder van Beusinchem en zijn zegel J Heniger 6 - 7 1976")</f>
        <v>0</v>
      </c>
    </row>
    <row r="2636" spans="2:4">
      <c r="B2636">
        <v>56</v>
      </c>
      <c r="C2636" s="1">
        <f>hyperlink("https://hetutrechtsarchief.nl/collectie/D08E8A92B5205E0ABE8B99CC1E4A7912","Heer Jan van Houten J H Hofman 174-179 1878")</f>
        <v>0</v>
      </c>
      <c r="D2636" s="1">
        <f>hyperlink("http://dspace.library.uu.nl/handle/1874/238227","La Fayette en Vianen G P Gosman 7 - 9 1976")</f>
        <v>0</v>
      </c>
    </row>
    <row r="2637" spans="2:4">
      <c r="B2637">
        <v>58</v>
      </c>
      <c r="C2637" s="1">
        <f>hyperlink("https://hetutrechtsarchief.nl/collectie/8D4E86EA37B1595D84E2C3420102DD6E","De Utrechtse van Bemmels J de Lange 3 - 9 ill 1983")</f>
        <v>0</v>
      </c>
      <c r="D2637" s="1">
        <f>hyperlink("http://dspace.library.uu.nl/handle/1874/238228","Hubrecht van Vianen J Heniger 2 - 4 1977")</f>
        <v>0</v>
      </c>
    </row>
    <row r="2638" spans="2:4">
      <c r="B2638">
        <v>58</v>
      </c>
      <c r="C2638" s="1">
        <f>hyperlink("https://hetutrechtsarchief.nl/collectie/4093C484021D5958B77453A54ACAB650","De Roos onder de Linden J Heniger 64-95 ill bijl 1974")</f>
        <v>0</v>
      </c>
      <c r="D2638" s="1">
        <f>hyperlink("http://dspace.library.uu.nl/handle/1874/238229","De Brederode portretten J Heniger 7 1977")</f>
        <v>0</v>
      </c>
    </row>
    <row r="2639" spans="2:4">
      <c r="B2639">
        <v>61</v>
      </c>
      <c r="C2639" s="1">
        <f>hyperlink("https://hetutrechtsarchief.nl/collectie/D08E8A92B5205E0ABE8B99CC1E4A7912","Heer Jan van Houten J H Hofman 174-179 1878")</f>
        <v>0</v>
      </c>
      <c r="D2639" s="1">
        <f>hyperlink("http://dspace.library.uu.nl/handle/1874/238230","Zweder van Vianen J Heniger 1-4 1977")</f>
        <v>0</v>
      </c>
    </row>
    <row r="2640" spans="2:4">
      <c r="B2640">
        <v>55</v>
      </c>
      <c r="C2640" s="1">
        <f>hyperlink("https://hetutrechtsarchief.nl/collectie/AE2D4046E0F58270E0534701000A57CC","Speculanten gingen naar Vianen de windhandel ontploft Henk Slechte 8-10 2020")</f>
        <v>0</v>
      </c>
      <c r="D2640" s="1">
        <f>hyperlink("http://dspace.library.uu.nl/handle/1874/238231","Vianen en de spotprenten op de windhandel van 1720 C H Slechte 5-27 1977")</f>
        <v>0</v>
      </c>
    </row>
    <row r="2641" spans="2:4">
      <c r="B2641">
        <v>61</v>
      </c>
      <c r="C2641" s="1">
        <f>hyperlink("https://hetutrechtsarchief.nl/collectie/55B4B7F621085159A785B07856C0881A","Willem van Oranje 1-104 ill 1984")</f>
        <v>0</v>
      </c>
      <c r="D2641" s="1">
        <f>hyperlink("http://dspace.library.uu.nl/handle/1874/238232","Willem van Duivenvoorde J Heniger 3-10 1978")</f>
        <v>0</v>
      </c>
    </row>
    <row r="2642" spans="2:4">
      <c r="B2642">
        <v>56</v>
      </c>
      <c r="C2642" s="1">
        <f>hyperlink("https://hetutrechtsarchief.nl/collectie/530C91C97F275C5196A109D0507B42D3","Criminaliteit en rechtspraak in Leersum in de achttiende eeuw 2 Hans van Deukeren 15-18 2005")</f>
        <v>0</v>
      </c>
      <c r="D2642" s="1">
        <f>hyperlink("http://dspace.library.uu.nl/handle/1874/238233","Willem Anthonij Ockerse een veelzijdig man uit de achttiende eeuw Hanna Stouten 10-15 1978")</f>
        <v>0</v>
      </c>
    </row>
    <row r="2643" spans="2:4">
      <c r="B2643">
        <v>59</v>
      </c>
      <c r="C2643" s="1">
        <f>hyperlink("https://hetutrechtsarchief.nl/collectie/02CEDB7D1DCD531C9E58A3C13CD287DC","Hendrik komt er aan G van Baaren 31 1978")</f>
        <v>0</v>
      </c>
      <c r="D2643" s="1">
        <f>hyperlink("http://dspace.library.uu.nl/handle/1874/238234","Hendrik I en Gijsbrecht van Vianen J Heniger 19-25 1978")</f>
        <v>0</v>
      </c>
    </row>
    <row r="2644" spans="2:4">
      <c r="B2644">
        <v>54</v>
      </c>
      <c r="C2644" s="1">
        <f>hyperlink("https://hetutrechtsarchief.nl/collectie/E84E619945CF5A9FA64FFC52B1ED98DD","Het geslacht De Marez Van Zuylen H J Koenen 177-180 1899")</f>
        <v>0</v>
      </c>
      <c r="D2644" s="1">
        <f>hyperlink("http://dspace.library.uu.nl/handle/1874/238235","Het Slot Batestein te Vianen A C N Koenhein 26-34 jg 4 1979 nr 3 p 11-20 1978-1979")</f>
        <v>0</v>
      </c>
    </row>
    <row r="2645" spans="2:4">
      <c r="B2645">
        <v>56</v>
      </c>
      <c r="C2645" s="1">
        <f>hyperlink("https://hetutrechtsarchief.nl/collectie/6F5A3545387B5D66A308F59B52EC8405","De sterfdag van Thomas Basin 500 jaar geleden Kaj van Vliet 1990")</f>
        <v>0</v>
      </c>
      <c r="D2645" s="1">
        <f>hyperlink("http://dspace.library.uu.nl/handle/1874/238236","Brandbestrijding in Vianen 250 jaar geleden J Ruijter 35-40 1978")</f>
        <v>0</v>
      </c>
    </row>
    <row r="2646" spans="2:4">
      <c r="B2646">
        <v>68</v>
      </c>
      <c r="C2646" s="1">
        <f>hyperlink("https://hetutrechtsarchief.nl/collectie/70F575CBCECC5A8CBF65E960C0F49DB3","Hendrik van Arnhem J M Westerhout 6 1949")</f>
        <v>0</v>
      </c>
      <c r="D2646" s="1">
        <f>hyperlink("http://dspace.library.uu.nl/handle/1874/238237","Hendrik II van Vianen J Heniger 3-6 1979")</f>
        <v>0</v>
      </c>
    </row>
    <row r="2647" spans="2:4">
      <c r="B2647">
        <v>62</v>
      </c>
      <c r="C2647" s="1">
        <f>hyperlink("https://hetutrechtsarchief.nl/collectie/08570921966653818299CBDE03D33420","Portretten van Evert Zoudenbalch J A L de Meyere 56-70 ill 1977")</f>
        <v>0</v>
      </c>
      <c r="D2647" s="1">
        <f>hyperlink("http://dspace.library.uu.nl/handle/1874/238238","Hendrik van Brederode ja of nee J A L de Meyere 6-8 1979")</f>
        <v>0</v>
      </c>
    </row>
    <row r="2648" spans="2:4">
      <c r="B2648">
        <v>56</v>
      </c>
      <c r="C2648" s="1">
        <f>hyperlink("https://hetutrechtsarchief.nl/collectie/FEFDD211574C5BA7AD5B9F96A5589A7B","Een ruzie om as Joop Frankenhuizen 29-30 1998")</f>
        <v>0</v>
      </c>
      <c r="D2648" s="1">
        <f>hyperlink("http://dspace.library.uu.nl/handle/1874/238239","Amelestein of de Oranjeboom A C N Koenhein 8-10 1979")</f>
        <v>0</v>
      </c>
    </row>
    <row r="2649" spans="2:4">
      <c r="B2649">
        <v>57</v>
      </c>
      <c r="C2649" s="1">
        <f>hyperlink("https://hetutrechtsarchief.nl/collectie/8FEB1A6BE1F034C5E0534701000AFD82","Soesters in het leger van Napoleon Jan de Mos 8-16 2019")</f>
        <v>0</v>
      </c>
      <c r="D2649" s="1">
        <f>hyperlink("http://dspace.library.uu.nl/handle/1874/238240","Bestek 1490 in het Land van Vianen en Ameide P Horden 10-19 1979")</f>
        <v>0</v>
      </c>
    </row>
    <row r="2650" spans="2:4">
      <c r="B2650">
        <v>61</v>
      </c>
      <c r="C2650" s="1">
        <f>hyperlink("https://hetutrechtsarchief.nl/collectie/84B461E06C1E518FB9582066DDBCBDA3","De woelige jaren tachtig van de achttiende eeuw Willem van Maren 125-137 2011")</f>
        <v>0</v>
      </c>
      <c r="D2650" s="1">
        <f>hyperlink("http://dspace.library.uu.nl/handle/1874/238241","Medische zorg te Vianen in de achttiende eeuw J A M Koenhein 2-11 1979")</f>
        <v>0</v>
      </c>
    </row>
    <row r="2651" spans="2:4">
      <c r="B2651">
        <v>57</v>
      </c>
      <c r="C2651" s="1">
        <f>hyperlink("https://hetutrechtsarchief.nl/collectie/A0FD827ABA125BCA9C095AF89A5DFF62","Twee tafereeltjes van het Gereformeerd Burgerweeshuis te Utrecht J A L de Meyere 144-146 ill 1981")</f>
        <v>0</v>
      </c>
      <c r="D2651" s="1">
        <f>hyperlink("http://dspace.library.uu.nl/handle/1874/238242","Fragment van een reglement in verband met begrafenissen J A L de Meyere 12-14 1980")</f>
        <v>0</v>
      </c>
    </row>
    <row r="2652" spans="2:4">
      <c r="B2652">
        <v>57</v>
      </c>
      <c r="C2652" s="1">
        <f>hyperlink("https://hetutrechtsarchief.nl/collectie/967411FFBEEE55C3BC67871FE9BEBA51","Devotie geloven en beleven in de Ronde Venen Peter A van Golen 2008")</f>
        <v>0</v>
      </c>
      <c r="D2652" s="1">
        <f>hyperlink("http://dspace.library.uu.nl/handle/1874/238243","Te Water Ockerse en het begraven in de kerken en binnen de steden A C N Koenhein 14-20 1980")</f>
        <v>0</v>
      </c>
    </row>
    <row r="2653" spans="2:4">
      <c r="B2653">
        <v>63</v>
      </c>
      <c r="C2653" s="1">
        <f>hyperlink("https://hetutrechtsarchief.nl/collectie/8B344E5BC4A2500FBF6CE64A46930038","Familiere nie in Vianen portretten van Johan Wolfert van Brederode en zijn gezin herenigd M E Spliethoff 75-81 3 p afb")</f>
        <v>0</v>
      </c>
      <c r="D2653" s="1">
        <f>hyperlink("http://dspace.library.uu.nl/handle/1874/238244","Een Ridder van de olifantsorde Johan Wolphert van Brederode en zijn familie M E Tiethoff-Spliethoff 3-10 1980")</f>
        <v>0</v>
      </c>
    </row>
    <row r="2654" spans="2:4">
      <c r="B2654">
        <v>56</v>
      </c>
      <c r="C2654" s="1">
        <f>hyperlink("https://hetutrechtsarchief.nl/collectie/8CD897DB67D74D5AE0534701000AD6A9","Kijk naar je doelgroep en verplaats je erin In gesprek met Floortje Tuinstra 30-33 2019")</f>
        <v>0</v>
      </c>
      <c r="D2654" s="1">
        <f>hyperlink("http://dspace.library.uu.nl/handle/1874/238245","Het land van van Brederode in prent verslag van een gesprek met Ton Diekstra J Smits 24-25 1980")</f>
        <v>0</v>
      </c>
    </row>
    <row r="2655" spans="2:4">
      <c r="B2655">
        <v>56</v>
      </c>
      <c r="C2655" s="1">
        <f>hyperlink("https://hetutrechtsarchief.nl/collectie/E5487B29C9B25F5182DF479F3E6181D4","De dood van mijn broertje en de straf van de kerk Jaap Voorburg 126-131 2012")</f>
        <v>0</v>
      </c>
      <c r="D2655" s="1">
        <f>hyperlink("http://dspace.library.uu.nl/handle/1874/238246","Reinoud III van Brederode en de stad Terwanen J H Verhoog 1-6 1980")</f>
        <v>0</v>
      </c>
    </row>
    <row r="2656" spans="2:4">
      <c r="B2656">
        <v>58</v>
      </c>
      <c r="C2656" s="1">
        <f>hyperlink("https://hetutrechtsarchief.nl/collectie/8FEB1A6BE1F034C5E0534701000AFD82","Soesters in het leger van Napoleon Jan de Mos 8-16 2019")</f>
        <v>0</v>
      </c>
      <c r="D2656" s="1">
        <f>hyperlink("http://dspace.library.uu.nl/handle/1874/238247","Bedelaars in het land van Vianen P Horden 6-14 1980")</f>
        <v>0</v>
      </c>
    </row>
    <row r="2657" spans="2:4">
      <c r="B2657">
        <v>59</v>
      </c>
      <c r="C2657" s="1">
        <f>hyperlink("https://hetutrechtsarchief.nl/collectie/200B47D2CDCA5E958F13725EEC6AD63D","Uit het fotoarchief van Jan J van Dijk deel 4 17-18 2012")</f>
        <v>0</v>
      </c>
      <c r="D2657" s="1">
        <f>hyperlink("http://dspace.library.uu.nl/handle/1874/238248","Familie-archief Van Zijl J Heniger 14-16 1980")</f>
        <v>0</v>
      </c>
    </row>
    <row r="2658" spans="2:4">
      <c r="B2658">
        <v>62</v>
      </c>
      <c r="C2658" s="1">
        <f>hyperlink("https://hetutrechtsarchief.nl/collectie/5604A661A0C454DF992C87D12A821925","Bertus van de bovenmeester O Dekkers 104-105 2011")</f>
        <v>0</v>
      </c>
      <c r="D2658" s="1">
        <f>hyperlink("http://dspace.library.uu.nl/handle/1874/238249","Vicarie van Bloemestein C Dekker 1-7 1981")</f>
        <v>0</v>
      </c>
    </row>
    <row r="2659" spans="2:4">
      <c r="B2659">
        <v>59</v>
      </c>
      <c r="C2659" s="1">
        <f>hyperlink("https://hetutrechtsarchief.nl/collectie/DF46296876665E4984F5616A47871AD6","Het laatste nieuws Stef Veerhuis 120-122 2011")</f>
        <v>0</v>
      </c>
      <c r="D2659" s="1">
        <f>hyperlink("http://dspace.library.uu.nl/handle/1874/238250","Te gast Nieuw Leven 15-16 1981")</f>
        <v>0</v>
      </c>
    </row>
    <row r="2660" spans="2:4">
      <c r="B2660">
        <v>68</v>
      </c>
      <c r="C2660" s="1">
        <f>hyperlink("https://hetutrechtsarchief.nl/collectie/227FDAD272055C1BB68E5513772787C6","Steven de Witt L E Bosch 147-149 1853")</f>
        <v>0</v>
      </c>
      <c r="D2660" s="1">
        <f>hyperlink("http://dspace.library.uu.nl/handle/1874/238251","Steven de Witt 12-13 1981")</f>
        <v>0</v>
      </c>
    </row>
    <row r="2661" spans="2:4">
      <c r="B2661">
        <v>51</v>
      </c>
      <c r="C2661" s="1">
        <f>hyperlink("https://hetutrechtsarchief.nl/collectie/BD441D7CDC2657A8BF8CFBF5B625CE7A","Friese vrijheid in de Duitse Orde de verhouding van het Friese klooster Nes tot zijn ordescentrum in Utrecht J A Mol 113-152 1989")</f>
        <v>0</v>
      </c>
      <c r="D2661" s="1">
        <f>hyperlink("http://dspace.library.uu.nl/handle/1874/238252","Uit de Viaanse historie van het midden van de vorige eeuw de Maatschappij ter verbetering van het Lot der Armen te Vianen onder de zinspreuk Vlijt geeft Zegen J Schemm W W vom Stolk 13-22 1981")</f>
        <v>0</v>
      </c>
    </row>
    <row r="2662" spans="2:4">
      <c r="B2662">
        <v>56</v>
      </c>
      <c r="C2662" s="1">
        <f>hyperlink("https://hetutrechtsarchief.nl/collectie/78DE88E512E15E24B2CA0F7EAA7BEBDC","Uit het verleden van Soest J van Galen 90-92 1958")</f>
        <v>0</v>
      </c>
      <c r="D2662" s="1">
        <f>hyperlink("http://dspace.library.uu.nl/handle/1874/238253","Te gast V V Brederodes Vianen 22-24 1981")</f>
        <v>0</v>
      </c>
    </row>
    <row r="2663" spans="2:4">
      <c r="B2663">
        <v>51</v>
      </c>
      <c r="C2663" s="1">
        <f>hyperlink("https://hetutrechtsarchief.nl/collectie/D5EFD6A7697D568FA096F95FF8370EDC","Huisnamen XII een bron van inspiratie Hans de Groot 14-18 2003")</f>
        <v>0</v>
      </c>
      <c r="D2663" s="1">
        <f>hyperlink("http://dspace.library.uu.nl/handle/1874/238254","Vianen als domicilie en inspiratiebron van Ina Boudier-Bakker G Vaartjes 5-11 1981")</f>
        <v>0</v>
      </c>
    </row>
    <row r="2664" spans="2:4">
      <c r="B2664">
        <v>84</v>
      </c>
      <c r="C2664" s="1">
        <f>hyperlink("https://hetutrechtsarchief.nl/collectie/27D82C7B96C85A828E9309F7B0C8F50A","Uitstapjes in Nederland A H Banning 5-17 2017")</f>
        <v>0</v>
      </c>
      <c r="D2664" s="1">
        <f>hyperlink("http://dspace.library.uu.nl/handle/1874/238291","Uitstapjes in Nederland H A Banning 35-38 1999")</f>
        <v>0</v>
      </c>
    </row>
    <row r="2665" spans="2:4">
      <c r="B2665">
        <v>65</v>
      </c>
      <c r="C2665" s="1">
        <f>hyperlink("https://hetutrechtsarchief.nl/collectie/E865E412FFF05573B71EFDFBF5A68076","De Bilt toen en nu 58-59 2015")</f>
        <v>0</v>
      </c>
      <c r="D2665" s="1">
        <f>hyperlink("http://dspace.library.uu.nl/handle/1874/238294","De Bilt jaren terug 47 59 60 2000")</f>
        <v>0</v>
      </c>
    </row>
    <row r="2666" spans="2:4">
      <c r="B2666">
        <v>99</v>
      </c>
      <c r="C2666" s="1">
        <f>hyperlink("https://hetutrechtsarchief.nl/collectie/DF0AF9FD9322582581F00F18F1F14E2D","Maires en burgemeesters van Utrecht sedert 1813 Arie Jan Stasse 2010-211 2011")</f>
        <v>0</v>
      </c>
      <c r="D2666" s="1">
        <f>hyperlink("http://dspace.library.uu.nl/handle/1874/238299","Maires en burgemeesters van Utrecht sedert 1813 Arie Jan Stasse 210-211 2011")</f>
        <v>0</v>
      </c>
    </row>
    <row r="2667" spans="2:4">
      <c r="B2667">
        <v>63</v>
      </c>
      <c r="C2667" s="1">
        <f>hyperlink("https://hetutrechtsarchief.nl/collectie/DF0AF9FD9322582581F00F18F1F14E2D","Maires en burgemeesters van Utrecht sedert 1813 Arie Jan Stasse 2010-211 2011")</f>
        <v>0</v>
      </c>
      <c r="D2667" s="1">
        <f>hyperlink("http://dspace.library.uu.nl/handle/1874/238300","Gedrukte Utrechtse stad bronnen Arie Jan Stasse 216-217 2011")</f>
        <v>0</v>
      </c>
    </row>
    <row r="2668" spans="2:4">
      <c r="B2668">
        <v>100</v>
      </c>
      <c r="C2668" s="1">
        <f>hyperlink("https://hetutrechtsarchief.nl/collectie/587B3CA322335B6D9090B7D6741365CF","Gezicht op Breukelen Pim Fenger 2-4 2011")</f>
        <v>0</v>
      </c>
      <c r="D2668" s="1">
        <f>hyperlink("http://dspace.library.uu.nl/handle/1874/238301","Gezicht op Breukelen Pim Fenger 2-4 2011")</f>
        <v>0</v>
      </c>
    </row>
    <row r="2669" spans="2:4">
      <c r="B2669">
        <v>89</v>
      </c>
      <c r="C2669" s="1">
        <f>hyperlink("https://hetutrechtsarchief.nl/collectie/DC2F1EDA393857139C30B69891061626","Utrechtsche nieuwjaarsliederen - E 1-3 1938")</f>
        <v>0</v>
      </c>
      <c r="D2669" s="1">
        <f>hyperlink("http://dspace.library.uu.nl/handle/1874/238302","Utrechtsche nieuwjaarsliederen G A Evers 1938")</f>
        <v>0</v>
      </c>
    </row>
    <row r="2670" spans="2:4">
      <c r="B2670">
        <v>84</v>
      </c>
      <c r="C2670" s="1">
        <f>hyperlink("https://hetutrechtsarchief.nl/collectie/7A516FF47DBD5040AA99AC7DF5177680","Dr Adriaan Beets C Catharina van de Graft 13-15 1938")</f>
        <v>0</v>
      </c>
      <c r="D2670" s="1">
        <f>hyperlink("http://dspace.library.uu.nl/handle/1874/238303","Dr Adriaan Beets C C van de Graft 1938")</f>
        <v>0</v>
      </c>
    </row>
    <row r="2671" spans="2:4">
      <c r="B2671">
        <v>95</v>
      </c>
      <c r="C2671" s="1">
        <f>hyperlink("https://hetutrechtsarchief.nl/collectie/D5037BF79EBB5D0CAB4632D14C4648E4","Hoe Utrecht vroeger de geboorte van oranje-vorsten vierde 15-16 1938")</f>
        <v>0</v>
      </c>
      <c r="D2671" s="1">
        <f>hyperlink("http://dspace.library.uu.nl/handle/1874/238304","Hoe Utrecht vroeger de geboorte van Oranje-vorsten vierde 1938")</f>
        <v>0</v>
      </c>
    </row>
    <row r="2672" spans="2:4">
      <c r="B2672">
        <v>94</v>
      </c>
      <c r="C2672" s="1">
        <f>hyperlink("https://hetutrechtsarchief.nl/collectie/CA30507A354A588A81B75B837AFE54F4","Burgemeesters en vroedschap van Utrecht als doopgetuigen aan het hof van Lippe 1660 - E 21-24 1938")</f>
        <v>0</v>
      </c>
      <c r="D2672" s="1">
        <f>hyperlink("http://dspace.library.uu.nl/handle/1874/238305","Burgemeesters en vroedschap van Utrecht als doopgetuigen aan het hof van Lippe 1660 G A Evers 1938")</f>
        <v>0</v>
      </c>
    </row>
    <row r="2673" spans="2:4">
      <c r="B2673">
        <v>78</v>
      </c>
      <c r="C2673" s="1">
        <f>hyperlink("https://hetutrechtsarchief.nl/collectie/F2C27C39052551EDA81C98FBA1E78EC8","Jan Dirk Christiaan van Dokkum In Memoriam - E 30-31 1938")</f>
        <v>0</v>
      </c>
      <c r="D2673" s="1">
        <f>hyperlink("http://dspace.library.uu.nl/handle/1874/238306","Jan Dirk Christiaan van Dokkum G A Evers 1938")</f>
        <v>0</v>
      </c>
    </row>
    <row r="2674" spans="2:4">
      <c r="B2674">
        <v>75</v>
      </c>
      <c r="C2674" s="1">
        <f>hyperlink("https://hetutrechtsarchief.nl/collectie/548EF5817B7E58E08D0B6CDF4EE830B4","Utrecht en Goethe W Graadt van Roggen 138-153 1934")</f>
        <v>0</v>
      </c>
      <c r="D2674" s="1">
        <f>hyperlink("http://dspace.library.uu.nl/handle/1874/238307","Utrecht als gildestad W Graadt van Roggen 1938")</f>
        <v>0</v>
      </c>
    </row>
    <row r="2675" spans="2:4">
      <c r="B2675">
        <v>95</v>
      </c>
      <c r="C2675" s="1">
        <f>hyperlink("https://hetutrechtsarchief.nl/collectie/26031D28121C5A00BB724011710F7688","Geboorte en doop van oranje-prinsen op Soestdijk te Baarn 53-56 1938")</f>
        <v>0</v>
      </c>
      <c r="D2675" s="1">
        <f>hyperlink("http://dspace.library.uu.nl/handle/1874/238308","Geboorte en doop van Oranje-prinsen op Soestdijk te Baarn 1938")</f>
        <v>0</v>
      </c>
    </row>
    <row r="2676" spans="2:4">
      <c r="B2676">
        <v>87</v>
      </c>
      <c r="C2676" s="1">
        <f>hyperlink("https://hetutrechtsarchief.nl/collectie/C3358D0959845BC29FC1A5C4D1881777","Oudmunstersche gevelsteen uit 1854 - C C v d G 62-63 1938")</f>
        <v>0</v>
      </c>
      <c r="D2676" s="1">
        <f>hyperlink("http://dspace.library.uu.nl/handle/1874/238309","Oudmunstersche gevelsteen uit 1854 C C van de Graft 1938")</f>
        <v>0</v>
      </c>
    </row>
    <row r="2677" spans="2:4">
      <c r="B2677">
        <v>83</v>
      </c>
      <c r="C2677" s="1">
        <f>hyperlink("https://hetutrechtsarchief.nl/collectie/1EDA394E4E4353618BABB3A43C3C372E","Reis- en verblijfkosten in 1503 - v C 65-66 1938")</f>
        <v>0</v>
      </c>
      <c r="D2677" s="1">
        <f>hyperlink("http://dspace.library.uu.nl/handle/1874/238310","Reis- en verblijfkosten in 1503 J W C van Campen 1938")</f>
        <v>0</v>
      </c>
    </row>
    <row r="2678" spans="2:4">
      <c r="B2678">
        <v>90</v>
      </c>
      <c r="C2678" s="1">
        <f>hyperlink("https://hetutrechtsarchief.nl/collectie/AF32A0BB52CF5C8195E4B54C2FC20630","De eerste dierentuin in Nederland Soestdijk 1808 - E 66-69 1938")</f>
        <v>0</v>
      </c>
      <c r="D2678" s="1">
        <f>hyperlink("http://dspace.library.uu.nl/handle/1874/238311","De eerste dierentuin in Nederland Soestdijk 1808 G A Evers 1938")</f>
        <v>0</v>
      </c>
    </row>
    <row r="2679" spans="2:4">
      <c r="B2679">
        <v>89</v>
      </c>
      <c r="C2679" s="1">
        <f>hyperlink("https://hetutrechtsarchief.nl/collectie/DAEDF3760959576D9E79EF60A73845B5","Oproer in het Utrechtsche Tuchthuis 1822 - E 69-70 1938")</f>
        <v>0</v>
      </c>
      <c r="D2679" s="1">
        <f>hyperlink("http://dspace.library.uu.nl/handle/1874/238312","Oproer in het Utrechtsche tuchthuis 1822 G A Evers 1938")</f>
        <v>0</v>
      </c>
    </row>
    <row r="2680" spans="2:4">
      <c r="B2680">
        <v>91</v>
      </c>
      <c r="C2680" s="1">
        <f>hyperlink("https://hetutrechtsarchief.nl/collectie/25A4D69C55725FCAB7A7111491C3C0B1","Hoe de Vroedschap in 1614 de Jaarmarkt reorganiseerde - E 79-82 1938")</f>
        <v>0</v>
      </c>
      <c r="D2680" s="1">
        <f>hyperlink("http://dspace.library.uu.nl/handle/1874/238313","Hoe de vroedschap in 1614 de jaarmarkt reorganiseerde G A Evers 1938")</f>
        <v>0</v>
      </c>
    </row>
    <row r="2681" spans="2:4">
      <c r="B2681">
        <v>92</v>
      </c>
      <c r="C2681" s="1">
        <f>hyperlink("https://hetutrechtsarchief.nl/collectie/150E5F8677DC51F59E623D095B609CF6","Nieuwe rechtspraak en een nieuw gebouw - K 85-87 1938")</f>
        <v>0</v>
      </c>
      <c r="D2681" s="1">
        <f>hyperlink("http://dspace.library.uu.nl/handle/1874/238314","Nieuwe rechtspraak en een nieuw gebouw K 1938")</f>
        <v>0</v>
      </c>
    </row>
    <row r="2682" spans="2:4">
      <c r="B2682">
        <v>92</v>
      </c>
      <c r="C2682" s="1">
        <f>hyperlink("https://hetutrechtsarchief.nl/collectie/5E7C983802985DD78DD3EDCC4E47DF81","Het Utrechtsche praalbed in het Bourgondische Paleis te Brussel - E 89-91 1938")</f>
        <v>0</v>
      </c>
      <c r="D2682" s="1">
        <f>hyperlink("http://dspace.library.uu.nl/handle/1874/238315","Het Utrechtsche praalbed in het Bourgondische paleis te Brussel G A Evers 1938")</f>
        <v>0</v>
      </c>
    </row>
    <row r="2683" spans="2:4">
      <c r="B2683">
        <v>94</v>
      </c>
      <c r="C2683" s="1">
        <f>hyperlink("https://hetutrechtsarchief.nl/collectie/3A58E33573CB52D19D803EF88F475AC5","Iets over den wijnhandel te Utrecht in de 13de en 14de eeuw - V 92-93 1938")</f>
        <v>0</v>
      </c>
      <c r="D2683" s="1">
        <f>hyperlink("http://dspace.library.uu.nl/handle/1874/238316","Iets over den wijnhandel te Utrecht in de 13de en 14de eeuw V 1938")</f>
        <v>0</v>
      </c>
    </row>
    <row r="2684" spans="2:4">
      <c r="B2684">
        <v>78</v>
      </c>
      <c r="C2684" s="1">
        <f>hyperlink("https://hetutrechtsarchief.nl/collectie/72707A2CF0995E42AE5144ADEBCD168D","Officieele volksvoorlichting - W G v R 17-18 1939")</f>
        <v>0</v>
      </c>
      <c r="D2684" s="1">
        <f>hyperlink("http://dspace.library.uu.nl/handle/1874/238317","Officieele volksvoorlichting W Graadt van Roggen 1938")</f>
        <v>0</v>
      </c>
    </row>
    <row r="2685" spans="2:4">
      <c r="B2685">
        <v>94</v>
      </c>
      <c r="C2685" s="1">
        <f>hyperlink("https://hetutrechtsarchief.nl/collectie/F0EE66BDCEE551E59F8314A40194CF4A","De Christelijke afgescheiden gemeente en de eerste jaren van haar bestaan - K 20-23 1939")</f>
        <v>0</v>
      </c>
      <c r="D2685" s="1">
        <f>hyperlink("http://dspace.library.uu.nl/handle/1874/238318","De Christelijke Afgescheidenen Gemeente en de eerste jaren van haar bestaan K 1939")</f>
        <v>0</v>
      </c>
    </row>
    <row r="2686" spans="2:4">
      <c r="B2686">
        <v>70</v>
      </c>
      <c r="C2686" s="1">
        <f>hyperlink("https://hetutrechtsarchief.nl/collectie/409FE6CAC73A5B0786D1FAE6A1A00C37","Oudewater - v C 34-36 1939")</f>
        <v>0</v>
      </c>
      <c r="D2686" s="1">
        <f>hyperlink("http://dspace.library.uu.nl/handle/1874/238319","Oudewater J W C van Campen 1939")</f>
        <v>0</v>
      </c>
    </row>
    <row r="2687" spans="2:4">
      <c r="B2687">
        <v>87</v>
      </c>
      <c r="C2687" s="1">
        <f>hyperlink("https://hetutrechtsarchief.nl/collectie/D306FE329C225B7FA282C2C12055D471","Koning Lodewijk te IJsselstein - E 51-53 1939")</f>
        <v>0</v>
      </c>
      <c r="D2687" s="1">
        <f>hyperlink("http://dspace.library.uu.nl/handle/1874/238320","Koning Lodewijk te IJsselstein G A Evers 1939")</f>
        <v>0</v>
      </c>
    </row>
    <row r="2688" spans="2:4">
      <c r="B2688">
        <v>94</v>
      </c>
      <c r="C2688" s="1">
        <f>hyperlink("https://hetutrechtsarchief.nl/collectie/98799D2995495FF6A5A3A84EB5BF61BB","De ontvangst van het eerste bericht der verovering van de zilvervloot te Utrecht - E 57-59 1939")</f>
        <v>0</v>
      </c>
      <c r="D2688" s="1">
        <f>hyperlink("http://dspace.library.uu.nl/handle/1874/238321","De ontvangst van het eerste bericht der verovering van de zilvervloot te Utrecht G A Evers 1939")</f>
        <v>0</v>
      </c>
    </row>
    <row r="2689" spans="2:4">
      <c r="B2689">
        <v>79</v>
      </c>
      <c r="C2689" s="1">
        <f>hyperlink("https://hetutrechtsarchief.nl/collectie/FDD1336CD75558F88D17660A30C20AEE","Nicolaas Beets te Utrecht 11 juni 1854 - 13 maart 1903 I-III - C C v d G 73-75 81-83 90-92 1939")</f>
        <v>0</v>
      </c>
      <c r="D2689" s="1">
        <f>hyperlink("http://dspace.library.uu.nl/handle/1874/238322","Nicolaas Beets te Utrecht 11 Juni 1854 13 Maart 1903 C C van de Graft 1939")</f>
        <v>0</v>
      </c>
    </row>
    <row r="2690" spans="2:4">
      <c r="B2690">
        <v>91</v>
      </c>
      <c r="C2690" s="1">
        <f>hyperlink("https://hetutrechtsarchief.nl/collectie/30A060B18BD05B7CA6E78433196EDF11","De Vlaamsche opera in 1769 te Maarssen - E 77 1939")</f>
        <v>0</v>
      </c>
      <c r="D2690" s="1">
        <f>hyperlink("http://dspace.library.uu.nl/handle/1874/238323","De Vlaamsche opera in 1769 te Maarssen G A Evers 1939")</f>
        <v>0</v>
      </c>
    </row>
    <row r="2691" spans="2:4">
      <c r="B2691">
        <v>72</v>
      </c>
      <c r="C2691" s="1">
        <f>hyperlink("https://hetutrechtsarchief.nl/collectie/A0AF1EFDDD985A43A773D757A87D8102","Toneelbericht - W G v R 83-85 1939")</f>
        <v>0</v>
      </c>
      <c r="D2691" s="1">
        <f>hyperlink("http://dspace.library.uu.nl/handle/1874/238324","Toneelbericht W Graadt van Roggen 1939")</f>
        <v>0</v>
      </c>
    </row>
    <row r="2692" spans="2:4">
      <c r="B2692">
        <v>70</v>
      </c>
      <c r="C2692" s="1">
        <f>hyperlink("https://hetutrechtsarchief.nl/collectie/2696F16EACBC543499D28A25462B4A5F","Jan van Hattem In memoriam - v H 33-35 1940")</f>
        <v>0</v>
      </c>
      <c r="D2692" s="1">
        <f>hyperlink("http://dspace.library.uu.nl/handle/1874/238325","Jan van Hattem v H 1940")</f>
        <v>0</v>
      </c>
    </row>
    <row r="2693" spans="2:4">
      <c r="B2693">
        <v>62</v>
      </c>
      <c r="C2693" s="1">
        <f>hyperlink("https://hetutrechtsarchief.nl/collectie/B9CE9B883DE95DD5BA29FBFE6FE206ED","Utrecht - W W 1 ill 1948")</f>
        <v>0</v>
      </c>
      <c r="D2693" s="1">
        <f>hyperlink("http://dspace.library.uu.nl/handle/1874/238326","Utrecht in 1840 en in 1940 1940")</f>
        <v>0</v>
      </c>
    </row>
    <row r="2694" spans="2:4">
      <c r="B2694">
        <v>71</v>
      </c>
      <c r="C2694" s="1">
        <f>hyperlink("https://hetutrechtsarchief.nl/collectie/188D89357F205C939CBF89B2D957B59D","Familie-straatnamen een antwoord - v C 93-94 1940")</f>
        <v>0</v>
      </c>
      <c r="D2694" s="1">
        <f>hyperlink("http://dspace.library.uu.nl/handle/1874/238327","Familie-straatnamen J W C van Campen 1940")</f>
        <v>0</v>
      </c>
    </row>
    <row r="2695" spans="2:4">
      <c r="B2695">
        <v>85</v>
      </c>
      <c r="C2695" s="1">
        <f>hyperlink("https://hetutrechtsarchief.nl/collectie/821FD97F7C9152308F071474B7C04DFF","Familie-straatnamen Dirkje Mariastraat - v C 12-13 1941")</f>
        <v>0</v>
      </c>
      <c r="D2695" s="1">
        <f>hyperlink("http://dspace.library.uu.nl/handle/1874/238328","Familie-straatnamen Dirkje Mariastraat J W C van Campen 1941")</f>
        <v>0</v>
      </c>
    </row>
    <row r="2696" spans="2:4">
      <c r="B2696">
        <v>87</v>
      </c>
      <c r="C2696" s="1">
        <f>hyperlink("https://hetutrechtsarchief.nl/collectie/BDED22696E7358C09A138F988D2B4F50","Een afgedwaalde en weinig-bekende gevelsteen - v C 93-94 1941")</f>
        <v>0</v>
      </c>
      <c r="D2696" s="1">
        <f>hyperlink("http://dspace.library.uu.nl/handle/1874/238329","Een afgedwaalde en weinig-bekende gevelsteen J W C van Campen 1941")</f>
        <v>0</v>
      </c>
    </row>
    <row r="2697" spans="2:4">
      <c r="B2697">
        <v>94</v>
      </c>
      <c r="C2697" s="1">
        <f>hyperlink("https://hetutrechtsarchief.nl/collectie/20BBCE6152675D35A6A6C05B6BA3D998","Een inschrift op de binnenplaats van Paushuize - A D v R A 5 1942")</f>
        <v>0</v>
      </c>
      <c r="D2697" s="1">
        <f>hyperlink("http://dspace.library.uu.nl/handle/1874/238330","Het inschrift op de binnenplaats van Paushuize A D v R A 1942")</f>
        <v>0</v>
      </c>
    </row>
    <row r="2698" spans="2:4">
      <c r="B2698">
        <v>80</v>
      </c>
      <c r="C2698" s="1">
        <f>hyperlink("https://hetutrechtsarchief.nl/collectie/2A0CA5A8869E553A9354499D6B4808D0","Utrechtsche geschiedenis in de reclame - W G v R 25-29 34-40 1942")</f>
        <v>0</v>
      </c>
      <c r="D2698" s="1">
        <f>hyperlink("http://dspace.library.uu.nl/handle/1874/238331","Utrechtsche geschiedenis in de reclame W Graadt van Roggen 1942")</f>
        <v>0</v>
      </c>
    </row>
    <row r="2699" spans="2:4">
      <c r="B2699">
        <v>90</v>
      </c>
      <c r="C2699" s="1">
        <f>hyperlink("https://hetutrechtsarchief.nl/collectie/A658FB688DB25E82BC79A41BB697D26D","Bij Willem Stookers 25-jarige ambtsvervulling - E 33-34 1942")</f>
        <v>0</v>
      </c>
      <c r="D2699" s="1">
        <f>hyperlink("http://dspace.library.uu.nl/handle/1874/238332","Bij Willem Stookers 25-jarige ambtsvervulling G A Evers 1942")</f>
        <v>0</v>
      </c>
    </row>
    <row r="2700" spans="2:4">
      <c r="B2700">
        <v>89</v>
      </c>
      <c r="C2700" s="1">
        <f>hyperlink("https://hetutrechtsarchief.nl/collectie/101831BB55055200A94CBBFFD7D20353","Maurits van Saksen als kind te Utrecht - E 40-41 1942")</f>
        <v>0</v>
      </c>
      <c r="D2700" s="1">
        <f>hyperlink("http://dspace.library.uu.nl/handle/1874/238333","Maurits van Saksen als kind te Utrecht G A Evers 1942")</f>
        <v>0</v>
      </c>
    </row>
    <row r="2701" spans="2:4">
      <c r="B2701">
        <v>88</v>
      </c>
      <c r="C2701" s="1">
        <f>hyperlink("https://hetutrechtsarchief.nl/collectie/D582358032025945B91FDB4480E9D851","Seventoorn en Hertenhuis oude namen in eere hersteld - v C 52-54 1942")</f>
        <v>0</v>
      </c>
      <c r="D2701" s="1">
        <f>hyperlink("http://dspace.library.uu.nl/handle/1874/238334","Seventoorn en Hertenhuis oude namen in eere hersteld J W C van Campen 1942")</f>
        <v>0</v>
      </c>
    </row>
    <row r="2702" spans="2:4">
      <c r="B2702">
        <v>84</v>
      </c>
      <c r="C2702" s="1">
        <f>hyperlink("https://hetutrechtsarchief.nl/collectie/3D4EC64A9D305B138C9D28E632CA0D45","De gereformeerdheid van het Gereformeerd Burgerweeshuis - v C 57-58 1942")</f>
        <v>0</v>
      </c>
      <c r="D2702" s="1">
        <f>hyperlink("http://dspace.library.uu.nl/handle/1874/238335","De gereformeerdheid van het Gereformeerd Burgerweeshuis te Utrecht J W C van Campen 1942")</f>
        <v>0</v>
      </c>
    </row>
    <row r="2703" spans="2:4">
      <c r="B2703">
        <v>95</v>
      </c>
      <c r="C2703" s="1">
        <f>hyperlink("https://hetutrechtsarchief.nl/collectie/9AFE01C22BC5567A8DBA9A23BA3BBC7D","De Jeremie en het Vaartsche Veerhuis J W C van Campen 89-92 1942")</f>
        <v>0</v>
      </c>
      <c r="D2703" s="1">
        <f>hyperlink("http://dspace.library.uu.nl/handle/1874/238336","De Jeremie en het Vaartsche veerhuis J W C van Campen 1942")</f>
        <v>0</v>
      </c>
    </row>
    <row r="2704" spans="2:4">
      <c r="B2704">
        <v>90</v>
      </c>
      <c r="C2704" s="1">
        <f>hyperlink("https://hetutrechtsarchief.nl/collectie/69184FED64AB58059E4A88E159B1D0D2","Petronella Moens 4 januari 1843 - K 1-3 1943")</f>
        <v>0</v>
      </c>
      <c r="D2704" s="1">
        <f>hyperlink("http://dspace.library.uu.nl/handle/1874/238337","Petronella Moens 4 Januari 1943 K 1943")</f>
        <v>0</v>
      </c>
    </row>
    <row r="2705" spans="2:4">
      <c r="B2705">
        <v>94</v>
      </c>
      <c r="C2705" s="1">
        <f>hyperlink("https://hetutrechtsarchief.nl/collectie/41B1DA065AA75759B99E67BB00685AAA","Het uiterlijk van den ouden Schouwburg - van den Berg 4-7 1943")</f>
        <v>0</v>
      </c>
      <c r="D2705" s="1">
        <f>hyperlink("http://dspace.library.uu.nl/handle/1874/238338","Het uiterlijk van den ouden schouwburg J H C van den Berg 1943")</f>
        <v>0</v>
      </c>
    </row>
    <row r="2706" spans="2:4">
      <c r="B2706">
        <v>93</v>
      </c>
      <c r="C2706" s="1">
        <f>hyperlink("https://hetutrechtsarchief.nl/collectie/DFBA774EBC88583EA059DE092C3E2E86","Wat wil de leek graag van Utrecht weten A N L Otten 9-13 18 1943")</f>
        <v>0</v>
      </c>
      <c r="D2706" s="1">
        <f>hyperlink("http://dspace.library.uu.nl/handle/1874/238339","Wat wil de leek graag van Utrecht weten A N L Otten 1943")</f>
        <v>0</v>
      </c>
    </row>
    <row r="2707" spans="2:4">
      <c r="B2707">
        <v>88</v>
      </c>
      <c r="C2707" s="1">
        <f>hyperlink("https://hetutrechtsarchief.nl/collectie/0A550DB103CF5E10834C7D110095C8CF","Geimagineerde spokerije - K 18-19 1943")</f>
        <v>0</v>
      </c>
      <c r="D2707" s="1">
        <f>hyperlink("http://dspace.library.uu.nl/handle/1874/238340","Geimagineerde spokerije K 1943")</f>
        <v>0</v>
      </c>
    </row>
    <row r="2708" spans="2:4">
      <c r="B2708">
        <v>90</v>
      </c>
      <c r="C2708" s="1">
        <f>hyperlink("https://hetutrechtsarchief.nl/collectie/97A40A47DC99577D91ACB7C1F98F9564","Hoe de hond van het Hof van Holland bevrijd werd een Utrechtsche honden-historie - W G v R 25-29 1943")</f>
        <v>0</v>
      </c>
      <c r="D2708" s="1">
        <f>hyperlink("http://dspace.library.uu.nl/handle/1874/238341","Hoe de hond van het Hof van Holland bevrijd werd een Utrechtsche honden-historie W Graadt van Roggen 1943")</f>
        <v>0</v>
      </c>
    </row>
    <row r="2709" spans="2:4">
      <c r="B2709">
        <v>65</v>
      </c>
      <c r="C2709" s="1">
        <f>hyperlink("https://hetutrechtsarchief.nl/collectie/46914283A2DB58E3A317C0C7CDE97F73","Poortje verdwenen 39 1952")</f>
        <v>0</v>
      </c>
      <c r="D2709" s="1">
        <f>hyperlink("http://dspace.library.uu.nl/handle/1874/238342","Oude brug verdwenen 72 1962")</f>
        <v>0</v>
      </c>
    </row>
    <row r="2710" spans="2:4">
      <c r="B2710">
        <v>94</v>
      </c>
      <c r="C2710" s="1">
        <f>hyperlink("https://hetutrechtsarchief.nl/collectie/CB844B86E06A54B7A7E66216E3FAB8B6","Gevaarlijk voorstel - de J 74-75 1962")</f>
        <v>0</v>
      </c>
      <c r="D2710" s="1">
        <f>hyperlink("http://dspace.library.uu.nl/handle/1874/238343","Gevaarlijk voorstel H de Jong 74-75 1962")</f>
        <v>0</v>
      </c>
    </row>
    <row r="2711" spans="2:4">
      <c r="B2711">
        <v>93</v>
      </c>
      <c r="C2711" s="1">
        <f>hyperlink("https://hetutrechtsarchief.nl/collectie/865C32F320E558449B3F51B06D011124","Bij het overlijden van G A Evers ere-lid van Oud-Utrecht J W C van Campen 94-97 ill portr 1962")</f>
        <v>0</v>
      </c>
      <c r="D2711" s="1">
        <f>hyperlink("http://dspace.library.uu.nl/handle/1874/238344","Bij het overlijden van G A Evers erelid van Oud-Utrecht J W C van Campen 94-96 1962")</f>
        <v>0</v>
      </c>
    </row>
    <row r="2712" spans="2:4">
      <c r="B2712">
        <v>92</v>
      </c>
      <c r="C2712" s="1">
        <f>hyperlink("https://hetutrechtsarchief.nl/collectie/777E693FEE6557DEB7B11729F89DCCFB","Is pas verworven stadsschoon gedoemd weer te verdwijnen - A N L O 60-63 1943")</f>
        <v>0</v>
      </c>
      <c r="D2712" s="1">
        <f>hyperlink("http://dspace.library.uu.nl/handle/1874/238345","Is pas verworven stadsschoon gedoemd weer te verdwijnen A N L Otten 1943")</f>
        <v>0</v>
      </c>
    </row>
    <row r="2713" spans="2:4">
      <c r="B2713">
        <v>88</v>
      </c>
      <c r="C2713" s="1">
        <f>hyperlink("https://hetutrechtsarchief.nl/collectie/C2C296A1ED685E06A12A2047B53B2C3A","Plichten tegenover het verleden - A N L O 42-44 1943")</f>
        <v>0</v>
      </c>
      <c r="D2713" s="1">
        <f>hyperlink("http://dspace.library.uu.nl/handle/1874/238346","Plichten tegenover het verleden A N L Otten 1943")</f>
        <v>0</v>
      </c>
    </row>
    <row r="2714" spans="2:4">
      <c r="B2714">
        <v>85</v>
      </c>
      <c r="C2714" s="1">
        <f>hyperlink("https://hetutrechtsarchief.nl/collectie/253EFA3AF7125DD7848DAEDD72E18A46","Oorlogsreportage in den napoleontischen tijd - W G v R 45-48 1943")</f>
        <v>0</v>
      </c>
      <c r="D2714" s="1">
        <f>hyperlink("http://dspace.library.uu.nl/handle/1874/238347","Oorlogsreportage in den Napoleontischen tijd W Graadt van Roggen 1943")</f>
        <v>0</v>
      </c>
    </row>
    <row r="2715" spans="2:4">
      <c r="B2715">
        <v>91</v>
      </c>
      <c r="C2715" s="1">
        <f>hyperlink("https://hetutrechtsarchief.nl/collectie/6D7BCCAE057759A895D6F16FA0411E7E","De fundatie van Jhr H E van Buchell in rechten hersteld - A N L O 89-91 1943")</f>
        <v>0</v>
      </c>
      <c r="D2715" s="1">
        <f>hyperlink("http://dspace.library.uu.nl/handle/1874/238348","De fundatie van jhr H E van Buchell in rechten hersteld A N L Otten 1945")</f>
        <v>0</v>
      </c>
    </row>
    <row r="2716" spans="2:4">
      <c r="B2716">
        <v>96</v>
      </c>
      <c r="C2716" s="1">
        <f>hyperlink("https://hetutrechtsarchief.nl/collectie/299C22ECFDFB59B59682A19A6B5B8CE6","De Stichting Het Utrechtsch Monumentenfonds A N L Otten 81-84 1947")</f>
        <v>0</v>
      </c>
      <c r="D2716" s="1">
        <f>hyperlink("http://dspace.library.uu.nl/handle/1874/238349","De stichting Het Utrechtsch Monumentenfonds A N L Otten 1945-1947")</f>
        <v>0</v>
      </c>
    </row>
    <row r="2717" spans="2:4">
      <c r="B2717">
        <v>79</v>
      </c>
      <c r="C2717" s="1">
        <f>hyperlink("https://hetutrechtsarchief.nl/collectie/735779F8CD0A5D5DB3710847BDB641D0","Dichterswoningen te Utrecht - C C v d G 1-3 17-20 27 1947")</f>
        <v>0</v>
      </c>
      <c r="D2717" s="1">
        <f>hyperlink("http://dspace.library.uu.nl/handle/1874/238350","Dichterswoningen te Utrecht C C van de Graft 1946-1947")</f>
        <v>0</v>
      </c>
    </row>
    <row r="2718" spans="2:4">
      <c r="B2718">
        <v>80</v>
      </c>
      <c r="C2718" s="1">
        <f>hyperlink("https://hetutrechtsarchief.nl/collectie/69E0FD71885050F39AFD827C314A43F0","Een oud spreekwoord - K 20 1946")</f>
        <v>0</v>
      </c>
      <c r="D2718" s="1">
        <f>hyperlink("http://dspace.library.uu.nl/handle/1874/238351","Een oud spreekwoord G van Klaveren 1946")</f>
        <v>0</v>
      </c>
    </row>
    <row r="2719" spans="2:4">
      <c r="B2719">
        <v>81</v>
      </c>
      <c r="C2719" s="1">
        <f>hyperlink("https://hetutrechtsarchief.nl/collectie/546C914C6D86597DA7104511866D40D3","Hoe oud werd Jan Practiseer - K 41-43 1946")</f>
        <v>0</v>
      </c>
      <c r="D2719" s="1">
        <f>hyperlink("http://dspace.library.uu.nl/handle/1874/238352","Hoe oud werd Jan Practiseer G van Klaveren 1946")</f>
        <v>0</v>
      </c>
    </row>
    <row r="2720" spans="2:4">
      <c r="B2720">
        <v>95</v>
      </c>
      <c r="C2720" s="1">
        <f>hyperlink("https://hetutrechtsarchief.nl/collectie/234EC4C2206451E896DDCCF527D16DA3","Buitenplaatsen te Breukelen Queeckhoven - Gunterstein - Boom en Bosch 50-51 1946")</f>
        <v>0</v>
      </c>
      <c r="D2720" s="1">
        <f>hyperlink("http://dspace.library.uu.nl/handle/1874/238353","Buitenplaatsen te Breukelen Queekhoven - Gunterstein - Boom en Bosch 1946")</f>
        <v>0</v>
      </c>
    </row>
    <row r="2721" spans="2:4">
      <c r="B2721">
        <v>85</v>
      </c>
      <c r="C2721" s="1">
        <f>hyperlink("https://hetutrechtsarchief.nl/collectie/8DAEF6B63CE45097BA09243ADC382F39","Een klok luidde - De J 2-6 1957")</f>
        <v>0</v>
      </c>
      <c r="D2721" s="1">
        <f>hyperlink("http://dspace.library.uu.nl/handle/1874/238354","Een klok luidde H de Jong 1957")</f>
        <v>0</v>
      </c>
    </row>
    <row r="2722" spans="2:4">
      <c r="B2722">
        <v>95</v>
      </c>
      <c r="C2722" s="1">
        <f>hyperlink("https://hetutrechtsarchief.nl/collectie/C4421F34F8215335A1CBE6B13A42DD19","Verbetering van de werven aan de Oudegracht R van Gaasbeek 81-82 1946")</f>
        <v>0</v>
      </c>
      <c r="D2722" s="1">
        <f>hyperlink("http://dspace.library.uu.nl/handle/1874/238355","Verbetering van de werven aan de Oudegracht R van Gaasbeek 1946")</f>
        <v>0</v>
      </c>
    </row>
    <row r="2723" spans="2:4">
      <c r="B2723">
        <v>84</v>
      </c>
      <c r="C2723" s="1">
        <f>hyperlink("https://hetutrechtsarchief.nl/collectie/DD252C7E18FD5E35BE07641ECC124EE9","Een stijlvolle restauratie - K A R 83-84 1946")</f>
        <v>0</v>
      </c>
      <c r="D2723" s="1">
        <f>hyperlink("http://dspace.library.uu.nl/handle/1874/238356","Een stijlvolle restauratie K A Rombach 1946")</f>
        <v>0</v>
      </c>
    </row>
    <row r="2724" spans="2:4">
      <c r="B2724">
        <v>96</v>
      </c>
      <c r="C2724" s="1">
        <f>hyperlink("https://hetutrechtsarchief.nl/collectie/C6134EAEC9C554A99DBBB0DA5E4389AE","Bierbrouwerijen in de provincie Utrecht in de achttiende eeuw 35-36 1947")</f>
        <v>0</v>
      </c>
      <c r="D2724" s="1">
        <f>hyperlink("http://dspace.library.uu.nl/handle/1874/238357","Bierbrouwerijen in de provincie Utrecht in de achttiende eeuw 1947")</f>
        <v>0</v>
      </c>
    </row>
    <row r="2725" spans="2:4">
      <c r="B2725">
        <v>94</v>
      </c>
      <c r="C2725" s="1">
        <f>hyperlink("https://hetutrechtsarchief.nl/collectie/3DA48BDB9CB0528C8C7671D91E70EAB9","Nogmaals de kerk van Vreeswijk A Johanna Maris 90-92 1947")</f>
        <v>0</v>
      </c>
      <c r="D2725" s="1">
        <f>hyperlink("http://dspace.library.uu.nl/handle/1874/238358","Nogmaals de kerk van Vreeswijk A Johanna Maris 1947")</f>
        <v>0</v>
      </c>
    </row>
    <row r="2726" spans="2:4">
      <c r="B2726">
        <v>98</v>
      </c>
      <c r="C2726" s="1">
        <f>hyperlink("https://hetutrechtsarchief.nl/collectie/B5AA50B0AB445CEDBCD5E91FBD0A08DF","Over het ontstaan van het gebruik om wapenborden in de kerken op te hangen A Graafhuis 69-74 ill 1960")</f>
        <v>0</v>
      </c>
      <c r="D2726" s="1">
        <f>hyperlink("http://dspace.library.uu.nl/handle/1874/238359","Over het ontstaan van het gebruik om wapenborden in de kerken op te hangen A Graafhuis 69-74 1960")</f>
        <v>0</v>
      </c>
    </row>
    <row r="2727" spans="2:4">
      <c r="B2727">
        <v>92</v>
      </c>
      <c r="C2727" s="1">
        <f>hyperlink("https://hetutrechtsarchief.nl/collectie/9029778336E055DBA33DD1652F5DFC4D","Een stadsgezicht van J van Groenestein S W Melchior ill 1960")</f>
        <v>0</v>
      </c>
      <c r="D2727" s="1">
        <f>hyperlink("http://dspace.library.uu.nl/handle/1874/238360","Een stadsgezicht van J van Groenestein S W Melchior 111-113 1960")</f>
        <v>0</v>
      </c>
    </row>
    <row r="2728" spans="2:4">
      <c r="B2728">
        <v>100</v>
      </c>
      <c r="C2728" s="1">
        <f>hyperlink("https://hetutrechtsarchief.nl/collectie/89DF4EA90AC05425907323CFFB4C69F5","Over t-dieverij J van Galen 117-118 1960")</f>
        <v>0</v>
      </c>
      <c r="D2728" s="1">
        <f>hyperlink("http://dspace.library.uu.nl/handle/1874/238361","Over t-dieverij J van Galen 117-118 1960")</f>
        <v>0</v>
      </c>
    </row>
    <row r="2729" spans="2:4">
      <c r="B2729">
        <v>92</v>
      </c>
      <c r="C2729" s="1">
        <f>hyperlink("https://hetutrechtsarchief.nl/collectie/F6F517EF3E9B5530911E07964DEED414","Swidbert Kaiserswerth Utrecht M A van Melle 118-121 ill portr 1960")</f>
        <v>0</v>
      </c>
      <c r="D2729" s="1">
        <f>hyperlink("http://dspace.library.uu.nl/handle/1874/238362","Swidbert Kaiserswerth Utrecht M A van Melle 118-121 1960")</f>
        <v>0</v>
      </c>
    </row>
    <row r="2730" spans="2:4">
      <c r="B2730">
        <v>100</v>
      </c>
      <c r="C2730" s="1">
        <f>hyperlink("https://hetutrechtsarchief.nl/collectie/78220A84A50A54748E23E25301DFA384","Meyster Aryaen tot paeus vercoren J K van Loon 21-24 1959")</f>
        <v>0</v>
      </c>
      <c r="D2730" s="1">
        <f>hyperlink("http://dspace.library.uu.nl/handle/1874/238363","Meyster Aryaen tot paeus vercoren J K van Loon 21-24 1959")</f>
        <v>0</v>
      </c>
    </row>
    <row r="2731" spans="2:4">
      <c r="B2731">
        <v>94</v>
      </c>
      <c r="C2731" s="1">
        <f>hyperlink("https://hetutrechtsarchief.nl/collectie/85A9AADECEF8584BB63C5D012A9D9189","Kerkherstel in Utrecht - de J 93-95 1959")</f>
        <v>0</v>
      </c>
      <c r="D2731" s="1">
        <f>hyperlink("http://dspace.library.uu.nl/handle/1874/238364","Kerkherstel in Utrecht H de Jong 93-95 1959")</f>
        <v>0</v>
      </c>
    </row>
    <row r="2732" spans="2:4">
      <c r="B2732">
        <v>78</v>
      </c>
      <c r="C2732" s="1">
        <f>hyperlink("https://hetutrechtsarchief.nl/collectie/D946427FE4805B3DBA8D20D5589EBA04","Montfoort - C L T G 101-102 ill 1959")</f>
        <v>0</v>
      </c>
      <c r="D2732" s="1">
        <f>hyperlink("http://dspace.library.uu.nl/handle/1874/238365","Montfoort C L Temminck Groll 101-102 1959")</f>
        <v>0</v>
      </c>
    </row>
    <row r="2733" spans="2:4">
      <c r="B2733">
        <v>94</v>
      </c>
      <c r="C2733" s="1">
        <f>hyperlink("https://hetutrechtsarchief.nl/collectie/C301D247FFE65B108CC7F506015F569F","Een verjaardagsbezoek bij Nicolaas Beets C C van de Graft 109-110 portr 1959")</f>
        <v>0</v>
      </c>
      <c r="D2733" s="1">
        <f>hyperlink("http://dspace.library.uu.nl/handle/1874/238366","Een verjaarsbezoek bij Nicolaas Beets C C van de Graft 109-110 1959")</f>
        <v>0</v>
      </c>
    </row>
    <row r="2734" spans="2:4">
      <c r="B2734">
        <v>100</v>
      </c>
      <c r="C2734" s="1">
        <f>hyperlink("https://hetutrechtsarchief.nl/collectie/ED8C221737E55D2EAC7AB2CC2BBED087","Schotten en Britten te Utrecht 123-124 1958")</f>
        <v>0</v>
      </c>
      <c r="D2734" s="1">
        <f>hyperlink("http://dspace.library.uu.nl/handle/1874/238367","Schotten en Britten te Utrecht 123-124 1958")</f>
        <v>0</v>
      </c>
    </row>
    <row r="2735" spans="2:4">
      <c r="B2735">
        <v>86</v>
      </c>
      <c r="C2735" s="1">
        <f>hyperlink("https://hetutrechtsarchief.nl/collectie/C94406B4A07454B58B9DAE46D60725C0","Amersfoort rond - D H 34-36 1948")</f>
        <v>0</v>
      </c>
      <c r="D2735" s="1">
        <f>hyperlink("http://dspace.library.uu.nl/handle/1874/238368","Amersfoort rond D H 1948")</f>
        <v>0</v>
      </c>
    </row>
    <row r="2736" spans="2:4">
      <c r="B2736">
        <v>90</v>
      </c>
      <c r="C2736" s="1">
        <f>hyperlink("https://hetutrechtsarchief.nl/collectie/499342647E4E552FB50440636A20FBBA","Samenwerking tussen twee Utrechtse instrumentmakers in de 18e eeuw door P H v C 38-40 1948")</f>
        <v>0</v>
      </c>
      <c r="D2736" s="1">
        <f>hyperlink("http://dspace.library.uu.nl/handle/1874/238369","Samenwerking tussen twee Utrechtse instrumentmakers in de 18e eeuw P H van Citert 1948")</f>
        <v>0</v>
      </c>
    </row>
    <row r="2737" spans="2:4">
      <c r="B2737">
        <v>92</v>
      </c>
      <c r="C2737" s="1">
        <f>hyperlink("https://hetutrechtsarchief.nl/collectie/B3407606115F5B3F9F4FE1F05C0A11F0","Een bezoek bij Nicolaas Beets 61-62 1948")</f>
        <v>0</v>
      </c>
      <c r="D2737" s="1">
        <f>hyperlink("http://dspace.library.uu.nl/handle/1874/238370","Een bezoek bij Nicolaas Beets 1948")</f>
        <v>0</v>
      </c>
    </row>
    <row r="2738" spans="2:4">
      <c r="B2738">
        <v>79</v>
      </c>
      <c r="C2738" s="1">
        <f>hyperlink("https://hetutrechtsarchief.nl/collectie/3AF3322E53125C988DBB0436009FB4C9","Fundaties vrijwoningen en preuves 13-14 1949")</f>
        <v>0</v>
      </c>
      <c r="D2738" s="1">
        <f>hyperlink("http://dspace.library.uu.nl/handle/1874/238371","Fundaties vrijwoningen en preuves J W C van Campen 1948")</f>
        <v>0</v>
      </c>
    </row>
    <row r="2739" spans="2:4">
      <c r="B2739">
        <v>89</v>
      </c>
      <c r="C2739" s="1">
        <f>hyperlink("https://hetutrechtsarchief.nl/collectie/9CD10BC336C95833B0E636EAA36D3F43","Opgravingen op het Domplein 19-20 1948")</f>
        <v>0</v>
      </c>
      <c r="D2739" s="1">
        <f>hyperlink("http://dspace.library.uu.nl/handle/1874/238372","Opgravingen op het Domplein 1949")</f>
        <v>0</v>
      </c>
    </row>
    <row r="2740" spans="2:4">
      <c r="B2740">
        <v>89</v>
      </c>
      <c r="C2740" s="1">
        <f>hyperlink("https://hetutrechtsarchief.nl/collectie/F5714E0774A05F0F857DED373219145C","Het kasteel de Haar 34-35 1949")</f>
        <v>0</v>
      </c>
      <c r="D2740" s="1">
        <f>hyperlink("http://dspace.library.uu.nl/handle/1874/238373","Het kasteel De Haar 1949")</f>
        <v>0</v>
      </c>
    </row>
    <row r="2741" spans="2:4">
      <c r="B2741">
        <v>82</v>
      </c>
      <c r="C2741" s="1">
        <f>hyperlink("https://hetutrechtsarchief.nl/collectie/A18A9C12F2165D35A0AD2192922758AF","Jan Steen en Utrecht - Sw 40 1949")</f>
        <v>0</v>
      </c>
      <c r="D2741" s="1">
        <f>hyperlink("http://dspace.library.uu.nl/handle/1874/238374","Jan Steen en Utrecht P T A Swillens 1949")</f>
        <v>0</v>
      </c>
    </row>
    <row r="2742" spans="2:4">
      <c r="B2742">
        <v>93</v>
      </c>
      <c r="C2742" s="1">
        <f>hyperlink("https://hetutrechtsarchief.nl/collectie/0A742C06AACB558C851C58C0883941A0","Romeinse muur blijft toegankelijk 41-42 1949")</f>
        <v>0</v>
      </c>
      <c r="D2742" s="1">
        <f>hyperlink("http://dspace.library.uu.nl/handle/1874/238375","Romeinse muur blijft toegankelijk 1949")</f>
        <v>0</v>
      </c>
    </row>
    <row r="2743" spans="2:4">
      <c r="B2743">
        <v>91</v>
      </c>
      <c r="C2743" s="1">
        <f>hyperlink("https://hetutrechtsarchief.nl/collectie/6646F469777E5A188CBA35572E08B34B","Restauratie van de Janskerk 51-52 1949")</f>
        <v>0</v>
      </c>
      <c r="D2743" s="1">
        <f>hyperlink("http://dspace.library.uu.nl/handle/1874/238376","Restauratie van de Janskerk 1949")</f>
        <v>0</v>
      </c>
    </row>
    <row r="2744" spans="2:4">
      <c r="B2744">
        <v>83</v>
      </c>
      <c r="C2744" s="1">
        <f>hyperlink("https://hetutrechtsarchief.nl/collectie/5723F581047750629475CB46F214ACB2","De beeldhouwersfamilie Rijnbout - v C 65-66 1949")</f>
        <v>0</v>
      </c>
      <c r="D2744" s="1">
        <f>hyperlink("http://dspace.library.uu.nl/handle/1874/238377","De beeldhouwersfamilie Rijnbout J W C van Campen 1949")</f>
        <v>0</v>
      </c>
    </row>
    <row r="2745" spans="2:4">
      <c r="B2745">
        <v>91</v>
      </c>
      <c r="C2745" s="1">
        <f>hyperlink("https://hetutrechtsarchief.nl/collectie/A1B5301C299155B196866A8861251A33","Een ambachtsman van het oude stempel A N L O 67-68 1949")</f>
        <v>0</v>
      </c>
      <c r="D2745" s="1">
        <f>hyperlink("http://dspace.library.uu.nl/handle/1874/238378","Een ambachtsman van het oude stempel A N L Otten 1949")</f>
        <v>0</v>
      </c>
    </row>
    <row r="2746" spans="2:4">
      <c r="B2746">
        <v>96</v>
      </c>
      <c r="C2746" s="1">
        <f>hyperlink("https://hetutrechtsarchief.nl/collectie/73A458F294A55005B6926D3A0623DA4E","Restauratie perceel op t Hoogt 69 1949")</f>
        <v>0</v>
      </c>
      <c r="D2746" s="1">
        <f>hyperlink("http://dspace.library.uu.nl/handle/1874/238379","Restauratie perceel op t Hoogt 1949")</f>
        <v>0</v>
      </c>
    </row>
    <row r="2747" spans="2:4">
      <c r="B2747">
        <v>87</v>
      </c>
      <c r="C2747" s="1">
        <f>hyperlink("https://hetutrechtsarchief.nl/collectie/8D10DE7CE23857BEB682F97D6278E651","De wapensmedenfamilie Van Solingen - v C 70 1949")</f>
        <v>0</v>
      </c>
      <c r="D2747" s="1">
        <f>hyperlink("http://dspace.library.uu.nl/handle/1874/238380","De wapensmedenfamilie Van Solingen J W C van Campen 1949")</f>
        <v>0</v>
      </c>
    </row>
    <row r="2748" spans="2:4">
      <c r="B2748">
        <v>77</v>
      </c>
      <c r="C2748" s="1">
        <f>hyperlink("https://hetutrechtsarchief.nl/collectie/35BB8820A9B95DBC94C8350B5169F94F","De tand des tijds 77-78 1949")</f>
        <v>0</v>
      </c>
      <c r="D2748" s="1">
        <f>hyperlink("http://dspace.library.uu.nl/handle/1874/238381","De tand des tijds A N L Otten 1949")</f>
        <v>0</v>
      </c>
    </row>
    <row r="2749" spans="2:4">
      <c r="B2749">
        <v>71</v>
      </c>
      <c r="C2749" s="1">
        <f>hyperlink("https://hetutrechtsarchief.nl/collectie/6CA5ACE36DFA597B9257F6E3AAC208BD","Utrecht in romanvorm - C C v d G 31 1936")</f>
        <v>0</v>
      </c>
      <c r="D2749" s="1">
        <f>hyperlink("http://dspace.library.uu.nl/handle/1874/238382","Utrecht in romanvorm achttiende eeuw C C van de Graft 1950")</f>
        <v>0</v>
      </c>
    </row>
    <row r="2750" spans="2:4">
      <c r="B2750">
        <v>96</v>
      </c>
      <c r="C2750" s="1">
        <f>hyperlink("https://hetutrechtsarchief.nl/collectie/6BF968BCB3AE5901ACE94277E430477B","Het huis te Nesse onder Linschoten 39 1951")</f>
        <v>0</v>
      </c>
      <c r="D2750" s="1">
        <f>hyperlink("http://dspace.library.uu.nl/handle/1874/238383","Het huis Te Nesse onder Linschoten 1951")</f>
        <v>0</v>
      </c>
    </row>
    <row r="2751" spans="2:4">
      <c r="B2751">
        <v>82</v>
      </c>
      <c r="C2751" s="1">
        <f>hyperlink("https://hetutrechtsarchief.nl/collectie/0740FCDB041A5B05B186BF08CD1CE848","Sypesteyn 41-43 1951")</f>
        <v>0</v>
      </c>
      <c r="D2751" s="1">
        <f>hyperlink("http://dspace.library.uu.nl/handle/1874/238384","Sypesteyn 1951")</f>
        <v>0</v>
      </c>
    </row>
    <row r="2752" spans="2:4">
      <c r="B2752">
        <v>95</v>
      </c>
      <c r="C2752" s="1">
        <f>hyperlink("https://hetutrechtsarchief.nl/collectie/DAB0961AA94151E59A350EDAB518E1ED","Het Begijnhof in een nieuw kleed een wandeling langs verdwenen huizen - Bm 62-64 1951")</f>
        <v>0</v>
      </c>
      <c r="D2752" s="1">
        <f>hyperlink("http://dspace.library.uu.nl/handle/1874/238385","Het Begijnhof in een nieuw kleed een wandeling langs verdwenen huizen Bm 1951")</f>
        <v>0</v>
      </c>
    </row>
    <row r="2753" spans="2:4">
      <c r="B2753">
        <v>93</v>
      </c>
      <c r="C2753" s="1">
        <f>hyperlink("https://hetutrechtsarchief.nl/collectie/8F7B3B6D891D51C7B828F1F7486E8E9B","Utrechtse middeleeuwse beeldhouwkunst 70-72 1951")</f>
        <v>0</v>
      </c>
      <c r="D2753" s="1">
        <f>hyperlink("http://dspace.library.uu.nl/handle/1874/238386","Utrechtse middeleeuwse beeldhouwkunst 1951")</f>
        <v>0</v>
      </c>
    </row>
    <row r="2754" spans="2:4">
      <c r="B2754">
        <v>85</v>
      </c>
      <c r="C2754" s="1">
        <f>hyperlink("https://hetutrechtsarchief.nl/collectie/C706DD25981E56E5BAB9BE935A146D55","Dr W A F Bannier - E 74 1951")</f>
        <v>0</v>
      </c>
      <c r="D2754" s="1">
        <f>hyperlink("http://dspace.library.uu.nl/handle/1874/238387","Dr W A F Bannier G A Evers 1951")</f>
        <v>0</v>
      </c>
    </row>
    <row r="2755" spans="2:4">
      <c r="B2755">
        <v>82</v>
      </c>
      <c r="C2755" s="1">
        <f>hyperlink("https://hetutrechtsarchief.nl/collectie/FE3B0210938F527F873C745203E9A586","Werk van C van Velzel - v C 34 1952")</f>
        <v>0</v>
      </c>
      <c r="D2755" s="1">
        <f>hyperlink("http://dspace.library.uu.nl/handle/1874/238388","Werk van C van Velzel J W C van Campen 1952")</f>
        <v>0</v>
      </c>
    </row>
    <row r="2756" spans="2:4">
      <c r="B2756">
        <v>96</v>
      </c>
      <c r="C2756" s="1">
        <f>hyperlink("https://hetutrechtsarchief.nl/collectie/F9345E91C1015945ADAADF0D498B3B86","De bouwmeester van het huis te Amerongen Aleid W van de Bunt 68-70 1952")</f>
        <v>0</v>
      </c>
      <c r="D2756" s="1">
        <f>hyperlink("http://dspace.library.uu.nl/handle/1874/238389","De bouwmeester van het huis te Amerongen Aleid W van de Bunt 1952")</f>
        <v>0</v>
      </c>
    </row>
    <row r="2757" spans="2:4">
      <c r="B2757">
        <v>93</v>
      </c>
      <c r="C2757" s="1">
        <f>hyperlink("https://hetutrechtsarchief.nl/collectie/077551BDDAEB582097E58A23F849B881","Herinneringen aan wijk C H C Bri t 78-79 1952")</f>
        <v>0</v>
      </c>
      <c r="D2757" s="1">
        <f>hyperlink("http://dspace.library.uu.nl/handle/1874/238390","Herinneringen aan Wijk C H C Bri t 1952")</f>
        <v>0</v>
      </c>
    </row>
    <row r="2758" spans="2:4">
      <c r="B2758">
        <v>87</v>
      </c>
      <c r="C2758" s="1">
        <f>hyperlink("https://hetutrechtsarchief.nl/collectie/7623D390D43755669813B5F4BD308CCB","De Stichts-Gooise grenspalen M Raven 62")</f>
        <v>0</v>
      </c>
      <c r="D2758" s="1">
        <f>hyperlink("http://dspace.library.uu.nl/handle/1874/238391","De Stichts-Gooise grenspalen M Raven 1953-1954")</f>
        <v>0</v>
      </c>
    </row>
    <row r="2759" spans="2:4">
      <c r="B2759">
        <v>61</v>
      </c>
      <c r="C2759" s="1">
        <f>hyperlink("https://hetutrechtsarchief.nl/collectie/3F1F43685750539C9877DA942CE48C0F","Archeologische vondsten te Rhenen 6 1952")</f>
        <v>0</v>
      </c>
      <c r="D2759" s="1">
        <f>hyperlink("http://dspace.library.uu.nl/handle/1874/238392","Vondsten te Breukelen 1954")</f>
        <v>0</v>
      </c>
    </row>
    <row r="2760" spans="2:4">
      <c r="B2760">
        <v>97</v>
      </c>
      <c r="C2760" s="1">
        <f>hyperlink("https://hetutrechtsarchief.nl/collectie/2DCA1248A5405F35ABD629FDCB652080","Een halve eeuw Utrechtsche folklore-studie G A Evers 34 1954")</f>
        <v>0</v>
      </c>
      <c r="D2760" s="1">
        <f>hyperlink("http://dspace.library.uu.nl/handle/1874/238393","Een halve eeuw Utrechtsche folklore-studie G A Evers 1954")</f>
        <v>0</v>
      </c>
    </row>
    <row r="2761" spans="2:4">
      <c r="B2761">
        <v>87</v>
      </c>
      <c r="C2761" s="1">
        <f>hyperlink("https://hetutrechtsarchief.nl/collectie/5B8F75B9878152598D6D595592B88055","Twee meningen over Utrecht - de J 75-76 1954")</f>
        <v>0</v>
      </c>
      <c r="D2761" s="1">
        <f>hyperlink("http://dspace.library.uu.nl/handle/1874/238394","Twee meningen over Utrecht H de Jong 1954")</f>
        <v>0</v>
      </c>
    </row>
    <row r="2762" spans="2:4">
      <c r="B2762">
        <v>79</v>
      </c>
      <c r="C2762" s="1">
        <f>hyperlink("https://hetutrechtsarchief.nl/collectie/0D0FCE48C2175429971DF2EB72448BCB","De zijl van St Marie - K 2-6 plgr 1955")</f>
        <v>0</v>
      </c>
      <c r="D2762" s="1">
        <f>hyperlink("http://dspace.library.uu.nl/handle/1874/238395","De zijl van St Marie G van Klaveren 1955")</f>
        <v>0</v>
      </c>
    </row>
    <row r="2763" spans="2:4">
      <c r="B2763">
        <v>81</v>
      </c>
      <c r="C2763" s="1">
        <f>hyperlink("https://hetutrechtsarchief.nl/collectie/E7AC6DDD4CC65E548D5219608D04C6BD","De runensteen op het Domplein 8-9 1955")</f>
        <v>0</v>
      </c>
      <c r="D2763" s="1">
        <f>hyperlink("http://dspace.library.uu.nl/handle/1874/238396","De runensteen op het Domplein J W C van Campen 1955")</f>
        <v>0</v>
      </c>
    </row>
    <row r="2764" spans="2:4">
      <c r="B2764">
        <v>82</v>
      </c>
      <c r="C2764" s="1">
        <f>hyperlink("https://hetutrechtsarchief.nl/collectie/1D9F20860C96582EBAFE94601C7587A1","Saken van cleynder importantie - K 11-14 1957")</f>
        <v>0</v>
      </c>
      <c r="D2764" s="1">
        <f>hyperlink("http://dspace.library.uu.nl/handle/1874/238397","Saken van cleynder importantie G van Klaveren 1955-1957")</f>
        <v>0</v>
      </c>
    </row>
    <row r="2765" spans="2:4">
      <c r="B2765">
        <v>92</v>
      </c>
      <c r="C2765" s="1">
        <f>hyperlink("https://hetutrechtsarchief.nl/collectie/67F609B1E6945E43B60B1ABA8967DE12","Een merkwaardige kaart van Nicolaas van Geelkercken D Philips 22-24 krt 1955")</f>
        <v>0</v>
      </c>
      <c r="D2765" s="1">
        <f>hyperlink("http://dspace.library.uu.nl/handle/1874/238398","Een merkwaardige kaart van Nicolaes van Geelkercken D Philips 1955")</f>
        <v>0</v>
      </c>
    </row>
    <row r="2766" spans="2:4">
      <c r="B2766">
        <v>94</v>
      </c>
      <c r="C2766" s="1">
        <f>hyperlink("https://hetutrechtsarchief.nl/collectie/9A91B543596257C49D2645C007617504","De grens Gooi-Sticht in het kaartbeeld M Raven 24-25 1955")</f>
        <v>0</v>
      </c>
      <c r="D2766" s="1">
        <f>hyperlink("http://dspace.library.uu.nl/handle/1874/238399","De grens Gooi-Sticht in het kaartbeeld M Raven 1955")</f>
        <v>0</v>
      </c>
    </row>
    <row r="2767" spans="2:4">
      <c r="B2767">
        <v>94</v>
      </c>
      <c r="C2767" s="1">
        <f>hyperlink("https://hetutrechtsarchief.nl/collectie/B9C9EC6BBD1154EF8BA2DBC831CD2194","Peperstraten in Utrecht J W C van Campen 29-33 1955")</f>
        <v>0</v>
      </c>
      <c r="D2767" s="1">
        <f>hyperlink("http://dspace.library.uu.nl/handle/1874/238400","Peperstraten in Utrecht J W C van Campen 1955")</f>
        <v>0</v>
      </c>
    </row>
    <row r="2768" spans="2:4">
      <c r="B2768">
        <v>84</v>
      </c>
      <c r="C2768" s="1">
        <f>hyperlink("https://hetutrechtsarchief.nl/collectie/555FCB8953A3529AB1F3B1F11D0C144B","De edel mogende Heeren Staten Kamer - v C 38-39 1955")</f>
        <v>0</v>
      </c>
      <c r="D2768" s="1">
        <f>hyperlink("http://dspace.library.uu.nl/handle/1874/238401","De Edel Mogende Heeren Staten Kamer J W C van Campen 1955")</f>
        <v>0</v>
      </c>
    </row>
    <row r="2769" spans="2:4">
      <c r="B2769">
        <v>57</v>
      </c>
      <c r="C2769" s="1">
        <f>hyperlink("https://hetutrechtsarchief.nl/collectie/6D38B1DF70E45801B22C1DBDD6930361","Ridders van de goede werken Dick Franssen 13 2009")</f>
        <v>0</v>
      </c>
      <c r="D2769" s="1">
        <f>hyperlink("http://dspace.library.uu.nl/handle/1874/238402","Zijn de bewoners van Zegveld en Kamerik Friezen D E Cnossen 1955")</f>
        <v>0</v>
      </c>
    </row>
    <row r="2770" spans="2:4">
      <c r="B2770">
        <v>96</v>
      </c>
      <c r="C2770" s="1">
        <f>hyperlink("https://hetutrechtsarchief.nl/collectie/25EFF86F0B8F599CB49F687A591A1D70","Historisch openluchtspel voor kasteel Amerongen Aleid van Bunt 57-58 1955")</f>
        <v>0</v>
      </c>
      <c r="D2770" s="1">
        <f>hyperlink("http://dspace.library.uu.nl/handle/1874/238403","Historisch openluchtspel voor Kasteel Amerongen Aleid van Bunt 1955")</f>
        <v>0</v>
      </c>
    </row>
    <row r="2771" spans="2:4">
      <c r="B2771">
        <v>82</v>
      </c>
      <c r="C2771" s="1">
        <f>hyperlink("https://hetutrechtsarchief.nl/collectie/AA3070C18A7D5D3BA14EFC5538D8D6CB","Nicolaas Basin - W J A 71 1955")</f>
        <v>0</v>
      </c>
      <c r="D2771" s="1">
        <f>hyperlink("http://dspace.library.uu.nl/handle/1874/238404","Nicolaas Basin W J Alberts 1955")</f>
        <v>0</v>
      </c>
    </row>
    <row r="2772" spans="2:4">
      <c r="B2772">
        <v>78</v>
      </c>
      <c r="C2772" s="1">
        <f>hyperlink("https://hetutrechtsarchief.nl/collectie/9817A04E8ACB5C478B4BC3A00C559D87","Een raadselachtige grafsteen - v C 97-100 ill 1955")</f>
        <v>0</v>
      </c>
      <c r="D2772" s="1">
        <f>hyperlink("http://dspace.library.uu.nl/handle/1874/238405","Een raadselachtige grafsteen J W C van Campen 1955")</f>
        <v>0</v>
      </c>
    </row>
    <row r="2773" spans="2:4">
      <c r="B2773">
        <v>89</v>
      </c>
      <c r="C2773" s="1">
        <f>hyperlink("https://hetutrechtsarchief.nl/collectie/4A835A065A79586BAC655439341FECF8","Utrechtse bouwmeesters uit de gouden eeuw W Stooker 1-4 21-27 ill 1956")</f>
        <v>0</v>
      </c>
      <c r="D2773" s="1">
        <f>hyperlink("http://dspace.library.uu.nl/handle/1874/238406","Utrechtse bouwmeesters uit de Gouden Eeuw W Stooker 1956")</f>
        <v>0</v>
      </c>
    </row>
    <row r="2774" spans="2:4">
      <c r="B2774">
        <v>83</v>
      </c>
      <c r="C2774" s="1">
        <f>hyperlink("https://hetutrechtsarchief.nl/collectie/AB110E57E5575B6CBA17A0676817EF18","Zonnenburg en Manenborg - de J 38-40 plgr 1956")</f>
        <v>0</v>
      </c>
      <c r="D2774" s="1">
        <f>hyperlink("http://dspace.library.uu.nl/handle/1874/238407","Zonnenburg en Manenborg H de Jong 1956")</f>
        <v>0</v>
      </c>
    </row>
    <row r="2775" spans="2:4">
      <c r="B2775">
        <v>88</v>
      </c>
      <c r="C2775" s="1">
        <f>hyperlink("https://hetutrechtsarchief.nl/collectie/B315579940CA53D8A0233539B02946DA","Het Janskerkhof te Utrecht P H N Bri t 40-43 62-65 1956")</f>
        <v>0</v>
      </c>
      <c r="D2775" s="1">
        <f>hyperlink("http://dspace.library.uu.nl/handle/1874/238408","Het Janskerkhof te Utrecht P H N Bri t 1956")</f>
        <v>0</v>
      </c>
    </row>
    <row r="2776" spans="2:4">
      <c r="B2776">
        <v>82</v>
      </c>
      <c r="C2776" s="1">
        <f>hyperlink("https://hetutrechtsarchief.nl/collectie/CE268EE478CD591EA32FD1E883E427DA","Het Utrechts stadsbeeld 48-51 1956")</f>
        <v>0</v>
      </c>
      <c r="D2776" s="1">
        <f>hyperlink("http://dspace.library.uu.nl/handle/1874/238409","Het Utrechts stadsbeeld M D Ozinga 1956")</f>
        <v>0</v>
      </c>
    </row>
    <row r="2777" spans="2:4">
      <c r="B2777">
        <v>91</v>
      </c>
      <c r="C2777" s="1">
        <f>hyperlink("https://hetutrechtsarchief.nl/collectie/4747AD65100E589EBF23A536784A9788","Het Huis Oudaen J van Galen 65-67 1956")</f>
        <v>0</v>
      </c>
      <c r="D2777" s="1">
        <f>hyperlink("http://dspace.library.uu.nl/handle/1874/238411","Het huis Oudaen J van Galen 1956")</f>
        <v>0</v>
      </c>
    </row>
    <row r="2778" spans="2:4">
      <c r="B2778">
        <v>57</v>
      </c>
      <c r="C2778" s="1">
        <f>hyperlink("https://hetutrechtsarchief.nl/collectie/D3E5642DD9F158D88E44484A83627CEF","Nog eens over t Glindt tuin en vrede en vrucht A E Rientjes 48 1957")</f>
        <v>0</v>
      </c>
      <c r="D2778" s="1">
        <f>hyperlink("http://dspace.library.uu.nl/handle/1874/238412","t Glindt A E Campen J W C van Rientjes 1956-1957")</f>
        <v>0</v>
      </c>
    </row>
    <row r="2779" spans="2:4">
      <c r="B2779">
        <v>65</v>
      </c>
      <c r="C2779" s="1">
        <f>hyperlink("https://hetutrechtsarchief.nl/collectie/26EB37C4A11D5E4E9B3F586673C28155","Legende en historie van den Domtoren J W C van Campen 6-8 1950")</f>
        <v>0</v>
      </c>
      <c r="D2779" s="1">
        <f>hyperlink("http://dspace.library.uu.nl/handle/1874/238413","Jacob van Denmarcken J W C van Campen 1956")</f>
        <v>0</v>
      </c>
    </row>
    <row r="2780" spans="2:4">
      <c r="B2780">
        <v>100</v>
      </c>
      <c r="C2780" s="1">
        <f>hyperlink("https://hetutrechtsarchief.nl/collectie/763C27D7C7E15855A8D34F6479E5E19A","Kerken van Ter Aa en Kockengen 58 1957")</f>
        <v>0</v>
      </c>
      <c r="D2780" s="1">
        <f>hyperlink("http://dspace.library.uu.nl/handle/1874/238414","Kerken van Ter Aa en Kockengen 58 1957")</f>
        <v>0</v>
      </c>
    </row>
    <row r="2781" spans="2:4">
      <c r="B2781">
        <v>100</v>
      </c>
      <c r="C2781" s="1">
        <f>hyperlink("https://hetutrechtsarchief.nl/collectie/BB58327F57625E099E6FBECEC6EEE1CA","De Driebergse Traaij in 1777 1812 en 1817 Wim Harzing 121-124 1957")</f>
        <v>0</v>
      </c>
      <c r="D2781" s="1">
        <f>hyperlink("http://dspace.library.uu.nl/handle/1874/238415","De Driebergse Traaij in 1777 1812 en 1817 Wim Harzing 121-124 1957")</f>
        <v>0</v>
      </c>
    </row>
    <row r="2782" spans="2:4">
      <c r="B2782">
        <v>59</v>
      </c>
      <c r="C2782" s="1">
        <f>hyperlink("https://hetutrechtsarchief.nl/collectie/2DC70D0B3BD856A4A023E38120C400C6","Hoe kerkklokken toen luidden en nu luiden in de Bilt en Bilthoven Lies Haan-Beerends 62-76 2001")</f>
        <v>0</v>
      </c>
      <c r="D2782" s="1">
        <f>hyperlink("http://dspace.library.uu.nl/handle/1874/238417","Herzien reglement op het onderhoud en schouwen der wegen en wateren in de gemeente van De Bilt Lies Haan-Beerends 56-59 2000")</f>
        <v>0</v>
      </c>
    </row>
    <row r="2783" spans="2:4">
      <c r="B2783">
        <v>68</v>
      </c>
      <c r="C2783" s="1">
        <f>hyperlink("https://hetutrechtsarchief.nl/collectie/397B105720BB59439FBFBF306C28B817","Uitgroei van Eemnes van 1930 tot 2010 deel 1 de woonbuurten Rom van der Schaaf 157-171 2011")</f>
        <v>0</v>
      </c>
      <c r="D2783" s="1">
        <f>hyperlink("http://dspace.library.uu.nl/handle/1874/238418","Uitgroei van Eemnes van 1930 tot 2010 Rom van der Schaaf 157-171 jg 34 2012 nr 1 p 5-22 nr 2 p 142-143 2011-2012")</f>
        <v>0</v>
      </c>
    </row>
    <row r="2784" spans="2:4">
      <c r="B2784">
        <v>72</v>
      </c>
      <c r="C2784" s="1">
        <f>hyperlink("https://hetutrechtsarchief.nl/collectie/4CCC4914F9ED58CF8FC290BFDF04EE93","Joan van Broekhuizen Gabri l Smit 93-95 1949")</f>
        <v>0</v>
      </c>
      <c r="D2784" s="1">
        <f>hyperlink("http://dspace.library.uu.nl/handle/1874/238420","Joan van Broekhuizen 1949")</f>
        <v>0</v>
      </c>
    </row>
    <row r="2785" spans="2:4">
      <c r="B2785">
        <v>95</v>
      </c>
      <c r="C2785" s="1">
        <f>hyperlink("https://hetutrechtsarchief.nl/collectie/F67AE9345EF45BC1B27FA9D0D6F734F9","Een mislukte verkoop van de Domproosdij Aleid W van de Bunt 70-71")</f>
        <v>0</v>
      </c>
      <c r="D2785" s="1">
        <f>hyperlink("http://dspace.library.uu.nl/handle/1874/238421","Een mislukte verkoop van de Domproosdij Aleid W van de Bunt 1953")</f>
        <v>0</v>
      </c>
    </row>
    <row r="2786" spans="2:4">
      <c r="B2786">
        <v>92</v>
      </c>
      <c r="C2786" s="1">
        <f>hyperlink("https://hetutrechtsarchief.nl/collectie/5DB39C14E6FC5ABC8BDD6B940AEF57DF","De Nieuwpoort te IJsselstein - Abbink Spaink 39-40 1950")</f>
        <v>0</v>
      </c>
      <c r="D2786" s="1">
        <f>hyperlink("http://dspace.library.uu.nl/handle/1874/238422","De Nieuwpoort te IJsselstein J J Abbink Spaink 1950")</f>
        <v>0</v>
      </c>
    </row>
    <row r="2787" spans="2:4">
      <c r="B2787">
        <v>96</v>
      </c>
      <c r="C2787" s="1">
        <f>hyperlink("https://hetutrechtsarchief.nl/collectie/763C8CFB80005C4F98C2509529715F8B","Het huis te Schalkwijk en zijn bezitters L J Abelmann 9-10 1953")</f>
        <v>0</v>
      </c>
      <c r="D2787" s="1">
        <f>hyperlink("http://dspace.library.uu.nl/handle/1874/238423","Het huis te Schalkwijk en zijn bezitters L J Abelmann 1953")</f>
        <v>0</v>
      </c>
    </row>
    <row r="2788" spans="2:4">
      <c r="B2788">
        <v>96</v>
      </c>
      <c r="C2788" s="1">
        <f>hyperlink("https://hetutrechtsarchief.nl/collectie/FAAE094151135C0F9C2B6318FE517C58","Het Jodenrijtje als herinnering aan zijn bewoning door de joden L J Abelmann 36-38 1952")</f>
        <v>0</v>
      </c>
      <c r="D2788" s="1">
        <f>hyperlink("http://dspace.library.uu.nl/handle/1874/238424","Het Jodenrijtje als herinnering aan zijn bewoning door de Joden L J Abelmann 1952")</f>
        <v>0</v>
      </c>
    </row>
    <row r="2789" spans="2:4">
      <c r="B2789">
        <v>95</v>
      </c>
      <c r="C2789" s="1">
        <f>hyperlink("https://hetutrechtsarchief.nl/collectie/2DF7A80E703755FFA32A16B65E61E7B0","Het veen ten oosten van Utrecht M N Acket 9-14 1952")</f>
        <v>0</v>
      </c>
      <c r="D2789" s="1">
        <f>hyperlink("http://dspace.library.uu.nl/handle/1874/238425","Het veen ten Oosten van Utrecht M N Acket 1952")</f>
        <v>0</v>
      </c>
    </row>
    <row r="2790" spans="2:4">
      <c r="B2790">
        <v>89</v>
      </c>
      <c r="C2790" s="1">
        <f>hyperlink("https://hetutrechtsarchief.nl/collectie/4FA05C3D7C8F58708E57C4C61DB17F07","De burcht Trecht en de wording van de stad M N Acket 68-72 1946")</f>
        <v>0</v>
      </c>
      <c r="D2790" s="1">
        <f>hyperlink("http://dspace.library.uu.nl/handle/1874/238426","De burcht Trecht en de wording van de stad Utrecht M N Acket 1946")</f>
        <v>0</v>
      </c>
    </row>
    <row r="2791" spans="2:4">
      <c r="B2791">
        <v>96</v>
      </c>
      <c r="C2791" s="1">
        <f>hyperlink("https://hetutrechtsarchief.nl/collectie/7F3390B5057B5A60A6D6A41749A65FB9","De Geertegracht en de steenovens ten westen van Utrecht M N Acket 49-53 1950")</f>
        <v>0</v>
      </c>
      <c r="D2791" s="1">
        <f>hyperlink("http://dspace.library.uu.nl/handle/1874/238427","De Geertegracht en de steenovens ten Westen van Utrecht M N Acket 1950")</f>
        <v>0</v>
      </c>
    </row>
    <row r="2792" spans="2:4">
      <c r="B2792">
        <v>94</v>
      </c>
      <c r="C2792" s="1">
        <f>hyperlink("https://hetutrechtsarchief.nl/collectie/E98D6835EBCE52629DC4532591F38E71","Late gevolgen van een misrekening M N Acket 22-24 1950")</f>
        <v>0</v>
      </c>
      <c r="D2792" s="1">
        <f>hyperlink("http://dspace.library.uu.nl/handle/1874/238428","Late gevolgen van een misrekening M N Acket 1950")</f>
        <v>0</v>
      </c>
    </row>
    <row r="2793" spans="2:4">
      <c r="B2793">
        <v>92</v>
      </c>
      <c r="C2793" s="1">
        <f>hyperlink("https://hetutrechtsarchief.nl/collectie/3D483ACBCF3450E991640C8CD4DF200D","Nogmaals het Lijnpad M N Acket 66-69 1951")</f>
        <v>0</v>
      </c>
      <c r="D2793" s="1">
        <f>hyperlink("http://dspace.library.uu.nl/handle/1874/238429","Nogmaals het Lijnpad M N Acket 1951")</f>
        <v>0</v>
      </c>
    </row>
    <row r="2794" spans="2:4">
      <c r="B2794">
        <v>89</v>
      </c>
      <c r="C2794" s="1">
        <f>hyperlink("https://hetutrechtsarchief.nl/collectie/A4B9672407545A4D92ECE1947974DC15","De Oude Gracht en de Vaartsche Rijn K A Rombach 34 1951")</f>
        <v>0</v>
      </c>
      <c r="D2794" s="1">
        <f>hyperlink("http://dspace.library.uu.nl/handle/1874/238430","De Oude Gracht en de Vaartsche Rijn K A Acket M N Rombach 1951")</f>
        <v>0</v>
      </c>
    </row>
    <row r="2795" spans="2:4">
      <c r="B2795">
        <v>97</v>
      </c>
      <c r="C2795" s="1">
        <f>hyperlink("https://hetutrechtsarchief.nl/collectie/84FE0697CD2958D28C8EACFA0F74AB70","De opgraving van Bisschop Bernoldus sarcophaag in de Pieterskerk A M van Akerlaken 46-48 1952")</f>
        <v>0</v>
      </c>
      <c r="D2795" s="1">
        <f>hyperlink("http://dspace.library.uu.nl/handle/1874/238431","De opgraving van bisschop Bernoldus sarcophaag in de Pieterskerk A M van Akerlaken 1952")</f>
        <v>0</v>
      </c>
    </row>
    <row r="2796" spans="2:4">
      <c r="B2796">
        <v>68</v>
      </c>
      <c r="C2796" s="1">
        <f>hyperlink("https://hetutrechtsarchief.nl/collectie/74A8EBE6A7DB53D5A28BD5BF7A5616DC","Het kasteel Amerongen A W J Mulder 90-93 1929")</f>
        <v>0</v>
      </c>
      <c r="D2796" s="1">
        <f>hyperlink("http://dspace.library.uu.nl/handle/1874/238432","Het kasteel Amerongen 1950")</f>
        <v>0</v>
      </c>
    </row>
    <row r="2797" spans="2:4">
      <c r="B2797">
        <v>51</v>
      </c>
      <c r="C2797" s="1">
        <f>hyperlink("https://hetutrechtsarchief.nl/collectie/DFCD66F72135529BA2E80A97105959CC","Archeologie en geschiedenis 1982")</f>
        <v>0</v>
      </c>
      <c r="D2797" s="1">
        <f>hyperlink("http://dspace.library.uu.nl/handle/1874/238433","Herleefd gilde 1955")</f>
        <v>0</v>
      </c>
    </row>
    <row r="2798" spans="2:4">
      <c r="B2798">
        <v>56</v>
      </c>
      <c r="C2798" s="1">
        <f>hyperlink("https://hetutrechtsarchief.nl/collectie/82A0EFEA01DA53288162ED05FB4A08BA","St Joriskerk te Amersfoort 48-49 1967")</f>
        <v>0</v>
      </c>
      <c r="D2798" s="1">
        <f>hyperlink("http://dspace.library.uu.nl/handle/1874/238434","Van Oldenbarneveldt s huis te Amersfoort 1947")</f>
        <v>0</v>
      </c>
    </row>
    <row r="2799" spans="2:4">
      <c r="B2799">
        <v>82</v>
      </c>
      <c r="C2799" s="1">
        <f>hyperlink("https://hetutrechtsarchief.nl/collectie/8B906736E69F5B31B49237AB0CB3E503","Willem Graadt van Roggen - W A F B 77-78 1943")</f>
        <v>0</v>
      </c>
      <c r="D2799" s="1">
        <f>hyperlink("http://dspace.library.uu.nl/handle/1874/238435","Willem Graadt van Roggen W A F Bannier 1945")</f>
        <v>0</v>
      </c>
    </row>
    <row r="2800" spans="2:4">
      <c r="B2800">
        <v>90</v>
      </c>
      <c r="C2800" s="1">
        <f>hyperlink("https://hetutrechtsarchief.nl/collectie/00F60ED293A15D07881CA92F386BA46D","Carel Willem Wagenaar 22 maart 1860 - 5 augustus 1942 - W A F B 65-67 1942")</f>
        <v>0</v>
      </c>
      <c r="D2800" s="1">
        <f>hyperlink("http://dspace.library.uu.nl/handle/1874/238436","Carel Willem Wagenaar 22 Maart 1860 - 5 Augustus 1942 W A F Bannier 1942")</f>
        <v>0</v>
      </c>
    </row>
    <row r="2801" spans="2:4">
      <c r="B2801">
        <v>81</v>
      </c>
      <c r="C2801" s="1">
        <f>hyperlink("https://hetutrechtsarchief.nl/collectie/87072A83465D5263B40F145BD70B17DD","Mr Herman Waller - W A F B 89-90 1941")</f>
        <v>0</v>
      </c>
      <c r="D2801" s="1">
        <f>hyperlink("http://dspace.library.uu.nl/handle/1874/238437","Mr Herman Waller W A F Bannier 1941")</f>
        <v>0</v>
      </c>
    </row>
    <row r="2802" spans="2:4">
      <c r="B2802">
        <v>85</v>
      </c>
      <c r="C2802" s="1">
        <f>hyperlink("https://hetutrechtsarchief.nl/collectie/F9DC626E6E1E5064988915B98C37CCEA","Prof Dr G W Kernkamp 9 october 1943 - W A F B 57-59 65 1943")</f>
        <v>0</v>
      </c>
      <c r="D2802" s="1">
        <f>hyperlink("http://dspace.library.uu.nl/handle/1874/238438","Prof Dr G W Kernkamp 9 October 1943 W A F Bannier 1943")</f>
        <v>0</v>
      </c>
    </row>
    <row r="2803" spans="2:4">
      <c r="B2803">
        <v>85</v>
      </c>
      <c r="C2803" s="1">
        <f>hyperlink("https://hetutrechtsarchief.nl/collectie/0544A8FD79865D53A2C4965C399B4CBA","G van Klaveren Pzn 1906-1946 - W A F B 65-66 1946")</f>
        <v>0</v>
      </c>
      <c r="D2803" s="1">
        <f>hyperlink("http://dspace.library.uu.nl/handle/1874/238439","G van Klaveren Pzn 1906-1946 W A F Bannier 1946")</f>
        <v>0</v>
      </c>
    </row>
    <row r="2804" spans="2:4">
      <c r="B2804">
        <v>93</v>
      </c>
      <c r="C2804" s="1">
        <f>hyperlink("https://hetutrechtsarchief.nl/collectie/D8480AB59DC45A66BB7B0A8382777CE3","Over de historie der Geldersche vallei W H de Beaufort 14-16 1950")</f>
        <v>0</v>
      </c>
      <c r="D2804" s="1">
        <f>hyperlink("http://dspace.library.uu.nl/handle/1874/238440","Over de historie der Gelderse Vallei W H de Beaufort 1950")</f>
        <v>0</v>
      </c>
    </row>
    <row r="2805" spans="2:4">
      <c r="B2805">
        <v>93</v>
      </c>
      <c r="C2805" s="1">
        <f>hyperlink("https://hetutrechtsarchief.nl/collectie/593DFCD5FA4F56C28E0698B62CDDD0E6","De laatste uit het huis van Beets 79-80 1951")</f>
        <v>0</v>
      </c>
      <c r="D2805" s="1">
        <f>hyperlink("http://dspace.library.uu.nl/handle/1874/238441","De laatste uit het Huis van Beets 1951")</f>
        <v>0</v>
      </c>
    </row>
    <row r="2806" spans="2:4">
      <c r="B2806">
        <v>53</v>
      </c>
      <c r="C2806" s="1">
        <f>hyperlink("https://hetutrechtsarchief.nl/collectie/8BDD899FBC0453508A1EB66A475598D8","Oude kaarten van de Nederlandse bisdommen 1559-1801 H A M van der Heijden 195-265 1999")</f>
        <v>0</v>
      </c>
      <c r="D2806" s="1">
        <f>hyperlink("http://dspace.library.uu.nl/handle/1874/238534","De haan van de Nieuwe Kerk L Visser 69-71 jg 26 1996 nr 1 p 21-22 1991-1996")</f>
        <v>0</v>
      </c>
    </row>
    <row r="2807" spans="2:4">
      <c r="B2807">
        <v>56</v>
      </c>
      <c r="C2807" s="1">
        <f>hyperlink("https://hetutrechtsarchief.nl/collectie/A327A3220CA959AFBCC6AEBEB4EFC892","Een Utrechtse hoogleraar-kunstverzamelaar in de Franse tijd W J F Meiners 1-6 portr 1961")</f>
        <v>0</v>
      </c>
      <c r="D2807" s="1">
        <f>hyperlink("http://dspace.library.uu.nl/handle/1874/238535","Zeist door de ogen van een Russisch militair in de Franse tijd J Meerdink 101-106 1996")</f>
        <v>0</v>
      </c>
    </row>
    <row r="2808" spans="2:4">
      <c r="B2808">
        <v>53</v>
      </c>
      <c r="C2808" s="1">
        <f>hyperlink("https://hetutrechtsarchief.nl/collectie/5D953A5A6CAF5AE0ADB1227C779393ED","Het lager onderwijs in Zeist 5 De school in Austerlitz Leo Visser 96-100 1999")</f>
        <v>0</v>
      </c>
      <c r="D2808" s="1">
        <f>hyperlink("http://dspace.library.uu.nl/handle/1874/238536","Zandbergen Zeist en de Hernhutters bezongen 1803 J Meerdink 98-100 1996")</f>
        <v>0</v>
      </c>
    </row>
    <row r="2809" spans="2:4">
      <c r="B2809">
        <v>60</v>
      </c>
      <c r="C2809" s="1">
        <f>hyperlink("https://hetutrechtsarchief.nl/collectie/4747AD65100E589EBF23A536784A9788","Het Huis Oudaen J van Galen 65-67 1956")</f>
        <v>0</v>
      </c>
      <c r="D2809" s="1">
        <f>hyperlink("http://dspace.library.uu.nl/handle/1874/238538","Het Soephuis vroeger en nu L Visser 66-77 1996")</f>
        <v>0</v>
      </c>
    </row>
    <row r="2810" spans="2:4">
      <c r="B2810">
        <v>51</v>
      </c>
      <c r="C2810" s="1">
        <f>hyperlink("https://hetutrechtsarchief.nl/collectie/16C96E82343E53EF933833AC1617C935","De archieven van de Diaconie 1349 1597 - 1960 1969 J G Riphaagen 294-295 1992")</f>
        <v>0</v>
      </c>
      <c r="D2810" s="1">
        <f>hyperlink("http://dspace.library.uu.nl/handle/1874/238539","Literaire passanten J A van den Dikkenberg 29-31 nr 4 p 73-78 jg 26 1996 nr 2 p 39-44 1994-1996")</f>
        <v>0</v>
      </c>
    </row>
    <row r="2811" spans="2:4">
      <c r="B2811">
        <v>59</v>
      </c>
      <c r="C2811" s="1">
        <f>hyperlink("https://hetutrechtsarchief.nl/collectie/FDC294E492795D9681D0AF34194722B9","De limietpalen van het Kamp van Zeist Kees Volkers 188-189 2010")</f>
        <v>0</v>
      </c>
      <c r="D2811" s="1">
        <f>hyperlink("http://dspace.library.uu.nl/handle/1874/238541","De markt terug in het hart van Zeist L Visser 14-21 1996")</f>
        <v>0</v>
      </c>
    </row>
    <row r="2812" spans="2:4">
      <c r="B2812">
        <v>58</v>
      </c>
      <c r="C2812" s="1">
        <f>hyperlink("https://hetutrechtsarchief.nl/collectie/7D417E49E8715C6CB0CB759FE0597A04","Het warenhuis van de Broedergemeente in Zeist R P M Rhoen 167-169 2012")</f>
        <v>0</v>
      </c>
      <c r="D2812" s="1">
        <f>hyperlink("http://dspace.library.uu.nl/handle/1874/238542","Het Rond als marktplein het instellen van een groentemarkt in 1854 R P M Rhoen 10-14 1996")</f>
        <v>0</v>
      </c>
    </row>
    <row r="2813" spans="2:4">
      <c r="B2813">
        <v>100</v>
      </c>
      <c r="C2813" s="1">
        <f>hyperlink("https://hetutrechtsarchief.nl/collectie/BED5CEC1A69054E59FA3780D090A30C4","Meentweg 69 67B en de familie Van den Tweel Rom van der Schaaf 5-20 2001")</f>
        <v>0</v>
      </c>
      <c r="D2813" s="1">
        <f>hyperlink("http://dspace.library.uu.nl/handle/1874/238578","Meentweg 69 67B en de familie Van den Tweel Rom van der Schaaf 5-20 2001")</f>
        <v>0</v>
      </c>
    </row>
    <row r="2814" spans="2:4">
      <c r="B2814">
        <v>100</v>
      </c>
      <c r="C2814" s="1">
        <f>hyperlink("https://hetutrechtsarchief.nl/collectie/9C23BE1056A15C77A12F65E1BBDE93CC","Interview met de Eemnesser smid Jaap Eek Henk van Hees 21-27 2001")</f>
        <v>0</v>
      </c>
      <c r="D2814" s="1">
        <f>hyperlink("http://dspace.library.uu.nl/handle/1874/238579","Interview met de Eemnesser smid Jaap Eek Henk van Hees 21-27 2001")</f>
        <v>0</v>
      </c>
    </row>
    <row r="2815" spans="2:4">
      <c r="B2815">
        <v>100</v>
      </c>
      <c r="C2815" s="1">
        <f>hyperlink("https://hetutrechtsarchief.nl/collectie/4EA590BC6B985ECDB9B96D73295783F7","Smederijen in Eemnes Henk van Hees 28-41 2001")</f>
        <v>0</v>
      </c>
      <c r="D2815" s="1">
        <f>hyperlink("http://dspace.library.uu.nl/handle/1874/238580","Smederijen in Eemnes Henk van Hees 28-41 2001")</f>
        <v>0</v>
      </c>
    </row>
    <row r="2816" spans="2:4">
      <c r="B2816">
        <v>100</v>
      </c>
      <c r="C2816" s="1">
        <f>hyperlink("https://hetutrechtsarchief.nl/collectie/4C342DBCCDA15F0AAFF0CF8282400FAE","Herinneringen de pomp op de Wakkerendijk te Eemnes Chris Roothart 70-71 2001")</f>
        <v>0</v>
      </c>
      <c r="D2816" s="1">
        <f>hyperlink("http://dspace.library.uu.nl/handle/1874/238581","Herinneringen de pomp op de Wakkerendijk te Eemnes Chris Roothart 70-71 2001")</f>
        <v>0</v>
      </c>
    </row>
    <row r="2817" spans="2:4">
      <c r="B2817">
        <v>100</v>
      </c>
      <c r="C2817" s="1">
        <f>hyperlink("https://hetutrechtsarchief.nl/collectie/34669740E8BC5A6B8414BFA600E928FE","Het huis Wakkerendijk 44 en de bewoners Rom van der Schaaf 76-93 2001")</f>
        <v>0</v>
      </c>
      <c r="D2817" s="1">
        <f>hyperlink("http://dspace.library.uu.nl/handle/1874/238582","Het huis Wakkerendijk 44 en de bewoners Rom van der Schaaf 76-93 2001")</f>
        <v>0</v>
      </c>
    </row>
    <row r="2818" spans="2:4">
      <c r="B2818">
        <v>100</v>
      </c>
      <c r="C2818" s="1">
        <f>hyperlink("https://hetutrechtsarchief.nl/collectie/2E7DD8D84ACB5DB9B258F49A327F9F00","Dokter Weitjens begon als arts in Eemnes Rom van der Schaaf 95-106 2001")</f>
        <v>0</v>
      </c>
      <c r="D2818" s="1">
        <f>hyperlink("http://dspace.library.uu.nl/handle/1874/238583","Dokter Weitjens begon als arts in Eemnes Rom van der Schaaf 95-106 2001")</f>
        <v>0</v>
      </c>
    </row>
    <row r="2819" spans="2:4">
      <c r="B2819">
        <v>100</v>
      </c>
      <c r="C2819" s="1">
        <f>hyperlink("https://hetutrechtsarchief.nl/collectie/7677D54A6952590B8EE36DCF3F9AAB39","Interview met mevrouw Wiggerts-Hoofd Marga van Kleinwee 107-116 2001")</f>
        <v>0</v>
      </c>
      <c r="D2819" s="1">
        <f>hyperlink("http://dspace.library.uu.nl/handle/1874/238584","Interview met mevrouw Wiggerts-Hoofd Marga van Kleinwee 107-116 2001")</f>
        <v>0</v>
      </c>
    </row>
    <row r="2820" spans="2:4">
      <c r="B2820">
        <v>80</v>
      </c>
      <c r="C2820" s="1">
        <f>hyperlink("https://hetutrechtsarchief.nl/collectie/9E47039115D05B27AE9BFC253DE25E9C","Korte geschiedenis van het geslacht Zanoli Henk van Hees en Giorgio Sjors Zanoli 117-134 2001")</f>
        <v>0</v>
      </c>
      <c r="D2820" s="1">
        <f>hyperlink("http://dspace.library.uu.nl/handle/1874/238585","Korte geschiedenis van het geslacht Zanoli Giorgio Giacomo Sjors Hees Henk van Zanoli 117-134 2001")</f>
        <v>0</v>
      </c>
    </row>
    <row r="2821" spans="2:4">
      <c r="B2821">
        <v>100</v>
      </c>
      <c r="C2821" s="1">
        <f>hyperlink("https://hetutrechtsarchief.nl/collectie/A2E0F4DD1011543F939D8295BB1915EB","Herinneringen het Battenboerenbosje Chris Roothart 135-136 2001")</f>
        <v>0</v>
      </c>
      <c r="D2821" s="1">
        <f>hyperlink("http://dspace.library.uu.nl/handle/1874/238586","Herinneringen het Battenboerenbosje Chris Roothart 135-136 2001")</f>
        <v>0</v>
      </c>
    </row>
    <row r="2822" spans="2:4">
      <c r="B2822">
        <v>77</v>
      </c>
      <c r="C2822" s="1">
        <f>hyperlink("https://hetutrechtsarchief.nl/collectie/C6A940EE843B5DF3A60A271721B1482D","Smedenfamilies in Eemnes Henk van Hees 42-68 2001")</f>
        <v>0</v>
      </c>
      <c r="D2822" s="1">
        <f>hyperlink("http://dspace.library.uu.nl/handle/1874/238587","Smedenfamilies in Eemnes Bertie van Hees Henk van Wijk-Blom 42-68 2001")</f>
        <v>0</v>
      </c>
    </row>
    <row r="2823" spans="2:4">
      <c r="B2823">
        <v>78</v>
      </c>
      <c r="C2823" s="1">
        <f>hyperlink("https://hetutrechtsarchief.nl/collectie/52FEBCB88C5D532CAD96E8AC1F5F3F6A","Hoofdwegen in en rond Eemnes door de eeuwen heen Jaap Groeneveld 141-155 2001")</f>
        <v>0</v>
      </c>
      <c r="D2823" s="1">
        <f>hyperlink("http://dspace.library.uu.nl/handle/1874/238646","Hoofdwegen in en rond Eemnes door de eeuwen heen Jaap Groeneveld 141-155 Tussen Vecht en Eem 19 2001 nr 4 p 188-198 2001")</f>
        <v>0</v>
      </c>
    </row>
    <row r="2824" spans="2:4">
      <c r="B2824">
        <v>98</v>
      </c>
      <c r="C2824" s="1">
        <f>hyperlink("https://hetutrechtsarchief.nl/collectie/762A2BE69BC55F7C967D628BC4ED5A29","Teruggevonden loflied op Egbertus Damen van Wegen een Eemnesser die pastoor van Weesp werd Henk van Hees 158-159 2001")</f>
        <v>0</v>
      </c>
      <c r="D2824" s="1">
        <f>hyperlink("http://dspace.library.uu.nl/handle/1874/238647","Teruggevonden loflied op Egbertus Damen van Wegen een Eemnesser die pastoor van Weesp werd Henk van Hees 158-160 2001")</f>
        <v>0</v>
      </c>
    </row>
    <row r="2825" spans="2:4">
      <c r="B2825">
        <v>91</v>
      </c>
      <c r="C2825" s="1">
        <f>hyperlink("https://hetutrechtsarchief.nl/collectie/BA8773275E65541B9925EFF7CDDD8BA6","Herinneringen de honden van Eemnes en de bakfiets van Teun Roothart 166-167 2001")</f>
        <v>0</v>
      </c>
      <c r="D2825" s="1">
        <f>hyperlink("http://dspace.library.uu.nl/handle/1874/238648","Herinneringen de honden van Eemnes en de bakfiets van Teun Roothart Chris Roothart 166-167 2001")</f>
        <v>0</v>
      </c>
    </row>
    <row r="2826" spans="2:4">
      <c r="B2826">
        <v>73</v>
      </c>
      <c r="C2826" s="1">
        <f>hyperlink("https://hetutrechtsarchief.nl/collectie/26513A14627253BABA4E355F7D8E9294","Openbaar vervoer in en rond Eemnes door de eeuwen heen deel 1 tot ca 1880 Jaap Groeneveld 173-183 2001")</f>
        <v>0</v>
      </c>
      <c r="D2826" s="1">
        <f>hyperlink("http://dspace.library.uu.nl/handle/1874/238649","Openbaar vervoer in en rond Eemnes door de eeuwen heen Jaap Groeneveld 173-183 jg 24 2002 nr 1 p 5-14 nr 2 p 45-57 2001-2002")</f>
        <v>0</v>
      </c>
    </row>
    <row r="2827" spans="2:4">
      <c r="B2827">
        <v>77</v>
      </c>
      <c r="C2827" s="1">
        <f>hyperlink("https://hetutrechtsarchief.nl/collectie/DD581B29E24B50D3B9D281EF66AF8F77","Luidklokken en uurwerken in de kerktorens van Eemnes 3 Foeke de Wolf 104-108 2002")</f>
        <v>0</v>
      </c>
      <c r="D2827" s="1">
        <f>hyperlink("http://dspace.library.uu.nl/handle/1874/238650","Luidklokken en uurwerken in de kerktorens van Eemnes Foeke de Wolf 184-187 jg 24 2002 nr 1 p 16-20 nr 3 p 104-108 2001-2002")</f>
        <v>0</v>
      </c>
    </row>
    <row r="2828" spans="2:4">
      <c r="B2828">
        <v>99</v>
      </c>
      <c r="C2828" s="1">
        <f>hyperlink("https://hetutrechtsarchief.nl/collectie/E22D2D1EF37B520A8B8D5C7D38DBE30B","Gesprek met mevrouwJohanna Huberta Jopie van Dijk-Klaver Hennie Bouma 190-203 2001")</f>
        <v>0</v>
      </c>
      <c r="D2828" s="1">
        <f>hyperlink("http://dspace.library.uu.nl/handle/1874/238651","Gesprek met mevrouw Johanna Huberta Jopie van Dijk-Klaver Hennie Bouma 190-203 2001")</f>
        <v>0</v>
      </c>
    </row>
    <row r="2829" spans="2:4">
      <c r="B2829">
        <v>91</v>
      </c>
      <c r="C2829" s="1">
        <f>hyperlink("https://hetutrechtsarchief.nl/collectie/234A7A35A57F535AB8160A7F2DEBA1A9","Het verhaal van Pater Piet Butzelaar 1908-1970 2 Henk van Hees 117-121 2002")</f>
        <v>0</v>
      </c>
      <c r="D2829" s="1">
        <f>hyperlink("http://dspace.library.uu.nl/handle/1874/238652","Het verhaal van Pater Piet Butzelaar 1908-1970 Henk van Hees 23-27 nr 3 p 117-121 2002")</f>
        <v>0</v>
      </c>
    </row>
    <row r="2830" spans="2:4">
      <c r="B2830">
        <v>100</v>
      </c>
      <c r="C2830" s="1">
        <f>hyperlink("https://hetutrechtsarchief.nl/collectie/590B9D85F053573681C862B68FFA13B2","Meentweg 79 en familie De Groot Rom van der Schaaf 59-75 2002")</f>
        <v>0</v>
      </c>
      <c r="D2830" s="1">
        <f>hyperlink("http://dspace.library.uu.nl/handle/1874/238653","Meentweg 79 en familie De Groot Rom van der Schaaf 59-75 2002")</f>
        <v>0</v>
      </c>
    </row>
    <row r="2831" spans="2:4">
      <c r="B2831">
        <v>100</v>
      </c>
      <c r="C2831" s="1">
        <f>hyperlink("https://hetutrechtsarchief.nl/collectie/56E56561376A5C8D8CB7173F35A28023","Interview met meneer en mevrouw Boelsma-Glebbeek Marga van Kleinwee 83-93 2002")</f>
        <v>0</v>
      </c>
      <c r="D2831" s="1">
        <f>hyperlink("http://dspace.library.uu.nl/handle/1874/238654","Interview met meneer en mevrouw Boelsma-Glebbeek Marga van Kleinwee 83-93 2002")</f>
        <v>0</v>
      </c>
    </row>
    <row r="2832" spans="2:4">
      <c r="B2832">
        <v>100</v>
      </c>
      <c r="C2832" s="1">
        <f>hyperlink("https://hetutrechtsarchief.nl/collectie/A1016F799A0B5FACA0969B947F5F847D","Bijzonder verhaal over antiquair Piet Wortel Jonathan Oldbuck 33-35 2002")</f>
        <v>0</v>
      </c>
      <c r="D2832" s="1">
        <f>hyperlink("http://dspace.library.uu.nl/handle/1874/238655","Bijzonder verhaal over antiquair Piet Wortel Jonathan Oldbuck 33-35 2002")</f>
        <v>0</v>
      </c>
    </row>
    <row r="2833" spans="2:4">
      <c r="B2833">
        <v>100</v>
      </c>
      <c r="C2833" s="1">
        <f>hyperlink("https://hetutrechtsarchief.nl/collectie/6597D702585551AF9BD17713DF863AED","Herinneringen kapperszaak van Hendrik van Hees Chris Roothart 79-82 2002")</f>
        <v>0</v>
      </c>
      <c r="D2833" s="1">
        <f>hyperlink("http://dspace.library.uu.nl/handle/1874/238656","Herinneringen kapperszaak van Hendrik van Hees Chris Roothart 79-82 2002")</f>
        <v>0</v>
      </c>
    </row>
    <row r="2834" spans="2:4">
      <c r="B2834">
        <v>91</v>
      </c>
      <c r="C2834" s="1">
        <f>hyperlink("https://hetutrechtsarchief.nl/collectie/7988BC790CA153A287E307E1832ECA20","Uit de kerkgeschiedenis van de Hervormde Gemeente Eemnes-Buitendijk 1 Jan Out 109-116 2002")</f>
        <v>0</v>
      </c>
      <c r="D2834" s="1">
        <f>hyperlink("http://dspace.library.uu.nl/handle/1874/238657","Uit de kerkgeschiedenis van de Hervormde Gemeente Eemnes-Buitendijk Jan Out 109-116 nr 4 p 153-164 2002")</f>
        <v>0</v>
      </c>
    </row>
    <row r="2835" spans="2:4">
      <c r="B2835">
        <v>100</v>
      </c>
      <c r="C2835" s="1">
        <f>hyperlink("https://hetutrechtsarchief.nl/collectie/1AA40976DCF657559A48393EDA28DF83","Uit het knipselarchief van Larensch Nieuwsblad 15-12-1917 134-135 2002")</f>
        <v>0</v>
      </c>
      <c r="D2835" s="1">
        <f>hyperlink("http://dspace.library.uu.nl/handle/1874/238658","Uit het knipselarchief van Larensch Nieuwsblad 15-12-1917 134-135 2002")</f>
        <v>0</v>
      </c>
    </row>
    <row r="2836" spans="2:4">
      <c r="B2836">
        <v>100</v>
      </c>
      <c r="C2836" s="1">
        <f>hyperlink("https://hetutrechtsarchief.nl/collectie/2FF3F38399B251AB8F5E6F360A18A33F","De uiterdijken de gewonnen en verloren landen W van IJken 139-150 2002")</f>
        <v>0</v>
      </c>
      <c r="D2836" s="1">
        <f>hyperlink("http://dspace.library.uu.nl/handle/1874/238659","De uiterdijken de gewonnen en verloren landen W van IJken 139-150 2002")</f>
        <v>0</v>
      </c>
    </row>
    <row r="2837" spans="2:4">
      <c r="B2837">
        <v>98</v>
      </c>
      <c r="C2837" s="1">
        <f>hyperlink("https://hetutrechtsarchief.nl/collectie/FD0F076AAA2959CB9E2DE69594AFD139","Interview met Mevrouw Klazien Louwerman wijkverpleegster in Eemnes van 1963-1992 Hennie Bouma 165-174 2002")</f>
        <v>0</v>
      </c>
      <c r="D2837" s="1">
        <f>hyperlink("http://dspace.library.uu.nl/handle/1874/238660","Interview Mevrouw Klazien Louwerman wijkverpleegster in Eemnes van 1963-1992 Hennie Bouma 165-174 2002")</f>
        <v>0</v>
      </c>
    </row>
    <row r="2838" spans="2:4">
      <c r="B2838">
        <v>99</v>
      </c>
      <c r="C2838" s="1">
        <f>hyperlink("https://hetutrechtsarchief.nl/collectie/1A767002BB9D5E1F9A6D540EC62148DC","Limietscheydinge tusschen den Lande van Utrecht en Goyland R van der Schaaf 176-178 2002")</f>
        <v>0</v>
      </c>
      <c r="D2838" s="1">
        <f>hyperlink("http://dspace.library.uu.nl/handle/1874/238661","Limietscheydinge tusschen den Lande van Utrecht en Goyland Rom van der Schaaf 176-178 2002")</f>
        <v>0</v>
      </c>
    </row>
    <row r="2839" spans="2:4">
      <c r="B2839">
        <v>63</v>
      </c>
      <c r="C2839" s="1">
        <f>hyperlink("https://hetutrechtsarchief.nl/collectie/9F89F81F4F2A5963914A859847FE3B3C","Meelhandel en maalderij Van t Klooster Henk van Hees 204-206 2005")</f>
        <v>0</v>
      </c>
      <c r="D2839" s="1">
        <f>hyperlink("http://dspace.library.uu.nl/handle/1874/238662","Het verhaal van Dirk Dot Henk van Hees 161-164 nr 4 p 204-206 2001")</f>
        <v>0</v>
      </c>
    </row>
    <row r="2840" spans="2:4">
      <c r="B2840">
        <v>99</v>
      </c>
      <c r="C2840" s="1">
        <f>hyperlink("https://hetutrechtsarchief.nl/collectie/D36FDD5CEB1C54F08D21EAA1CA5268CF","Naarden geplunderd Eemnes verbrand uit het knipselarchief van de Laarder Courant De Bel en de Nieuwe Bussumsche Courant T Pluim 16-19 2003")</f>
        <v>0</v>
      </c>
      <c r="D2840" s="1">
        <f>hyperlink("http://dspace.library.uu.nl/handle/1874/240127","Naarden geplunderd Eemnes verbrand uit het knipselarchief van Laarder Courant De Bel en de Nieuwe Bussumsche Courant T Pluim 16-19 2003")</f>
        <v>0</v>
      </c>
    </row>
    <row r="2841" spans="2:4">
      <c r="B2841">
        <v>100</v>
      </c>
      <c r="C2841" s="1">
        <f>hyperlink("https://hetutrechtsarchief.nl/collectie/220A1FDDEE845026A4AA828A1ADC30EE","De teruggave der Eemnesser kerken in de Franse tijd J V M Out 6-15 2003")</f>
        <v>0</v>
      </c>
      <c r="D2841" s="1">
        <f>hyperlink("http://dspace.library.uu.nl/handle/1874/240128","De teruggave der Eemnesser kerken in de Franse tijd J V M Out 6-15 2003")</f>
        <v>0</v>
      </c>
    </row>
    <row r="2842" spans="2:4">
      <c r="B2842">
        <v>58</v>
      </c>
      <c r="C2842" s="1">
        <f>hyperlink("https://hetutrechtsarchief.nl/collectie/D3325C27E7FD52638C76785C4753CBE5","Toekomstgericht vrijheidsmonument in Eemnes Jaap Groeneveld 170-171 2010")</f>
        <v>0</v>
      </c>
      <c r="D2842" s="1">
        <f>hyperlink("http://dspace.library.uu.nl/handle/1874/240129","Koningin Wilhelmina ontstemd om het vlaggen Jaap Groeneveld 20 2003")</f>
        <v>0</v>
      </c>
    </row>
    <row r="2843" spans="2:4">
      <c r="B2843">
        <v>100</v>
      </c>
      <c r="C2843" s="1">
        <f>hyperlink("https://hetutrechtsarchief.nl/collectie/5FFCAEDEEFAD52F39CC5E2E7199C1A69","Interview met mevrouw A de Vries-de Vries Marga van Kleinwee 21-30 2003")</f>
        <v>0</v>
      </c>
      <c r="D2843" s="1">
        <f>hyperlink("http://dspace.library.uu.nl/handle/1874/240180","Interview met mevrouw A de Vries-de Vries Marga van Kleinwee 21-30 2003")</f>
        <v>0</v>
      </c>
    </row>
    <row r="2844" spans="2:4">
      <c r="B2844">
        <v>100</v>
      </c>
      <c r="C2844" s="1">
        <f>hyperlink("https://hetutrechtsarchief.nl/collectie/69FAC87CFE0C5F7D9577B7EE36013392","De ramp Wim Fecken 40-43 2003")</f>
        <v>0</v>
      </c>
      <c r="D2844" s="1">
        <f>hyperlink("http://dspace.library.uu.nl/handle/1874/240181","De ramp Wim Fecken 40-43 2003")</f>
        <v>0</v>
      </c>
    </row>
    <row r="2845" spans="2:4">
      <c r="B2845">
        <v>82</v>
      </c>
      <c r="C2845" s="1">
        <f>hyperlink("https://hetutrechtsarchief.nl/collectie/CCE2AE60F1D253ADB63F6F3172B5EDAB","Oude boerderijen ge nventariseerd Rom van der Schaaf foto s D sir e van Oostrum 44-52 2003")</f>
        <v>0</v>
      </c>
      <c r="D2845" s="1">
        <f>hyperlink("http://dspace.library.uu.nl/handle/1874/240182","Oude boerderijen ge nventariseerd D sir e van Schaaf Rom van der Oostrum 44-52 2003")</f>
        <v>0</v>
      </c>
    </row>
    <row r="2846" spans="2:4">
      <c r="B2846">
        <v>63</v>
      </c>
      <c r="C2846" s="1">
        <f>hyperlink("https://hetutrechtsarchief.nl/collectie/7C0C49E6ACC455D6BCC759B63602ECD8","Een gesprek met Teus Blom 1921 Hennie Bouma 43-63 2003")</f>
        <v>0</v>
      </c>
      <c r="D2846" s="1">
        <f>hyperlink("http://dspace.library.uu.nl/handle/1874/240183","Een gesprek met Teus Blom 1921 als ik opnieuw mocht beginnen zou ik in de verzorging gaan Hennie Bouma 53-63 2003")</f>
        <v>0</v>
      </c>
    </row>
    <row r="2847" spans="2:4">
      <c r="B2847">
        <v>100</v>
      </c>
      <c r="C2847" s="1">
        <f>hyperlink("https://hetutrechtsarchief.nl/collectie/353ED022BEC65B8AA245275CEECF4814","Het kerkhof der gemeente Eemnes Wiebe van IJken 77-87 2003")</f>
        <v>0</v>
      </c>
      <c r="D2847" s="1">
        <f>hyperlink("http://dspace.library.uu.nl/handle/1874/240184","Het kerkhof der gemeente Eemnes Wiebe van IJken 77-87 2003")</f>
        <v>0</v>
      </c>
    </row>
    <row r="2848" spans="2:4">
      <c r="B2848">
        <v>100</v>
      </c>
      <c r="C2848" s="1">
        <f>hyperlink("https://hetutrechtsarchief.nl/collectie/203E448C3EB657AE9E97876A8446D0D7","Uit het knipselarchief van Laarder Nieuwsblad 25 juni 1921 de Hervormde Kerk verbrand 93-95 2003")</f>
        <v>0</v>
      </c>
      <c r="D2848" s="1">
        <f>hyperlink("http://dspace.library.uu.nl/handle/1874/240185","Uit het knipselarchief van Laarder Nieuwsblad 25 juni 1921 de Hervormde Kerk verbrand 93-95 2003")</f>
        <v>0</v>
      </c>
    </row>
    <row r="2849" spans="2:4">
      <c r="B2849">
        <v>92</v>
      </c>
      <c r="C2849" s="1">
        <f>hyperlink("https://hetutrechtsarchief.nl/collectie/2E03B1F473165926A52E810121A5875C","Het levensverhaal van Roelof ter Braake de laatste schippersknecht van Eemnes verteld door mevr Bep Smit-van der Splinter Henk van Hees 97-105 2003")</f>
        <v>0</v>
      </c>
      <c r="D2849" s="1">
        <f>hyperlink("http://dspace.library.uu.nl/handle/1874/240186","Het levensverhaal van Roelof ter Braake de laatste schippersknecht van Eemnes verteld door mevr Bep Smit-van der Splinter Henk van Smit-van der Splinter Bep Hees 97-105 2003")</f>
        <v>0</v>
      </c>
    </row>
    <row r="2850" spans="2:4">
      <c r="B2850">
        <v>100</v>
      </c>
      <c r="C2850" s="1">
        <f>hyperlink("https://hetutrechtsarchief.nl/collectie/6B892717F7D658BC800FB040C018C2DA","Bij het overlijden van Zuster Humiliana Cor van Wijk 1906-2003 Henk van Hees 112-114 2003")</f>
        <v>0</v>
      </c>
      <c r="D2850" s="1">
        <f>hyperlink("http://dspace.library.uu.nl/handle/1874/240187","Bij het overlijden van Zuster Humiliana Cor van Wijk 1906-2003 Henk van Hees 112-114 2003")</f>
        <v>0</v>
      </c>
    </row>
    <row r="2851" spans="2:4">
      <c r="B2851">
        <v>100</v>
      </c>
      <c r="C2851" s="1">
        <f>hyperlink("https://hetutrechtsarchief.nl/collectie/038E9B39069F5594ABE1FDD084B75BEA","Daatje van Dijk van Laarderweg 43 Rom van der Schaaf 131-136 2003")</f>
        <v>0</v>
      </c>
      <c r="D2851" s="1">
        <f>hyperlink("http://dspace.library.uu.nl/handle/1874/240188","Daatje van Dijk van Laarderweg 43 Rom van der Schaaf 131-136 2003")</f>
        <v>0</v>
      </c>
    </row>
    <row r="2852" spans="2:4">
      <c r="B2852">
        <v>100</v>
      </c>
      <c r="C2852" s="1">
        <f>hyperlink("https://hetutrechtsarchief.nl/collectie/EE3FC8CFD05F53838F2B413282DEB666","Interview met mevrouw Eugenie van Ogtrop-Barones van Voorst tot Voorst Marga van Kleinwee 137-152 2003")</f>
        <v>0</v>
      </c>
      <c r="D2852" s="1">
        <f>hyperlink("http://dspace.library.uu.nl/handle/1874/240189","Interview met mevrouw Eugenie van Ogtrop-Barones van Voorst tot Voorst Marga van Kleinwee 137-152 2003")</f>
        <v>0</v>
      </c>
    </row>
    <row r="2853" spans="2:4">
      <c r="B2853">
        <v>100</v>
      </c>
      <c r="C2853" s="1">
        <f>hyperlink("https://hetutrechtsarchief.nl/collectie/EFF51094B6615752ACFF65748C0694D2","Het relaas van een Eemnesser en zijn gezin betrokken bij de watersnoodramp van 1953 Henk van Hees 154-158 2003")</f>
        <v>0</v>
      </c>
      <c r="D2853" s="1">
        <f>hyperlink("http://dspace.library.uu.nl/handle/1874/240190","Het relaas van een Eemnesser en zijn gezin betrokken bij de watersnoodramp van 1953 Henk van Hees 154-158 2003")</f>
        <v>0</v>
      </c>
    </row>
    <row r="2854" spans="2:4">
      <c r="B2854">
        <v>100</v>
      </c>
      <c r="C2854" s="1">
        <f>hyperlink("https://hetutrechtsarchief.nl/collectie/EDD495564F1554A598FE2D3DACC2B407","Uit het knipselarchief van Larensch Nieuwsblad december 1920 159-160 2003")</f>
        <v>0</v>
      </c>
      <c r="D2854" s="1">
        <f>hyperlink("http://dspace.library.uu.nl/handle/1874/240191","Uit het knipselarchief van Larensch Nieuwsblad december 1920 159-160 2003")</f>
        <v>0</v>
      </c>
    </row>
    <row r="2855" spans="2:4">
      <c r="B2855">
        <v>100</v>
      </c>
      <c r="C2855" s="1">
        <f>hyperlink("https://hetutrechtsarchief.nl/collectie/E6B7A9BD37B651998BE5808772C87EA8","De Zusters Franciscanessen en hun werkzaamheden in Eemnes Jan Out 115-130 2003")</f>
        <v>0</v>
      </c>
      <c r="D2855" s="1">
        <f>hyperlink("http://dspace.library.uu.nl/handle/1874/240192","De Zusters Franciscanessen en hun werkzaamheden in Eemnes Jan Out 115-130 2003")</f>
        <v>0</v>
      </c>
    </row>
    <row r="2856" spans="2:4">
      <c r="B2856">
        <v>100</v>
      </c>
      <c r="C2856" s="1">
        <f>hyperlink("https://hetutrechtsarchief.nl/collectie/5B46987D210D506FA7D61E92E2C30297","Het oudste Nederlandse R K Blinden-instituut te Laren en Eemnes 1842-1851 Jan Out 8-24 2004")</f>
        <v>0</v>
      </c>
      <c r="D2856" s="1">
        <f>hyperlink("http://dspace.library.uu.nl/handle/1874/240193","Het oudste Nederlandse R K Blinden-instituut te Laren en Eemnes 1842-1851 Jan Out 8-24 2004")</f>
        <v>0</v>
      </c>
    </row>
    <row r="2857" spans="2:4">
      <c r="B2857">
        <v>100</v>
      </c>
      <c r="C2857" s="1">
        <f>hyperlink("https://hetutrechtsarchief.nl/collectie/29E4F173A50556A79369E39E68BC2688","Interview met Jan Out Henk van Hees 28-43 2004")</f>
        <v>0</v>
      </c>
      <c r="D2857" s="1">
        <f>hyperlink("http://dspace.library.uu.nl/handle/1874/240194","Interview met Jan Out Henk van Hees 28-43 2004")</f>
        <v>0</v>
      </c>
    </row>
    <row r="2858" spans="2:4">
      <c r="B2858">
        <v>100</v>
      </c>
      <c r="C2858" s="1">
        <f>hyperlink("https://hetutrechtsarchief.nl/collectie/FB5CBB1CC82D5194AD2D24025C349F25","Uit het knipselarchief van Larensch Nieuwsblad 25 mei 1918 45-46 2004")</f>
        <v>0</v>
      </c>
      <c r="D2858" s="1">
        <f>hyperlink("http://dspace.library.uu.nl/handle/1874/240195","Uit het knipselarchief van Larensch Nieuwsblad 25 mei 1918 45-46 2004")</f>
        <v>0</v>
      </c>
    </row>
    <row r="2859" spans="2:4">
      <c r="B2859">
        <v>100</v>
      </c>
      <c r="C2859" s="1">
        <f>hyperlink("https://hetutrechtsarchief.nl/collectie/E8613F1E3C7958D89FF8422D65B3FA82","Eemnes de overflow voor volgebouwd Gooi 53-54 2004")</f>
        <v>0</v>
      </c>
      <c r="D2859" s="1">
        <f>hyperlink("http://dspace.library.uu.nl/handle/1874/240196","Eemnes de overflow voor volgebouwd Gooi 53-54 2004")</f>
        <v>0</v>
      </c>
    </row>
    <row r="2860" spans="2:4">
      <c r="B2860">
        <v>100</v>
      </c>
      <c r="C2860" s="1">
        <f>hyperlink("https://hetutrechtsarchief.nl/collectie/E83F3518FB725D70BB54A5CA06092E59","Nieuwbouw Eemnes in 1965 Rom van der Schaaf 58-71 2004")</f>
        <v>0</v>
      </c>
      <c r="D2860" s="1">
        <f>hyperlink("http://dspace.library.uu.nl/handle/1874/240197","Nieuwbouw Eemnes in 1965 Rom van der Schaaf 58-71 2004")</f>
        <v>0</v>
      </c>
    </row>
    <row r="2861" spans="2:4">
      <c r="B2861">
        <v>100</v>
      </c>
      <c r="C2861" s="1">
        <f>hyperlink("https://hetutrechtsarchief.nl/collectie/323C7B5EE05559E88CB69E582F0C784D","Nieuwbouw Eemnes in 1967 Jan Delfgou 72-87 2004")</f>
        <v>0</v>
      </c>
      <c r="D2861" s="1">
        <f>hyperlink("http://dspace.library.uu.nl/handle/1874/240198","Nieuwbouw Eemnes in 1967 Jan Delfgou 72-87 2004")</f>
        <v>0</v>
      </c>
    </row>
    <row r="2862" spans="2:4">
      <c r="B2862">
        <v>100</v>
      </c>
      <c r="C2862" s="1">
        <f>hyperlink("https://hetutrechtsarchief.nl/collectie/E24FEF54D7DC53229C1E4EF6CC7AE615","Nieuwbouw Eemnes in 1969 Jaap Groeneveld 88-100 2004")</f>
        <v>0</v>
      </c>
      <c r="D2862" s="1">
        <f>hyperlink("http://dspace.library.uu.nl/handle/1874/240199","Nieuwbouw Eemnes in 1969 Jaap Groeneveld 88-100 2004")</f>
        <v>0</v>
      </c>
    </row>
    <row r="2863" spans="2:4">
      <c r="B2863">
        <v>100</v>
      </c>
      <c r="C2863" s="1">
        <f>hyperlink("https://hetutrechtsarchief.nl/collectie/D98FEF47EEBC5AEE8B1B302896D73226","Nieuwbouw Eemnes in 1972- 73 Henk van der Horst 101-116 2004")</f>
        <v>0</v>
      </c>
      <c r="D2863" s="1">
        <f>hyperlink("http://dspace.library.uu.nl/handle/1874/240200","Nieuwbouw Eemnes in 1972- 73 Henk van der Horst 101-116 2004")</f>
        <v>0</v>
      </c>
    </row>
    <row r="2864" spans="2:4">
      <c r="B2864">
        <v>90</v>
      </c>
      <c r="C2864" s="1">
        <f>hyperlink("https://hetutrechtsarchief.nl/collectie/8E6E0DE8573450A78459AB9DA34E29D1","Historische Kring Eemnes 25 jaar 1979-2004 onder red van Joop Smids 121-168 2004")</f>
        <v>0</v>
      </c>
      <c r="D2864" s="1">
        <f>hyperlink("http://dspace.library.uu.nl/handle/1874/240201","Historische Kring Eemnes 25 jaar 1979-2004 Joop Smids 121-168 2004")</f>
        <v>0</v>
      </c>
    </row>
    <row r="2865" spans="2:4">
      <c r="B2865">
        <v>100</v>
      </c>
      <c r="C2865" s="1">
        <f>hyperlink("https://hetutrechtsarchief.nl/collectie/7232AE04620C5163BF20C83DC4B6BFE1","Renovatie Heinellensluisje Eemnes R J S Sierat 177-181 2004")</f>
        <v>0</v>
      </c>
      <c r="D2865" s="1">
        <f>hyperlink("http://dspace.library.uu.nl/handle/1874/240202","Renovatie Heinellensluisje Eemnes R J S Sierat 177-181 2004")</f>
        <v>0</v>
      </c>
    </row>
    <row r="2866" spans="2:4">
      <c r="B2866">
        <v>100</v>
      </c>
      <c r="C2866" s="1">
        <f>hyperlink("https://hetutrechtsarchief.nl/collectie/95FCD7240F5D5B0A990D1902E24B4798","Expositie van foto s van Vermandel Henk van Hees 185-194 2004")</f>
        <v>0</v>
      </c>
      <c r="D2866" s="1">
        <f>hyperlink("http://dspace.library.uu.nl/handle/1874/240203","Expositie van foto s van Vermandel Henk van Hees 185-194 2004")</f>
        <v>0</v>
      </c>
    </row>
    <row r="2867" spans="2:4">
      <c r="B2867">
        <v>74</v>
      </c>
      <c r="C2867" s="1">
        <f>hyperlink("https://hetutrechtsarchief.nl/collectie/9C7C29374FE25534BAAA515EB8A068DF","Levensverhaal van Charles Louis Vermandel verteld door Dorothea Henri tte van Leeuwen-Vermandel en Kitty Louise Bekker-Vermandel samengest door Henk van Hees 195-202 2004")</f>
        <v>0</v>
      </c>
      <c r="D2867" s="1">
        <f>hyperlink("http://dspace.library.uu.nl/handle/1874/240204","Levensverhaal van Charles Louis Vermandel Henk van Leeuwen-Vermandel Dorothea Henri tte van Bekker-Vermandel Kitty Louise Hees 195-202 2004")</f>
        <v>0</v>
      </c>
    </row>
    <row r="2868" spans="2:4">
      <c r="B2868">
        <v>100</v>
      </c>
      <c r="C2868" s="1">
        <f>hyperlink("https://hetutrechtsarchief.nl/collectie/DBCAC5AB7C1E5281B1956CBD775AAADD","Het Eemnesser volkslied 203-210 2004")</f>
        <v>0</v>
      </c>
      <c r="D2868" s="1">
        <f>hyperlink("http://dspace.library.uu.nl/handle/1874/240205","Het Eemnesser volkslied 203-210 2004")</f>
        <v>0</v>
      </c>
    </row>
    <row r="2869" spans="2:4">
      <c r="B2869">
        <v>76</v>
      </c>
      <c r="C2869" s="1">
        <f>hyperlink("https://hetutrechtsarchief.nl/collectie/E559CEA73AA95B4F8F1F19A09A489AE8","Drie jonge dierenredders 25 koeien uit brandende stal onderscheiden en gehuldigd uitg door Henk van Hees 212-213 2004")</f>
        <v>0</v>
      </c>
      <c r="D2869" s="1">
        <f>hyperlink("http://dspace.library.uu.nl/handle/1874/240206","Uit het knipselarchief van Gooi- en Eemlander 1 juni 1956 drie jonge dierenredders 25 koeien uit brandende stal onderscheiden en gehuldigd Henk van Hees 212-213 2004")</f>
        <v>0</v>
      </c>
    </row>
    <row r="2870" spans="2:4">
      <c r="B2870">
        <v>100</v>
      </c>
      <c r="C2870" s="1">
        <f>hyperlink("https://hetutrechtsarchief.nl/collectie/6698C9B4EC8A58B8AE9D3BCA397F12AC","De hervorming in 1580 in Eemnes antwoorden en nieuwe vragen Jan Out 6-8 2005")</f>
        <v>0</v>
      </c>
      <c r="D2870" s="1">
        <f>hyperlink("http://dspace.library.uu.nl/handle/1874/240207","De hervorming in 1580 in Eemnes antwoorden en nieuwe vragen Jan Out 6-8 2005")</f>
        <v>0</v>
      </c>
    </row>
    <row r="2871" spans="2:4">
      <c r="B2871">
        <v>100</v>
      </c>
      <c r="C2871" s="1">
        <f>hyperlink("https://hetutrechtsarchief.nl/collectie/0B8D28216D955CB393220C47D27E8846","Huisnummers in Eemnes een onderzoek naar de in Eemnes gebruikte huisnummers in de periode 1813-1930 Wiebe van IJken 9-24 2005")</f>
        <v>0</v>
      </c>
      <c r="D2871" s="1">
        <f>hyperlink("http://dspace.library.uu.nl/handle/1874/240208","Huisnummers in Eemnes een onderzoek naar de in Eemnes gebruikte huisnummers in de periode 1813-1930 Wiebe van IJken 9-24 2005")</f>
        <v>0</v>
      </c>
    </row>
    <row r="2872" spans="2:4">
      <c r="B2872">
        <v>59</v>
      </c>
      <c r="C2872" s="1">
        <f>hyperlink("https://hetutrechtsarchief.nl/collectie/E9930EDFD3B2508F8367CAC23F72C5C2","Gooise stenen en mensen Bert Boekschoten 53-55 2007")</f>
        <v>0</v>
      </c>
      <c r="D2872" s="1">
        <f>hyperlink("http://dspace.library.uu.nl/handle/1874/240210","Groot Eemnes Bert Snel 55 2004")</f>
        <v>0</v>
      </c>
    </row>
    <row r="2873" spans="2:4">
      <c r="B2873">
        <v>57</v>
      </c>
      <c r="C2873" s="1">
        <f>hyperlink("https://hetutrechtsarchief.nl/collectie/F205EC34D3FE5025B913C12A35B7E7FB","Korte geschiedenis van de familie Van der Pol Henk van Hees 7-19 2007")</f>
        <v>0</v>
      </c>
      <c r="D2873" s="1">
        <f>hyperlink("http://dspace.library.uu.nl/handle/1874/240211","Familieverwantschap tussen de schilder Jan Luif en de zouaaf Jan Luijf Henk van Hees 174-176 2004")</f>
        <v>0</v>
      </c>
    </row>
    <row r="2874" spans="2:4">
      <c r="B2874">
        <v>96</v>
      </c>
      <c r="C2874" s="1">
        <f>hyperlink("https://hetutrechtsarchief.nl/collectie/0EC7AD17A20F5548BCDA2AEC8C45C547","Interview met mevrouw Hermina Ruizendaal-Schotsman Mien ik heb een man uit duizenden gehad interview Hennie Bouma 25-39 2005")</f>
        <v>0</v>
      </c>
      <c r="D2874" s="1">
        <f>hyperlink("http://dspace.library.uu.nl/handle/1874/240257","Interview met mevrouw Hermina Ruizendaal-Schotsman Mien ik heb een man uit duizenden gehad Hennie Bouma 25-39 2005")</f>
        <v>0</v>
      </c>
    </row>
    <row r="2875" spans="2:4">
      <c r="B2875">
        <v>100</v>
      </c>
      <c r="C2875" s="1">
        <f>hyperlink("https://hetutrechtsarchief.nl/collectie/AD10FCE375EA5B27A070E8702103C0AA","Van achter de toren tot aan de Noordersingel Jaap Frantsen 69-75 2005")</f>
        <v>0</v>
      </c>
      <c r="D2875" s="1">
        <f>hyperlink("http://dspace.library.uu.nl/handle/1874/240258","Van achter de toren tot aan de Noordersingel Jaap Frantsen 69-75 2005")</f>
        <v>0</v>
      </c>
    </row>
    <row r="2876" spans="2:4">
      <c r="B2876">
        <v>96</v>
      </c>
      <c r="C2876" s="1">
        <f>hyperlink("https://hetutrechtsarchief.nl/collectie/2D13687C0A685CEAA22A2F20191E2DEF","Zestig jaar terug in de tijd een wandeling met Marga van Moorst Grietje Marga Grietje van Moorst 76-78 2005")</f>
        <v>0</v>
      </c>
      <c r="D2876" s="1">
        <f>hyperlink("http://dspace.library.uu.nl/handle/1874/240259","Zestig jaar terug in de tijd een wandeling met Marga van Moorst Grietje Marga van Moorst 76-78 2005")</f>
        <v>0</v>
      </c>
    </row>
    <row r="2877" spans="2:4">
      <c r="B2877">
        <v>75</v>
      </c>
      <c r="C2877" s="1">
        <f>hyperlink("https://hetutrechtsarchief.nl/collectie/F6C481EF1F22501C8ADC3B20C28C2FA5","Van Aken IV klompenmaker in Eemnes Henk van Hees 99-104 2005")</f>
        <v>0</v>
      </c>
      <c r="D2877" s="1">
        <f>hyperlink("http://dspace.library.uu.nl/handle/1874/240260","Van Aken Henk van Hees et al Henk van Hees 79-104 2005")</f>
        <v>0</v>
      </c>
    </row>
    <row r="2878" spans="2:4">
      <c r="B2878">
        <v>100</v>
      </c>
      <c r="C2878" s="1">
        <f>hyperlink("https://hetutrechtsarchief.nl/collectie/DAA74A7923B15578B8C8734C3CC53084","Eemnesser vaart visrechten en de pachters Jan van Wijk 105-109 2005")</f>
        <v>0</v>
      </c>
      <c r="D2878" s="1">
        <f>hyperlink("http://dspace.library.uu.nl/handle/1874/240261","Eemnesser vaart visrechten en de pachters Jan van Wijk 105-109 2005")</f>
        <v>0</v>
      </c>
    </row>
    <row r="2879" spans="2:4">
      <c r="B2879">
        <v>100</v>
      </c>
      <c r="C2879" s="1">
        <f>hyperlink("https://hetutrechtsarchief.nl/collectie/7DDE22E553825D8BA2A5BB6102883156","Wakkerendijk 36 een onderzoek naar de woning eigenaars en bewoners Evert van Andel 116-124 2005")</f>
        <v>0</v>
      </c>
      <c r="D2879" s="1">
        <f>hyperlink("http://dspace.library.uu.nl/handle/1874/240262","Wakkerendijk 36 een onderzoek naar de woning eigenaars en bewoners Evert van Andel 116-124 2005")</f>
        <v>0</v>
      </c>
    </row>
    <row r="2880" spans="2:4">
      <c r="B2880">
        <v>100</v>
      </c>
      <c r="C2880" s="1">
        <f>hyperlink("https://hetutrechtsarchief.nl/collectie/3FAC1B93092154038BD37DB9D4F2C65C","Boerderij Wolfsstede verandert Rom van der Schaaf 125-133 2005")</f>
        <v>0</v>
      </c>
      <c r="D2880" s="1">
        <f>hyperlink("http://dspace.library.uu.nl/handle/1874/240263","Boerderij Wolfsstede verandert Rom van der Schaaf 125-133 2005")</f>
        <v>0</v>
      </c>
    </row>
    <row r="2881" spans="2:4">
      <c r="B2881">
        <v>87</v>
      </c>
      <c r="C2881" s="1">
        <f>hyperlink("https://hetutrechtsarchief.nl/collectie/C6F070D58E9350539CE6527869E02313","Geschiedenis schrijven is aan de toekomst bouwen Cees van Rijsdam 135-147 2005")</f>
        <v>0</v>
      </c>
      <c r="D2881" s="1">
        <f>hyperlink("http://dspace.library.uu.nl/handle/1874/240264","Geschiedenis schrijven is aan de toekomst bouwen Teus Rijsdam Cees van Roodhart 135-147 2005")</f>
        <v>0</v>
      </c>
    </row>
    <row r="2882" spans="2:4">
      <c r="B2882">
        <v>100</v>
      </c>
      <c r="C2882" s="1">
        <f>hyperlink("https://hetutrechtsarchief.nl/collectie/13CA2200376C5CA9995B97EAD0441CC5","Meester Gerardus Johannes Morren 1892-1945 markant veelzijdig en onverschrokken Gerard van Ophem 149-157 2005")</f>
        <v>0</v>
      </c>
      <c r="D2882" s="1">
        <f>hyperlink("http://dspace.library.uu.nl/handle/1874/240265","Meester Gerardus Johannes Morren 1892-1945 markant veelzijdig en onverschrokken Gerard van Ophem 149-157 2005")</f>
        <v>0</v>
      </c>
    </row>
    <row r="2883" spans="2:4">
      <c r="B2883">
        <v>100</v>
      </c>
      <c r="C2883" s="1">
        <f>hyperlink("https://hetutrechtsarchief.nl/collectie/D62AED9B77F558BB839FD25D8F83D603","De beurtschipper en de tolgaarder een conflict over tolgelden te Eembrugge dat in 1903 beslect werd bij de Hoge Raad Egbert van IJken 165-173 2005")</f>
        <v>0</v>
      </c>
      <c r="D2883" s="1">
        <f>hyperlink("http://dspace.library.uu.nl/handle/1874/240266","De beurtschipper en de tolgaarder een conflict over tolgelden te Eembrugge dat in 1903 beslecht werd bij de Hoge Raad Egbert van IJken 165-173 2005")</f>
        <v>0</v>
      </c>
    </row>
    <row r="2884" spans="2:4">
      <c r="B2884">
        <v>100</v>
      </c>
      <c r="C2884" s="1">
        <f>hyperlink("https://hetutrechtsarchief.nl/collectie/A9FD9171C26B571FB5335652A47B86B9","Korte geschiedenis van de familie Van t Klooster Van Klooster in Eemnes Henk van Hees 175-203 2005")</f>
        <v>0</v>
      </c>
      <c r="D2884" s="1">
        <f>hyperlink("http://dspace.library.uu.nl/handle/1874/240267","Korte geschiedenis van de familie Van t Klooster Van Klooster in Eemnes Henk van Hees 175-203 2005")</f>
        <v>0</v>
      </c>
    </row>
    <row r="2885" spans="2:4">
      <c r="B2885">
        <v>100</v>
      </c>
      <c r="C2885" s="1">
        <f>hyperlink("https://hetutrechtsarchief.nl/collectie/9F89F81F4F2A5963914A859847FE3B3C","Meelhandel en maalderij Van t Klooster Henk van Hees 204-206 2005")</f>
        <v>0</v>
      </c>
      <c r="D2885" s="1">
        <f>hyperlink("http://dspace.library.uu.nl/handle/1874/240268","Meelhandel en maalderij Van t Klooster Henk van Hees 204-206 2005")</f>
        <v>0</v>
      </c>
    </row>
    <row r="2886" spans="2:4">
      <c r="B2886">
        <v>99</v>
      </c>
      <c r="C2886" s="1">
        <f>hyperlink("https://hetutrechtsarchief.nl/collectie/31492BDB0BF35A51A38A6AEC12282B95","Verbetering fokvee in Eemnes Rom van der Schaaf 5368 2005")</f>
        <v>0</v>
      </c>
      <c r="D2886" s="1">
        <f>hyperlink("http://dspace.library.uu.nl/handle/1874/240269","Verbetering fokvee in Eemnes Rom van der Schaaf 53-68 2005")</f>
        <v>0</v>
      </c>
    </row>
    <row r="2887" spans="2:4">
      <c r="B2887">
        <v>100</v>
      </c>
      <c r="C2887" s="1">
        <f>hyperlink("https://hetutrechtsarchief.nl/collectie/4B75E26804CF5D939926F08CC4CBAD49","Het Vierkante Bosje van Eemnes jeugdsentiment of helaas verloren gegaan landelijk schoon Henk van Hees 5-7 2006")</f>
        <v>0</v>
      </c>
      <c r="D2887" s="1">
        <f>hyperlink("http://dspace.library.uu.nl/handle/1874/240270","Het Vierkante Bosje van Eemnes jeugdsentiment of helaas verloren gegaan landelijk schoon Henk van Hees 5-7 2006")</f>
        <v>0</v>
      </c>
    </row>
    <row r="2888" spans="2:4">
      <c r="B2888">
        <v>100</v>
      </c>
      <c r="C2888" s="1">
        <f>hyperlink("https://hetutrechtsarchief.nl/collectie/ED6172E02D5E58A296744BE98DD03AD9","Geschiedenis van het Vierkante Bosje Rom van der Schaaf 8-20 2006")</f>
        <v>0</v>
      </c>
      <c r="D2888" s="1">
        <f>hyperlink("http://dspace.library.uu.nl/handle/1874/240271","Geschiedenis van het Vierkante Bosje Rom van der Schaaf 8-20 2006")</f>
        <v>0</v>
      </c>
    </row>
    <row r="2889" spans="2:4">
      <c r="B2889">
        <v>99</v>
      </c>
      <c r="C2889" s="1">
        <f>hyperlink("https://hetutrechtsarchief.nl/collectie/23FDE5840F9B5C31B303B13EFFA84A6B","Jongens en het Vierkantje Bosje Egbert van IJken 21-22 2006")</f>
        <v>0</v>
      </c>
      <c r="D2889" s="1">
        <f>hyperlink("http://dspace.library.uu.nl/handle/1874/240272","Jongens en het Vierkante Bosje Egbert van IJken 21-22 2006")</f>
        <v>0</v>
      </c>
    </row>
    <row r="2890" spans="2:4">
      <c r="B2890">
        <v>97</v>
      </c>
      <c r="C2890" s="1">
        <f>hyperlink("https://hetutrechtsarchief.nl/collectie/E351C4499A7E52AC9D5E8419871A5DFE","Vliegtuig neergestort naast het Vierkante Bosje Corrie van IJken-Dop 23-24 2006")</f>
        <v>0</v>
      </c>
      <c r="D2890" s="1">
        <f>hyperlink("http://dspace.library.uu.nl/handle/1874/240273","Vliegtuig neergestort naast het Vierkante Bosje Corrie IJken-Dop 23-24 2006")</f>
        <v>0</v>
      </c>
    </row>
    <row r="2891" spans="2:4">
      <c r="B2891">
        <v>100</v>
      </c>
      <c r="C2891" s="1">
        <f>hyperlink("https://hetutrechtsarchief.nl/collectie/5EF7CA19B8C55C7E918DECB508195C9C","Gemaal Eemnes Richard Sierat 28-33 2006")</f>
        <v>0</v>
      </c>
      <c r="D2891" s="1">
        <f>hyperlink("http://dspace.library.uu.nl/handle/1874/240274","Gemaal Eemnes Richard Sierat 28-33 2006")</f>
        <v>0</v>
      </c>
    </row>
    <row r="2892" spans="2:4">
      <c r="B2892">
        <v>96</v>
      </c>
      <c r="C2892" s="1">
        <f>hyperlink("https://hetutrechtsarchief.nl/collectie/532DB200DF0E506B84E2118CBFCEB451","Het verhaal van Anne Sepp arbeider bij de aanleg van de watermolens langs de Meentweg in Eemnes bew door Henk van Hees 34-38 2006")</f>
        <v>0</v>
      </c>
      <c r="D2892" s="1">
        <f>hyperlink("http://dspace.library.uu.nl/handle/1874/240275","Het verhaal van Anne Sepp arbeider bij de aanleg van de watermolens langs de Meentweg in Eemnes Henk van Hees 34-38 2006")</f>
        <v>0</v>
      </c>
    </row>
    <row r="2893" spans="2:4">
      <c r="B2893">
        <v>100</v>
      </c>
      <c r="C2893" s="1">
        <f>hyperlink("https://hetutrechtsarchief.nl/collectie/F62AFD16C86059AFBE032EF99AAD989F","De watermolens aan de Meentweg Henk van Hees 39-45 2006")</f>
        <v>0</v>
      </c>
      <c r="D2893" s="1">
        <f>hyperlink("http://dspace.library.uu.nl/handle/1874/240276","De watermolens aan de Meentweg Henk van Hees 39-45 2006")</f>
        <v>0</v>
      </c>
    </row>
    <row r="2894" spans="2:4">
      <c r="B2894">
        <v>100</v>
      </c>
      <c r="C2894" s="1">
        <f>hyperlink("https://hetutrechtsarchief.nl/collectie/8F8E8E54E2345607AB1BF781CDE99515","Weerwoord bij Lezing de tweede Eem Wulfred Hofland 25-27 2006")</f>
        <v>0</v>
      </c>
      <c r="D2894" s="1">
        <f>hyperlink("http://dspace.library.uu.nl/handle/1874/240277","Weerwoord bij Lezing de tweede Eem Wulfred Hofland 25-27 2006")</f>
        <v>0</v>
      </c>
    </row>
    <row r="2895" spans="2:4">
      <c r="B2895">
        <v>100</v>
      </c>
      <c r="C2895" s="1">
        <f>hyperlink("https://hetutrechtsarchief.nl/collectie/5FAF5959A17E5290965EA5507DBF98B9","De geschiedenis van de Openbare bibliotheek Eemnes Rijk Prins 53-62 2006")</f>
        <v>0</v>
      </c>
      <c r="D2895" s="1">
        <f>hyperlink("http://dspace.library.uu.nl/handle/1874/240278","De geschiedenis van de Openbare bibliotheek Eemnes Rijk Prins 53-62 2006")</f>
        <v>0</v>
      </c>
    </row>
    <row r="2896" spans="2:4">
      <c r="B2896">
        <v>100</v>
      </c>
      <c r="C2896" s="1">
        <f>hyperlink("https://hetutrechtsarchief.nl/collectie/EA76D8DA0DCE53178AA833C3EF02853F","De Eemnesser eendenkooi Evert van Andel 63-74 2006")</f>
        <v>0</v>
      </c>
      <c r="D2896" s="1">
        <f>hyperlink("http://dspace.library.uu.nl/handle/1874/240279","De Eemnesser eendenkooi Evert van Andel 63-74 2006")</f>
        <v>0</v>
      </c>
    </row>
    <row r="2897" spans="2:4">
      <c r="B2897">
        <v>86</v>
      </c>
      <c r="C2897" s="1">
        <f>hyperlink("https://hetutrechtsarchief.nl/collectie/F0D39A9FCE50580F895DC029C79B991A","Interview met Gerard Bos Wim Hilhorst Jzn Gerard Bos 77-86 2006")</f>
        <v>0</v>
      </c>
      <c r="D2897" s="1">
        <f>hyperlink("http://dspace.library.uu.nl/handle/1874/240280","Interview met Gerard Bos Wim Hilhorst 77-86 2006")</f>
        <v>0</v>
      </c>
    </row>
    <row r="2898" spans="2:4">
      <c r="B2898">
        <v>100</v>
      </c>
      <c r="C2898" s="1">
        <f>hyperlink("https://hetutrechtsarchief.nl/collectie/21BC4804E50C5D2BBEC0FE4CABBB7E8A","Heeren en Vrouwen van Eemnes Jan Out 100-101 2006")</f>
        <v>0</v>
      </c>
      <c r="D2898" s="1">
        <f>hyperlink("http://dspace.library.uu.nl/handle/1874/240281","Heeren en vrouwen van Eemnes Jan Out 100-101 2006")</f>
        <v>0</v>
      </c>
    </row>
    <row r="2899" spans="2:4">
      <c r="B2899">
        <v>89</v>
      </c>
      <c r="C2899" s="1">
        <f>hyperlink("https://hetutrechtsarchief.nl/collectie/7A6A63B6A66E514D834543B4379AED09","Wiebe van de Kuinder van bakker tot rustend burger Wiebe van de Kuinder 102-114 2006")</f>
        <v>0</v>
      </c>
      <c r="D2899" s="1">
        <f>hyperlink("http://dspace.library.uu.nl/handle/1874/240282","Wiebe van de Kuinder van bakker tot rustend burger Cees van Rijsdam 102-114 2006")</f>
        <v>0</v>
      </c>
    </row>
    <row r="2900" spans="2:4">
      <c r="B2900">
        <v>100</v>
      </c>
      <c r="C2900" s="1">
        <f>hyperlink("https://hetutrechtsarchief.nl/collectie/694C1ADA68A55CEAB8F8BFC159F10E07","Lieu de M moire de Juliana- en Bernhardbomen in Eemnes Jaap Groeneveld 4-6 2007")</f>
        <v>0</v>
      </c>
      <c r="D2900" s="1">
        <f>hyperlink("http://dspace.library.uu.nl/handle/1874/240283","Lieu de M moire de Juliana- en Bernhardbomen in Eemnes Jaap Groeneveld 4-6 2007")</f>
        <v>0</v>
      </c>
    </row>
    <row r="2901" spans="2:4">
      <c r="B2901">
        <v>100</v>
      </c>
      <c r="C2901" s="1">
        <f>hyperlink("https://hetutrechtsarchief.nl/collectie/F205EC34D3FE5025B913C12A35B7E7FB","Korte geschiedenis van de familie Van der Pol Henk van Hees 7-19 2007")</f>
        <v>0</v>
      </c>
      <c r="D2901" s="1">
        <f>hyperlink("http://dspace.library.uu.nl/handle/1874/240284","Korte geschiedenis van de familie Van der Pol Henk van Hees 7-19 2007")</f>
        <v>0</v>
      </c>
    </row>
    <row r="2902" spans="2:4">
      <c r="B2902">
        <v>100</v>
      </c>
      <c r="C2902" s="1">
        <f>hyperlink("https://hetutrechtsarchief.nl/collectie/2A42EF575E2B518C9107BC53811BAFEF","Henk van der Pol liet zich niet met een kluitje in t riet sturen er zit nog toekomst in het rietdekkersvak Jan van Steendelaar 20-24 2007")</f>
        <v>0</v>
      </c>
      <c r="D2902" s="1">
        <f>hyperlink("http://dspace.library.uu.nl/handle/1874/240285","Henk van der Pol liet zich niet met een kluitje in t riet sturen er zit nog toekomst in het rietdekkersvak Jan van Steendelaar 20-24 2007")</f>
        <v>0</v>
      </c>
    </row>
    <row r="2903" spans="2:4">
      <c r="B2903">
        <v>88</v>
      </c>
      <c r="C2903" s="1">
        <f>hyperlink("https://hetutrechtsarchief.nl/collectie/06DF21220F5955049882E4A922EDC8D9","Rustig en eenvoudig interview met Ben van der Pol Wim Hilhorst Jzn Wim van der Pol 25-33 2007")</f>
        <v>0</v>
      </c>
      <c r="D2903" s="1">
        <f>hyperlink("http://dspace.library.uu.nl/handle/1874/240286","Rustig en eenvoudig interview met Ben van der Pol Wim Hilhorst 25-33 2007")</f>
        <v>0</v>
      </c>
    </row>
    <row r="2904" spans="2:4">
      <c r="B2904">
        <v>100</v>
      </c>
      <c r="C2904" s="1">
        <f>hyperlink("https://hetutrechtsarchief.nl/collectie/168118508E2A5B0CBF858564DBB1D0E9","Meentweg 83 Evert van Andel 35-44 2007")</f>
        <v>0</v>
      </c>
      <c r="D2904" s="1">
        <f>hyperlink("http://dspace.library.uu.nl/handle/1874/240287","Meentweg 83 Evert van Andel 35-44 2007")</f>
        <v>0</v>
      </c>
    </row>
    <row r="2905" spans="2:4">
      <c r="B2905">
        <v>100</v>
      </c>
      <c r="C2905" s="1">
        <f>hyperlink("https://hetutrechtsarchief.nl/collectie/65DD8C46DC445255A388F59837973291","Meer over Wakkerendijk 44 en Weitjens Rom van der Schaaf 45-49 2007")</f>
        <v>0</v>
      </c>
      <c r="D2905" s="1">
        <f>hyperlink("http://dspace.library.uu.nl/handle/1874/240288","Meer over Wakkerendijk 44 en Weitjens Rom van der Schaaf 45-49 2007")</f>
        <v>0</v>
      </c>
    </row>
    <row r="2906" spans="2:4">
      <c r="B2906">
        <v>100</v>
      </c>
      <c r="C2906" s="1">
        <f>hyperlink("https://hetutrechtsarchief.nl/collectie/C134B97281E5565BA15E9A012F9A1D83","De Mariaschool voor Basisonderwijs 1965-2000 enkele persoonlijke herinneringen Jan Out 61-78 2007")</f>
        <v>0</v>
      </c>
      <c r="D2906" s="1">
        <f>hyperlink("http://dspace.library.uu.nl/handle/1874/240289","De Mariaschool voor Basisonderwijs 1965-2000 enkele persoonlijke herinneringen Jan Out 61-78 2007")</f>
        <v>0</v>
      </c>
    </row>
    <row r="2907" spans="2:4">
      <c r="B2907">
        <v>100</v>
      </c>
      <c r="C2907" s="1">
        <f>hyperlink("https://hetutrechtsarchief.nl/collectie/A97CAC53F5105A3EAEAA5C0C19218F8D","De Protestants Christelijke Basisschool De Wegwijzer van 1970 tot 2007 Cees van Rijsdam 97-114 2007")</f>
        <v>0</v>
      </c>
      <c r="D2907" s="1">
        <f>hyperlink("http://dspace.library.uu.nl/handle/1874/240290","De Protestants Christelijke Basisschool De Wegwijzer van 1970 tot 2007 Cees van Rijsdam 97-114 2007")</f>
        <v>0</v>
      </c>
    </row>
    <row r="2908" spans="2:4">
      <c r="B2908">
        <v>100</v>
      </c>
      <c r="C2908" s="1">
        <f>hyperlink("https://hetutrechtsarchief.nl/collectie/88422815DA275450B94E54136D89D03F","Van leegstand naar clustering Cees van Rijsdam 115-118 2007")</f>
        <v>0</v>
      </c>
      <c r="D2908" s="1">
        <f>hyperlink("http://dspace.library.uu.nl/handle/1874/240291","Van leegstand naar clustering Cees van Rijsdam 115-118 2007")</f>
        <v>0</v>
      </c>
    </row>
    <row r="2909" spans="2:4">
      <c r="B2909">
        <v>100</v>
      </c>
      <c r="C2909" s="1">
        <f>hyperlink("https://hetutrechtsarchief.nl/collectie/4DDD723B82C95B83945DF2319E0D64EE","Clusterschool Willem Kleine Deters 119-122 2007")</f>
        <v>0</v>
      </c>
      <c r="D2909" s="1">
        <f>hyperlink("http://dspace.library.uu.nl/handle/1874/240292","Clusterschool Willem Kleine Deters 119-122 2007")</f>
        <v>0</v>
      </c>
    </row>
    <row r="2910" spans="2:4">
      <c r="B2910">
        <v>100</v>
      </c>
      <c r="C2910" s="1">
        <f>hyperlink("https://hetutrechtsarchief.nl/collectie/45E0B321492B52EDB3E7085566733280","Op weg naar de Clusterschool Maria Rigter 123-127 2007")</f>
        <v>0</v>
      </c>
      <c r="D2910" s="1">
        <f>hyperlink("http://dspace.library.uu.nl/handle/1874/240293","Op weg naar de Clusterschool Maria Rigter 123-127 2007")</f>
        <v>0</v>
      </c>
    </row>
    <row r="2911" spans="2:4">
      <c r="B2911">
        <v>99</v>
      </c>
      <c r="C2911" s="1">
        <f>hyperlink("https://hetutrechtsarchief.nl/collectie/B4D7C0FF7E435A449F4F2B13DEA06CBF","Da familie Fokken in Eemnes een interview met Herman en Rut Fokken Henk van Hees 133-147 2007")</f>
        <v>0</v>
      </c>
      <c r="D2911" s="1">
        <f>hyperlink("http://dspace.library.uu.nl/handle/1874/240294","De familie Fokken in Eemnes een interview met Herman en Rut Fokken Henk van Hees 133-147 2007")</f>
        <v>0</v>
      </c>
    </row>
    <row r="2912" spans="2:4">
      <c r="B2912">
        <v>98</v>
      </c>
      <c r="C2912" s="1">
        <f>hyperlink("https://hetutrechtsarchief.nl/collectie/AC689CE4803753F7AA07F8D9F4933F7F","Korte geschiedenis van het geslacht Fokken Fokking in Eemnes en Soest Henk van Hees 148-167 2007")</f>
        <v>0</v>
      </c>
      <c r="D2912" s="1">
        <f>hyperlink("http://dspace.library.uu.nl/handle/1874/240295","Korte geschiedenis van het geslacht Fokken Fokking in Eemnes en Soest Henk van Hees 148-158 2007")</f>
        <v>0</v>
      </c>
    </row>
    <row r="2913" spans="2:4">
      <c r="B2913">
        <v>100</v>
      </c>
      <c r="C2913" s="1">
        <f>hyperlink("https://hetutrechtsarchief.nl/collectie/661E6A0D66EA5A47917CBC696DBF739C","Zestig jaar voetbal in Eemnes Joep Camps 159-167 2007")</f>
        <v>0</v>
      </c>
      <c r="D2913" s="1">
        <f>hyperlink("http://dspace.library.uu.nl/handle/1874/240296","Zestig jaar voetbal in Eemnes Joep Camps 159-167 2007")</f>
        <v>0</v>
      </c>
    </row>
    <row r="2914" spans="2:4">
      <c r="B2914">
        <v>99</v>
      </c>
      <c r="C2914" s="1">
        <f>hyperlink("https://hetutrechtsarchief.nl/collectie/AA4B367C5106572298BAF9744CFEB52D","Pontjes tussen Eemndijk en Eemnes Rom van der Schaaf 169-177 2007")</f>
        <v>0</v>
      </c>
      <c r="D2914" s="1">
        <f>hyperlink("http://dspace.library.uu.nl/handle/1874/240297","Pontjes tussen Eemdijk en Eemnes Rom van der Schaaf 169-177 2007")</f>
        <v>0</v>
      </c>
    </row>
    <row r="2915" spans="2:4">
      <c r="B2915">
        <v>100</v>
      </c>
      <c r="C2915" s="1">
        <f>hyperlink("https://hetutrechtsarchief.nl/collectie/59DF373383635C658817C1E452070C02","Wakkerendijk 160 Evert van Andel 179-189 2007")</f>
        <v>0</v>
      </c>
      <c r="D2915" s="1">
        <f>hyperlink("http://dspace.library.uu.nl/handle/1874/240298","Wakkerendijk 160 Evert van Andel 179-189 2007")</f>
        <v>0</v>
      </c>
    </row>
    <row r="2916" spans="2:4">
      <c r="B2916">
        <v>100</v>
      </c>
      <c r="C2916" s="1">
        <f>hyperlink("https://hetutrechtsarchief.nl/collectie/C6E2965A76DF5730B86E9CD3D0DE6966","De geschiedenis van de Openbare Basisschool De Zuidwend Rijk Prins 79-96 2007")</f>
        <v>0</v>
      </c>
      <c r="D2916" s="1">
        <f>hyperlink("http://dspace.library.uu.nl/handle/1874/240299","De geschiedenis van de Openbare Basisschool De Zuidwend Rijk Prins 79-96 2007")</f>
        <v>0</v>
      </c>
    </row>
    <row r="2917" spans="2:4">
      <c r="B2917">
        <v>98</v>
      </c>
      <c r="C2917" s="1">
        <f>hyperlink("https://hetutrechtsarchief.nl/collectie/743BC3663CB1542A97A70AAAB9827BD3","Een interview met Frans van Valkengoed gezelligheid met veel volk Wim Hilhorst Jzn 197-205 2007")</f>
        <v>0</v>
      </c>
      <c r="D2917" s="1">
        <f>hyperlink("http://dspace.library.uu.nl/handle/1874/240300","Een interview met Frans van Valkengoed gezelligheid met veel volk Wim Hilhorst 197-205 2007")</f>
        <v>0</v>
      </c>
    </row>
    <row r="2918" spans="2:4">
      <c r="B2918">
        <v>100</v>
      </c>
      <c r="C2918" s="1">
        <f>hyperlink("https://hetutrechtsarchief.nl/collectie/9E0D9C9A0093575C83C78EA5297E2B87","Kwartierstaat Tijs Blom Sr 1909-1970 Wiebe van IJken 206-219 2007")</f>
        <v>0</v>
      </c>
      <c r="D2918" s="1">
        <f>hyperlink("http://dspace.library.uu.nl/handle/1874/240301","Kwartierstaat Tijs Blom Sr 1909-1970 Wiebe van IJken 206-219 2007")</f>
        <v>0</v>
      </c>
    </row>
    <row r="2919" spans="2:4">
      <c r="B2919">
        <v>100</v>
      </c>
      <c r="C2919" s="1">
        <f>hyperlink("https://hetutrechtsarchief.nl/collectie/4F42534F5BD65E7E881538A669659C09","De Valse Bosjes Joep Camps 220-227 2007")</f>
        <v>0</v>
      </c>
      <c r="D2919" s="1">
        <f>hyperlink("http://dspace.library.uu.nl/handle/1874/240302","De Valse Bosjes Joep Camps 220-227 2007")</f>
        <v>0</v>
      </c>
    </row>
    <row r="2920" spans="2:4">
      <c r="B2920">
        <v>100</v>
      </c>
      <c r="C2920" s="1">
        <f>hyperlink("https://hetutrechtsarchief.nl/collectie/4208819A5A115EAC8356BEACE074CF58","Tentoonstelling Van Dorps- naar Clusterschool Jan Out 228-232 2007")</f>
        <v>0</v>
      </c>
      <c r="D2920" s="1">
        <f>hyperlink("http://dspace.library.uu.nl/handle/1874/240303","Tentoonstelling Van Dorps- naar Clusterschool Jan Out 228-232 2007")</f>
        <v>0</v>
      </c>
    </row>
    <row r="2921" spans="2:4">
      <c r="B2921">
        <v>99</v>
      </c>
      <c r="C2921" s="1">
        <f>hyperlink("https://hetutrechtsarchief.nl/collectie/4474FAE6190752C1B5B7994574BFCE58","Terugblik Juliana- en Bernhardbomen Jaap Groeneveld 236-241 2007")</f>
        <v>0</v>
      </c>
      <c r="D2921" s="1">
        <f>hyperlink("http://dspace.library.uu.nl/handle/1874/240304","Terugblik Juliana- en Bernardbomen Jaap Groeneveld 236-241 2007")</f>
        <v>0</v>
      </c>
    </row>
    <row r="2922" spans="2:4">
      <c r="B2922">
        <v>53</v>
      </c>
      <c r="C2922" s="1">
        <f>hyperlink("https://hetutrechtsarchief.nl/collectie/8D0F83874AC05D5581A0146F618FBE10","Vinkeveen in de jaren zestig bouwen voor en aan een nieuwe samenleving Peter van Golen 45-48 2017")</f>
        <v>0</v>
      </c>
      <c r="D2922" s="1">
        <f>hyperlink("http://dspace.library.uu.nl/handle/1874/240305","Interviews ivm nieuwbouw in de jaren zestig en zeventig samenvatting uit HKE-Ledenvergadering 26-02-2004 Rom van der Schaaf 40-41 2005")</f>
        <v>0</v>
      </c>
    </row>
    <row r="2923" spans="2:4">
      <c r="B2923">
        <v>65</v>
      </c>
      <c r="C2923" s="1">
        <f>hyperlink("https://hetutrechtsarchief.nl/collectie/B18A0D82DD8E6615E0534701000A58DE","Fotowedstrijd 40 jaar HKE 2 Henk van Hees 187-195 2020")</f>
        <v>0</v>
      </c>
      <c r="D2923" s="1">
        <f>hyperlink("http://dspace.library.uu.nl/handle/1874/240306","Automobielbedrijf Koot 50 jaar Henk van Hees 149-162 2006")</f>
        <v>0</v>
      </c>
    </row>
    <row r="2924" spans="2:4">
      <c r="B2924">
        <v>72</v>
      </c>
      <c r="C2924" s="1">
        <f>hyperlink("https://hetutrechtsarchief.nl/collectie/4A4D7EDC4B385AF3A681A6811DF788E9","Kwartierstaat Jaap Elders Wiebe van IJken 110-124 2017")</f>
        <v>0</v>
      </c>
      <c r="D2924" s="1">
        <f>hyperlink("http://dspace.library.uu.nl/handle/1874/240307","De kwartierstaat van Jan Scherpenzeel Wiebe van IJken 163-174 2006")</f>
        <v>0</v>
      </c>
    </row>
    <row r="2925" spans="2:4">
      <c r="B2925">
        <v>73</v>
      </c>
      <c r="C2925" s="1">
        <f>hyperlink("https://hetutrechtsarchief.nl/collectie/A705AD39804B5AC09F6D320424FEDFDB","De Eemnesser boer vroeger en nu Rom van der Schaaf 171-188 2009")</f>
        <v>0</v>
      </c>
      <c r="D2925" s="1">
        <f>hyperlink("http://dspace.library.uu.nl/handle/1874/240308","Leeftijd Eemnesser Verenigingen Rom van der Schaaf 176-177 2006")</f>
        <v>0</v>
      </c>
    </row>
    <row r="2926" spans="2:4">
      <c r="B2926">
        <v>59</v>
      </c>
      <c r="C2926" s="1">
        <f>hyperlink("https://hetutrechtsarchief.nl/collectie/2DE2DA210A5A58FCAC70E3B5325EBECE","Kegelclub De Uitspatting bestaat 40 jaar Adrie van Oostrum 135-138 2011")</f>
        <v>0</v>
      </c>
      <c r="D2926" s="1">
        <f>hyperlink("http://dspace.library.uu.nl/handle/1874/240309","Kegelclub De Eemgooiers 40 jaar Rob Wiarda 178-180 2006")</f>
        <v>0</v>
      </c>
    </row>
    <row r="2927" spans="2:4">
      <c r="B2927">
        <v>56</v>
      </c>
      <c r="C2927" s="1">
        <f>hyperlink("https://hetutrechtsarchief.nl/collectie/734A959265E151D598DFBA756F6B4DF8","In de ban van de Utrechtse kerkgeschiedenis W Smit 10 1988")</f>
        <v>0</v>
      </c>
      <c r="D2927" s="1">
        <f>hyperlink("http://dspace.library.uu.nl/handle/1874/240372","Bulletin van de Van de Poll-stichting voor de Zeister geschiedenis Van de Poll-stichting 1971-1987")</f>
        <v>0</v>
      </c>
    </row>
    <row r="2928" spans="2:4">
      <c r="B2928">
        <v>52</v>
      </c>
      <c r="C2928" s="1">
        <f>hyperlink("https://hetutrechtsarchief.nl/collectie/20669AE810265075870F7ADF8D0B6F5D","De bomen in onze stad - v A 2-5 1973")</f>
        <v>0</v>
      </c>
      <c r="D2928" s="1">
        <f>hyperlink("http://dspace.library.uu.nl/handle/1874/240373","Men zij gewaarschuwd K W Galis 50-51 1972")</f>
        <v>0</v>
      </c>
    </row>
    <row r="2929" spans="2:4">
      <c r="B2929">
        <v>56</v>
      </c>
      <c r="C2929" s="1">
        <f>hyperlink("https://hetutrechtsarchief.nl/collectie/94DA7AB484775EF684AA1B0DCCED1ABC","Historische raamwerken als dragers van de bouwgeschiedenis van Zeist H Dekker 20-24 2004")</f>
        <v>0</v>
      </c>
      <c r="D2929" s="1">
        <f>hyperlink("http://dspace.library.uu.nl/handle/1874/240374","Seijst bulletin ter bevordering van de kennis van de geschiedenis van Zeist Van de Poll-stichting 1988-")</f>
        <v>0</v>
      </c>
    </row>
    <row r="2930" spans="2:4">
      <c r="B2930">
        <v>59</v>
      </c>
      <c r="C2930" s="1">
        <f>hyperlink("https://hetutrechtsarchief.nl/collectie/959D6328657D5222AAF550F9D478E081","Over het karhuis en steenwegen binnen en buiten Utrecht F Ketner 9-12 1951")</f>
        <v>0</v>
      </c>
      <c r="D2930" s="1">
        <f>hyperlink("http://dspace.library.uu.nl/handle/1874/240375","Het kruispunt tussen Zeist en De Bilt H Emmer 9-15 1971")</f>
        <v>0</v>
      </c>
    </row>
    <row r="2931" spans="2:4">
      <c r="B2931">
        <v>56</v>
      </c>
      <c r="C2931" s="1">
        <f>hyperlink("https://hetutrechtsarchief.nl/collectie/821FD97F7C9152308F071474B7C04DFF","Familie-straatnamen Dirkje Mariastraat - v C 12-13 1941")</f>
        <v>0</v>
      </c>
      <c r="D2931" s="1">
        <f>hyperlink("http://dspace.library.uu.nl/handle/1874/240376","Familienamen K W Galis 5-6 1971")</f>
        <v>0</v>
      </c>
    </row>
    <row r="2932" spans="2:4">
      <c r="B2932">
        <v>69</v>
      </c>
      <c r="C2932" s="1">
        <f>hyperlink("https://hetutrechtsarchief.nl/collectie/45AF48BDED4554D584DFB30CF3174647","Het Huis ter Heide P H Damst 62-64 ill 1971")</f>
        <v>0</v>
      </c>
      <c r="D2932" s="1">
        <f>hyperlink("http://dspace.library.uu.nl/handle/1874/240377","De herberg Het Huis ter Heide K W Galis 16-24 1971")</f>
        <v>0</v>
      </c>
    </row>
    <row r="2933" spans="2:4">
      <c r="B2933">
        <v>50</v>
      </c>
      <c r="C2933" s="1">
        <f>hyperlink("https://hetutrechtsarchief.nl/collectie/442E895E857958CE991F6B7851AF31F8","Amelisweerd en het gelijk - K 73-75 ill 1971")</f>
        <v>0</v>
      </c>
      <c r="D2933" s="1">
        <f>hyperlink("http://dspace.library.uu.nl/handle/1874/240378","Zeister molens K W Galis 10-20 nr 3 p 13-18 nr 4 p 5-7 1971")</f>
        <v>0</v>
      </c>
    </row>
    <row r="2934" spans="2:4">
      <c r="B2934">
        <v>54</v>
      </c>
      <c r="C2934" s="1">
        <f>hyperlink("https://hetutrechtsarchief.nl/collectie/5A2DF4EC2DDF5ED7A90A4F0E3AF41B61","De scholen in onze wijk 1 de Albert Schweitzer School 1 en 4 1985")</f>
        <v>0</v>
      </c>
      <c r="D2934" s="1">
        <f>hyperlink("http://dspace.library.uu.nl/handle/1874/240379","Mensen in Zeist 1650-1700 Ariette Schippers 19-27 1971")</f>
        <v>0</v>
      </c>
    </row>
    <row r="2935" spans="2:4">
      <c r="B2935">
        <v>55</v>
      </c>
      <c r="C2935" s="1">
        <f>hyperlink("https://hetutrechtsarchief.nl/collectie/49DA3373478C53358A31E9BDFA7A8E4D","Een operatie in 1670 - E 19-22 1943")</f>
        <v>0</v>
      </c>
      <c r="D2935" s="1">
        <f>hyperlink("http://dspace.library.uu.nl/handle/1874/240380","Zeist in 1872 I H Emmer 29-32 1972")</f>
        <v>0</v>
      </c>
    </row>
    <row r="2936" spans="2:4">
      <c r="B2936">
        <v>62</v>
      </c>
      <c r="C2936" s="1">
        <f>hyperlink("https://hetutrechtsarchief.nl/collectie/B88CEDC32BAB505AADE7652CA72A1792","De ondempbare put - E 18 1943")</f>
        <v>0</v>
      </c>
      <c r="D2936" s="1">
        <f>hyperlink("http://dspace.library.uu.nl/handle/1874/240381","De oude paardetram A G G 13-18 1972")</f>
        <v>0</v>
      </c>
    </row>
    <row r="2937" spans="2:4">
      <c r="B2937">
        <v>53</v>
      </c>
      <c r="C2937" s="1">
        <f>hyperlink("https://hetutrechtsarchief.nl/collectie/44F65C3DF2765182AEE70B8075703D5E","De boerderij-herberg Galgerwaard 2 Henk J van Es 77-85 1999")</f>
        <v>0</v>
      </c>
      <c r="D2937" s="1">
        <f>hyperlink("http://dspace.library.uu.nl/handle/1874/240382","De boerderij De Preekstoel K W Galis 21-29 jg 2 1972 nr 4 p 76-77 1972")</f>
        <v>0</v>
      </c>
    </row>
    <row r="2938" spans="2:4">
      <c r="B2938">
        <v>61</v>
      </c>
      <c r="C2938" s="1">
        <f>hyperlink("https://hetutrechtsarchief.nl/collectie/1BD9C83060ED59C89EE13D037C741157","Rhenen en het Rampjaar 1672 H P Deys 5-21 2000")</f>
        <v>0</v>
      </c>
      <c r="D2938" s="1">
        <f>hyperlink("http://dspace.library.uu.nl/handle/1874/240383","Zeist en het rampjaar K W Galis 20-21 1972")</f>
        <v>0</v>
      </c>
    </row>
    <row r="2939" spans="2:4">
      <c r="B2939">
        <v>63</v>
      </c>
      <c r="C2939" s="1">
        <f>hyperlink("https://hetutrechtsarchief.nl/collectie/5F19F43865CA55D1B84AF68815FE28C4","Nogmaals over de havenwijk in 1007 J van Galen 68-69 1957")</f>
        <v>0</v>
      </c>
      <c r="D2939" s="1">
        <f>hyperlink("http://dspace.library.uu.nl/handle/1874/240384","Nogmaals de oude paardetram B van Ginkel 68-69 1972")</f>
        <v>0</v>
      </c>
    </row>
    <row r="2940" spans="2:4">
      <c r="B2940">
        <v>64</v>
      </c>
      <c r="C2940" s="1">
        <f>hyperlink("https://hetutrechtsarchief.nl/collectie/81E75E77B5365CE19BC31EE329700E04","De zeventuigsprocedure in het middeleeuwse Zeist D Klootwijk 12-14 ill 1991")</f>
        <v>0</v>
      </c>
      <c r="D2940" s="1">
        <f>hyperlink("http://dspace.library.uu.nl/handle/1874/240385","De Zeisteroever in de Middeleeuwen D R Klootwijk 33-45 nr 4 p 53-67 1972")</f>
        <v>0</v>
      </c>
    </row>
    <row r="2941" spans="2:4">
      <c r="B2941">
        <v>58</v>
      </c>
      <c r="C2941" s="1">
        <f>hyperlink("https://hetutrechtsarchief.nl/collectie/B61DA0D6F5775F6FA018062968861890","De restauratie van de Dombeiaard Andr Lehr 45-46 1976")</f>
        <v>0</v>
      </c>
      <c r="D2941" s="1">
        <f>hyperlink("http://dspace.library.uu.nl/handle/1874/240386","De Achterheuvel en de Lombardsteeg L Visser 46-48 1972")</f>
        <v>0</v>
      </c>
    </row>
    <row r="2942" spans="2:4">
      <c r="B2942">
        <v>56</v>
      </c>
      <c r="C2942" s="1">
        <f>hyperlink("https://hetutrechtsarchief.nl/collectie/C48F69A3E771526FB38809B6B5142CF2","Onze omgeving in vroegere tijden Harm Sok 9-14 1998")</f>
        <v>0</v>
      </c>
      <c r="D2942" s="1">
        <f>hyperlink("http://dspace.library.uu.nl/handle/1874/240387","Naamgeving aan wegen L Visser 9-12 1972")</f>
        <v>0</v>
      </c>
    </row>
    <row r="2943" spans="2:4">
      <c r="B2943">
        <v>61</v>
      </c>
      <c r="C2943" s="1">
        <f>hyperlink("https://hetutrechtsarchief.nl/collectie/CE4BDACD77FA50419BC4D6E35FC9BE6E","Slachten in Zeist L Visser 46-52 2008")</f>
        <v>0</v>
      </c>
      <c r="D2943" s="1">
        <f>hyperlink("http://dspace.library.uu.nl/handle/1874/240388","Namen van wegen L Visser 69-72 1972")</f>
        <v>0</v>
      </c>
    </row>
    <row r="2944" spans="2:4">
      <c r="B2944">
        <v>56</v>
      </c>
      <c r="C2944" s="1">
        <f>hyperlink("https://hetutrechtsarchief.nl/collectie/EA422104163E5608B07835353F394E33","De Morgenster en Sterkenburg - G v K Pz 25-36 1930")</f>
        <v>0</v>
      </c>
      <c r="D2944" s="1">
        <f>hyperlink("http://dspace.library.uu.nl/handle/1874/240426","De entree van Zeist H Emmer 43-50 jg 4 1974 p 12-13 1973-1974")</f>
        <v>0</v>
      </c>
    </row>
    <row r="2945" spans="2:4">
      <c r="B2945">
        <v>59</v>
      </c>
      <c r="C2945" s="1">
        <f>hyperlink("https://hetutrechtsarchief.nl/collectie/DABC2DD90327674DE0538F04000A7863","Het ontstaan van De Paraplu Zeist Gert Verbeek 20-21 2022")</f>
        <v>0</v>
      </c>
      <c r="D2945" s="1">
        <f>hyperlink("http://dspace.library.uu.nl/handle/1874/240427","Het ontstaan van het Transvaalpark H Emmer 5-10 21-26 1973")</f>
        <v>0</v>
      </c>
    </row>
    <row r="2946" spans="2:4">
      <c r="B2946">
        <v>52</v>
      </c>
      <c r="C2946" s="1">
        <f>hyperlink("https://hetutrechtsarchief.nl/collectie/B4CD962463DA585A9B7B6B327B48F45E","Het geslacht Wolterbeek D G van Epen 417 -448 1907")</f>
        <v>0</v>
      </c>
      <c r="D2946" s="1">
        <f>hyperlink("http://dspace.library.uu.nl/handle/1874/240428","Huize Schaerweyde K W Galis 33-40 51-60 61-80 1973")</f>
        <v>0</v>
      </c>
    </row>
    <row r="2947" spans="2:4">
      <c r="B2947">
        <v>60</v>
      </c>
      <c r="C2947" s="1">
        <f>hyperlink("https://hetutrechtsarchief.nl/collectie/DF1FF515764D5CEBBB20E75C303C3510","Utrecht - Th 1-2 1907")</f>
        <v>0</v>
      </c>
      <c r="D2947" s="1">
        <f>hyperlink("http://dspace.library.uu.nl/handle/1874/240429","Ultrajectum K W Galis 14-16 1973")</f>
        <v>0</v>
      </c>
    </row>
    <row r="2948" spans="2:4">
      <c r="B2948">
        <v>67</v>
      </c>
      <c r="C2948" s="1">
        <f>hyperlink("https://hetutrechtsarchief.nl/collectie/510945D829E352A89EACB43C1829B1C2","Honderd jaar Boulevard L Visser 96-101 2006")</f>
        <v>0</v>
      </c>
      <c r="D2948" s="1">
        <f>hyperlink("http://dspace.library.uu.nl/handle/1874/240430","Honderd jaar Bethani L Visser 27-32 1973")</f>
        <v>0</v>
      </c>
    </row>
    <row r="2949" spans="2:4">
      <c r="B2949">
        <v>53</v>
      </c>
      <c r="C2949" s="1">
        <f>hyperlink("https://hetutrechtsarchief.nl/collectie/F46EC73A94FF5C0CB031ED51239DD921","Drie oude Zeister poortjes JanHein Heimel 17-20 2013")</f>
        <v>0</v>
      </c>
      <c r="D2949" s="1">
        <f>hyperlink("http://dspace.library.uu.nl/handle/1874/240431","Uit de Zeister Weekbode 1869 I H Emmer 61-67 1974")</f>
        <v>0</v>
      </c>
    </row>
    <row r="2950" spans="2:4">
      <c r="B2950">
        <v>61</v>
      </c>
      <c r="C2950" s="1">
        <f>hyperlink("https://hetutrechtsarchief.nl/collectie/DCEBD45341945987B3EAE7A60FE249EE","De legerplaats van Zeist 46-47 1949")</f>
        <v>0</v>
      </c>
      <c r="D2950" s="1">
        <f>hyperlink("http://dspace.library.uu.nl/handle/1874/240432","De entree van Zeist K W Galis 44-46 1974")</f>
        <v>0</v>
      </c>
    </row>
    <row r="2951" spans="2:4">
      <c r="B2951">
        <v>53</v>
      </c>
      <c r="C2951" s="1">
        <f>hyperlink("https://hetutrechtsarchief.nl/collectie/9178F8A09B015382A6941DD17C61E947","Huis en heerlijkheid Stoutenburg I-III S W Melchior 52-54 57-60 69-71 1958")</f>
        <v>0</v>
      </c>
      <c r="D2951" s="1">
        <f>hyperlink("http://dspace.library.uu.nl/handle/1874/240433","Huize Heerewegen K W Galis 13-20 39-40 50-60 69-80 1974")</f>
        <v>0</v>
      </c>
    </row>
    <row r="2952" spans="2:4">
      <c r="B2952">
        <v>63</v>
      </c>
      <c r="C2952" s="1">
        <f>hyperlink("https://hetutrechtsarchief.nl/collectie/53460F3FD07E5BE195CE270C821471CF","De orkaan van 1674 de Donder-Basuyne Godts A Graafhuis 41-46 ill 1974")</f>
        <v>0</v>
      </c>
      <c r="D2952" s="1">
        <f>hyperlink("http://dspace.library.uu.nl/handle/1874/240434","De orkaan van 1674 K W Galis 48-49 1974")</f>
        <v>0</v>
      </c>
    </row>
    <row r="2953" spans="2:4">
      <c r="B2953">
        <v>61</v>
      </c>
      <c r="C2953" s="1">
        <f>hyperlink("https://hetutrechtsarchief.nl/collectie/486BBAFC0563525B93BE5BAC4954D523","Een en ander uit de geschiedenis van de Utrechtsche gast- en ziekenhuizen K A Rombach 73-91 ill 1944")</f>
        <v>0</v>
      </c>
      <c r="D2953" s="1">
        <f>hyperlink("http://dspace.library.uu.nl/handle/1874/240435","Een en ander uit de rechtsgeschiedenis van Zeist J Ph de Mont Verloren 23-36 1974")</f>
        <v>0</v>
      </c>
    </row>
    <row r="2954" spans="2:4">
      <c r="B2954">
        <v>53</v>
      </c>
      <c r="C2954" s="1">
        <f>hyperlink("https://hetutrechtsarchief.nl/collectie/6F7D0D26BCB751209C32717AAC2E117A","Uit de geschiedenis van het Kapittel van Sint Jan B M de Jonge van Ellemeet 29-51 1935")</f>
        <v>0</v>
      </c>
      <c r="D2954" s="1">
        <f>hyperlink("http://dspace.library.uu.nl/handle/1874/240461","Uit de Weekbode van 1 april 1902 Naamlijst der aangeslotenen aan het telephoonnet 67-68 1974")</f>
        <v>0</v>
      </c>
    </row>
    <row r="2955" spans="2:4">
      <c r="B2955">
        <v>55</v>
      </c>
      <c r="C2955" s="1">
        <f>hyperlink("https://hetutrechtsarchief.nl/collectie/A4A47A4B07EB5828A4AA3D76D644DE73","De grote waai en een vergeten hofstede Evert van Andel 126-142 2010")</f>
        <v>0</v>
      </c>
      <c r="D2955" s="1">
        <f>hyperlink("http://dspace.library.uu.nl/handle/1874/240462","Cornelis Schellinger een vergeten Amsterdammer A Bredschneyder 16-20 21-32 1975")</f>
        <v>0</v>
      </c>
    </row>
    <row r="2956" spans="2:4">
      <c r="B2956">
        <v>62</v>
      </c>
      <c r="C2956" s="1">
        <f>hyperlink("https://hetutrechtsarchief.nl/collectie/286A491505275F10B602F3BC9ED5947F","Ontstaan van het Spuiplein 3 Arie ter Beek 160-173 ill 1998")</f>
        <v>0</v>
      </c>
      <c r="D2956" s="1">
        <f>hyperlink("http://dspace.library.uu.nl/handle/1874/240463","Het ontstaan van het Wilhelminapark H Emmer 61-74 1975")</f>
        <v>0</v>
      </c>
    </row>
    <row r="2957" spans="2:4">
      <c r="B2957">
        <v>55</v>
      </c>
      <c r="C2957" s="1">
        <f>hyperlink("https://hetutrechtsarchief.nl/collectie/1A4892D5B580537B91CE1FFA07E030BD","Huize Mari nberg te Harmelen J W C van Schaik 37-41 1999")</f>
        <v>0</v>
      </c>
      <c r="D2957" s="1">
        <f>hyperlink("http://dspace.library.uu.nl/handle/1874/240464","Huize Rodrichem en omgeving K W Galis 37-40 41-55 1975")</f>
        <v>0</v>
      </c>
    </row>
    <row r="2958" spans="2:4">
      <c r="B2958">
        <v>66</v>
      </c>
      <c r="C2958" s="1">
        <f>hyperlink("https://hetutrechtsarchief.nl/collectie/4CFEE399AF4757EE8839089E20A43D93","De sprengen van de Utrechtse Heuvelrug Adriaan Haartsen 105-107 2015")</f>
        <v>0</v>
      </c>
      <c r="D2958" s="1">
        <f>hyperlink("http://dspace.library.uu.nl/handle/1874/240465","Een Lutherse gemeente op de Utrechtse Heuvelrug K Scharten 74-80 1975")</f>
        <v>0</v>
      </c>
    </row>
    <row r="2959" spans="2:4">
      <c r="B2959">
        <v>62</v>
      </c>
      <c r="C2959" s="1">
        <f>hyperlink("https://hetutrechtsarchief.nl/collectie/7C2118E24F8158C188A7BF11B5F1E42C","Het graf van den H Hungerus B H Kl nne 313-315 1895")</f>
        <v>0</v>
      </c>
      <c r="D2959" s="1">
        <f>hyperlink("http://dspace.library.uu.nl/handle/1874/240466","Het paard van Dieges L Visser 33-36 1975")</f>
        <v>0</v>
      </c>
    </row>
    <row r="2960" spans="2:4">
      <c r="B2960">
        <v>56</v>
      </c>
      <c r="C2960" s="1">
        <f>hyperlink("https://hetutrechtsarchief.nl/collectie/9C653A923ABD52DF95C6DA5769ABDA89","De diepvrieskluis in Achterberg bestaat 50 jaar Hens Dekker 48-57 2009")</f>
        <v>0</v>
      </c>
      <c r="D2960" s="1">
        <f>hyperlink("http://dspace.library.uu.nl/handle/1874/240467","De Van de Poll-Stichting bestaat 25 jaren K W Galis 41-52 1976")</f>
        <v>0</v>
      </c>
    </row>
    <row r="2961" spans="2:4">
      <c r="B2961">
        <v>60</v>
      </c>
      <c r="C2961" s="1">
        <f>hyperlink("https://hetutrechtsarchief.nl/collectie/ABD167D7F05056A7A90950C78B8A478A","Nogmaals Amersfoort of niet S W Melchior 28-29 1960")</f>
        <v>0</v>
      </c>
      <c r="D2961" s="1">
        <f>hyperlink("http://dspace.library.uu.nl/handle/1874/240468","Nogmaals de naam Zeist P Kuijper 27-29 1976")</f>
        <v>0</v>
      </c>
    </row>
    <row r="2962" spans="2:4">
      <c r="B2962">
        <v>54</v>
      </c>
      <c r="C2962" s="1">
        <f>hyperlink("https://hetutrechtsarchief.nl/collectie/F469E83CF70B5A9F9CF30263B6E14E0E","Een interessant weggetje in Bunnik D R Klootwijk 65-67 2001")</f>
        <v>0</v>
      </c>
      <c r="D2962" s="1">
        <f>hyperlink("http://dspace.library.uu.nl/handle/1874/240469","Voormalige Rijnarmen te Zeist D R Klootwijk 30-40 53-60 1976")</f>
        <v>0</v>
      </c>
    </row>
    <row r="2963" spans="2:4">
      <c r="B2963">
        <v>61</v>
      </c>
      <c r="C2963" s="1">
        <f>hyperlink("https://hetutrechtsarchief.nl/collectie/1EF984B06E785F40B1FA643AD2A9DD57","Hoe oud is Den Dolder Harm Sok 8-19 2005")</f>
        <v>0</v>
      </c>
      <c r="D2963" s="1">
        <f>hyperlink("http://dspace.library.uu.nl/handle/1874/240470","Hoe oud is Zeist A A H Stolk 72-81 1976")</f>
        <v>0</v>
      </c>
    </row>
    <row r="2964" spans="2:4">
      <c r="B2964">
        <v>63</v>
      </c>
      <c r="C2964" s="1">
        <f>hyperlink("https://hetutrechtsarchief.nl/collectie/9C3F283E9C5154268E003E6ADF09302D","Badhuizen in Zeist Leo Visser 35- 47 2002")</f>
        <v>0</v>
      </c>
      <c r="D2964" s="1">
        <f>hyperlink("http://dspace.library.uu.nl/handle/1874/240471","De naam Zeist L Visser 9-16 1976")</f>
        <v>0</v>
      </c>
    </row>
    <row r="2965" spans="2:4">
      <c r="B2965">
        <v>60</v>
      </c>
      <c r="C2965" s="1">
        <f>hyperlink("https://hetutrechtsarchief.nl/collectie/6FF2E650AC765A6683E6F9071DBAA083","De Nachtwacht van Soest deel 2 Ton Hartman 1-9 2006")</f>
        <v>0</v>
      </c>
      <c r="D2965" s="1">
        <f>hyperlink("http://dspace.library.uu.nl/handle/1874/240472","De nachtwacht L Visser 21-25 1976")</f>
        <v>0</v>
      </c>
    </row>
    <row r="2966" spans="2:4">
      <c r="B2966">
        <v>54</v>
      </c>
      <c r="C2966" s="1">
        <f>hyperlink("https://hetutrechtsarchief.nl/collectie/E91E881DEC4C5C77B4BE7AA4CF53AF6E","Austerlitz A Graafhuis 61-66 portr 1962")</f>
        <v>0</v>
      </c>
      <c r="D2966" s="1">
        <f>hyperlink("http://dspace.library.uu.nl/handle/1874/240487","Austerlitz C H Hilligehekken 21-40 1982")</f>
        <v>0</v>
      </c>
    </row>
    <row r="2967" spans="2:4">
      <c r="B2967">
        <v>56</v>
      </c>
      <c r="C2967" s="1">
        <f>hyperlink("https://hetutrechtsarchief.nl/collectie/807E5875ED2E58089830D12C47B10402","De heuvel van de Oude Kerk te Zeist Jan Rinia 41-43 2014")</f>
        <v>0</v>
      </c>
      <c r="D2967" s="1">
        <f>hyperlink("http://dspace.library.uu.nl/handle/1874/240488","De oude kerkweg tussen Zeist en Bunnik P Kuijper 43-71 1980")</f>
        <v>0</v>
      </c>
    </row>
    <row r="2968" spans="2:4">
      <c r="B2968">
        <v>55</v>
      </c>
      <c r="C2968" s="1">
        <f>hyperlink("https://hetutrechtsarchief.nl/collectie/5555307AE2765D3CBE615B70E59A9E0C","De Ambachtsheerlijkheden van de beide Eemnessen 1714-1922 J V M Out 110-127 ill 1980")</f>
        <v>0</v>
      </c>
      <c r="D2968" s="1">
        <f>hyperlink("http://dspace.library.uu.nl/handle/1874/240489","De ambachtsheerlijkheid De Breul te Zeist P J Begheyn 1977")</f>
        <v>0</v>
      </c>
    </row>
    <row r="2969" spans="2:4">
      <c r="B2969">
        <v>56</v>
      </c>
      <c r="C2969" s="1">
        <f>hyperlink("https://hetutrechtsarchief.nl/collectie/8B8F5B83AE1B57588316CB9BDF2EC5EB","Licht in de duisternis in De Bilt J W H Meijer 1-3 ill 1992")</f>
        <v>0</v>
      </c>
      <c r="D2969" s="1">
        <f>hyperlink("http://dspace.library.uu.nl/handle/1874/240490","Toelichting bij de foto s van Zeist-West H Emmer 41-64 1977")</f>
        <v>0</v>
      </c>
    </row>
    <row r="2970" spans="2:4">
      <c r="B2970">
        <v>57</v>
      </c>
      <c r="C2970" s="1">
        <f>hyperlink("https://hetutrechtsarchief.nl/collectie/6263B390819454439A8BEB56BDB1AC0B","De boerderij De Verroeste Schaar G Brouwer 10-13 2001")</f>
        <v>0</v>
      </c>
      <c r="D2970" s="1">
        <f>hyperlink("http://dspace.library.uu.nl/handle/1874/240491","De boerderij De Blauwe Schorteldoek K W Galis 18-20 21-40 1977")</f>
        <v>0</v>
      </c>
    </row>
    <row r="2971" spans="2:4">
      <c r="B2971">
        <v>58</v>
      </c>
      <c r="C2971" s="1">
        <f>hyperlink("https://hetutrechtsarchief.nl/collectie/AB9CD50254385928822A99A9207F749F","Herinneringen aan K W 14-18 ill 1991")</f>
        <v>0</v>
      </c>
      <c r="D2971" s="1">
        <f>hyperlink("http://dspace.library.uu.nl/handle/1874/240492","De herberg De Zwaan K W Galis 12-17 1977")</f>
        <v>0</v>
      </c>
    </row>
    <row r="2972" spans="2:4">
      <c r="B2972">
        <v>62</v>
      </c>
      <c r="C2972" s="1">
        <f>hyperlink("https://hetutrechtsarchief.nl/collectie/59F67D5CAA4758318CC68E8164C80040","Middeleeuwen in prentbriefkaart F Kipp 46-47 ill 1976")</f>
        <v>0</v>
      </c>
      <c r="D2972" s="1">
        <f>hyperlink("http://dspace.library.uu.nl/handle/1874/240493","De prentbriefkaart H Emmer 61-70 1978")</f>
        <v>0</v>
      </c>
    </row>
    <row r="2973" spans="2:4">
      <c r="B2973">
        <v>55</v>
      </c>
      <c r="C2973" s="1">
        <f>hyperlink("https://hetutrechtsarchief.nl/collectie/FDE0DDF68E2B52C0992EEE8027CEED82","Een nog onbekend portret van Paus Adriaan VI A H L Hensen 97-100 1927")</f>
        <v>0</v>
      </c>
      <c r="D2973" s="1">
        <f>hyperlink("http://dspace.library.uu.nl/handle/1874/240494","Een familieportret van Willem Hadriaan van Nassau-Odijk K W Galis 71-76 1978")</f>
        <v>0</v>
      </c>
    </row>
    <row r="2974" spans="2:4">
      <c r="B2974">
        <v>50</v>
      </c>
      <c r="C2974" s="1">
        <f>hyperlink("https://hetutrechtsarchief.nl/collectie/982B62EDBC465B24B8BCA0AA7DEB0F93","Beeldhouwwerk van het kasteel Vredenburg in verband met zijn geschiedenis - v C 75-78 1951")</f>
        <v>0</v>
      </c>
      <c r="D2974" s="1">
        <f>hyperlink("http://dspace.library.uu.nl/handle/1874/240495","Gevonden K W Galis 76-80 Seijst bulletin ter bevordering van de kennis van de geschiedenis van Zeist jg 15 1985 p 14-16 1978-1985")</f>
        <v>0</v>
      </c>
    </row>
    <row r="2975" spans="2:4">
      <c r="B2975">
        <v>57</v>
      </c>
      <c r="C2975" s="1">
        <f>hyperlink("https://hetutrechtsarchief.nl/collectie/656CDBE9B21F5A128B3722A950CF3160","Hendrik Korlaar 1923-2007 Peter Koelewijn 33-38 2008")</f>
        <v>0</v>
      </c>
      <c r="D2975" s="1">
        <f>hyperlink("http://dspace.library.uu.nl/handle/1874/240496","Hendrik Spilman 1727-1784 J Meerdink 35-38 1978")</f>
        <v>0</v>
      </c>
    </row>
    <row r="2976" spans="2:4">
      <c r="B2976">
        <v>55</v>
      </c>
      <c r="C2976" s="1">
        <f>hyperlink("https://hetutrechtsarchief.nl/collectie/F0C8C35539FD5FCC9BD98ED4E25DC750","Het orgel van de Doopsgezinde kerk te Utrecht teruggevonden in de Vredeskerk te Katwijk Gert Oost 174 - 176 ill 1982")</f>
        <v>0</v>
      </c>
      <c r="D2976" s="1">
        <f>hyperlink("http://dspace.library.uu.nl/handle/1874/240497","Orgel gezocht - orgel gevonden speurtocht naar het voormalige orgel van de Oude Kerk te Zeist Gert Oost 41-50 1978")</f>
        <v>0</v>
      </c>
    </row>
    <row r="2977" spans="2:4">
      <c r="B2977">
        <v>57</v>
      </c>
      <c r="C2977" s="1">
        <f>hyperlink("https://hetutrechtsarchief.nl/collectie/3D2DC2CA05C5544DB3311F73D0DF9FAC","De topografisch-tekenaar Dirk van der Burg - Sw 28-29 1951")</f>
        <v>0</v>
      </c>
      <c r="D2977" s="1">
        <f>hyperlink("http://dspace.library.uu.nl/handle/1874/240498","Jan de Beyer 18e-eeuws topografisch tekenaar H Romers 25-34 1978")</f>
        <v>0</v>
      </c>
    </row>
    <row r="2978" spans="2:4">
      <c r="B2978">
        <v>67</v>
      </c>
      <c r="C2978" s="1">
        <f>hyperlink("https://hetutrechtsarchief.nl/collectie/9C3F283E9C5154268E003E6ADF09302D","Badhuizen in Zeist Leo Visser 35- 47 2002")</f>
        <v>0</v>
      </c>
      <c r="D2978" s="1">
        <f>hyperlink("http://dspace.library.uu.nl/handle/1874/240499","De gemeentehuizen van Zeist L Visser 3-24 1978")</f>
        <v>0</v>
      </c>
    </row>
    <row r="2979" spans="2:4">
      <c r="B2979">
        <v>61</v>
      </c>
      <c r="C2979" s="1">
        <f>hyperlink("https://hetutrechtsarchief.nl/collectie/A91DA7DD690F52E48D76205B9D0B036A","Restauraties 22 ill 1978")</f>
        <v>0</v>
      </c>
      <c r="D2979" s="1">
        <f>hyperlink("http://dspace.library.uu.nl/handle/1874/240500","Restauratie Lommerlust L Visser 51-60 1978")</f>
        <v>0</v>
      </c>
    </row>
    <row r="2980" spans="2:4">
      <c r="B2980">
        <v>61</v>
      </c>
      <c r="C2980" s="1">
        <f>hyperlink("https://hetutrechtsarchief.nl/collectie/3D06F0D092D256A28FBA2AC7B21E1B9B","Uit de geschiedenis van Dekker Van de Vegt K W J van Rossum 93-103 ill portr 1990")</f>
        <v>0</v>
      </c>
      <c r="D2980" s="1">
        <f>hyperlink("http://dspace.library.uu.nl/handle/1874/240501","Uit de geschiedenis van de r k parochie van de H Joseph te Zeist 1842-1900 V A M van der Burg 3-19 1979")</f>
        <v>0</v>
      </c>
    </row>
    <row r="2981" spans="2:4">
      <c r="B2981">
        <v>58</v>
      </c>
      <c r="C2981" s="1">
        <f>hyperlink("https://hetutrechtsarchief.nl/collectie/1F73CAB193B65B5C91D20EDD19E30E9A","Pieter t Hoen en de politieke pers in de Patriottentijd P J H M Theeuwen 350-355 ill 1992")</f>
        <v>0</v>
      </c>
      <c r="D2981" s="1">
        <f>hyperlink("http://dspace.library.uu.nl/handle/1874/240503","Een boer uit Zeist als briefschrijver in de Patriottentijd J Meerdink 25-42 1979")</f>
        <v>0</v>
      </c>
    </row>
    <row r="2982" spans="2:4">
      <c r="B2982">
        <v>63</v>
      </c>
      <c r="C2982" s="1">
        <f>hyperlink("https://hetutrechtsarchief.nl/collectie/06D75BC8A1DE53EC9068BC32FD0CCA5C","Herinneringen aan het Bosbad Jan Meijer 12-14 2015")</f>
        <v>0</v>
      </c>
      <c r="D2982" s="1">
        <f>hyperlink("http://dspace.library.uu.nl/handle/1874/240504","Herinneringen aan De Koppel te Zeist J Meerdink 43-64 1979")</f>
        <v>0</v>
      </c>
    </row>
    <row r="2983" spans="2:4">
      <c r="B2983">
        <v>55</v>
      </c>
      <c r="C2983" s="1">
        <f>hyperlink("https://hetutrechtsarchief.nl/collectie/01E97390FBAE5FC2950951A6485F6A39","Stadsschoon en de stroom van den tijd P W A Immink 169-175 ill 1944")</f>
        <v>0</v>
      </c>
      <c r="D2983" s="1">
        <f>hyperlink("http://dspace.library.uu.nl/handle/1874/240505","Statistische gegevens omtrent Zeist in de Franse tijd J Meerdink 66-74 1979")</f>
        <v>0</v>
      </c>
    </row>
    <row r="2984" spans="2:4">
      <c r="B2984">
        <v>54</v>
      </c>
      <c r="C2984" s="1">
        <f>hyperlink("https://hetutrechtsarchief.nl/collectie/D86AA7377F75535BBC129018E8FE6636","Amelisweerd 48 1978")</f>
        <v>0</v>
      </c>
      <c r="D2984" s="1">
        <f>hyperlink("http://dspace.library.uu.nl/handle/1874/240506","Sparrenheuvel L Visser 74-78 1979")</f>
        <v>0</v>
      </c>
    </row>
    <row r="2985" spans="2:4">
      <c r="B2985">
        <v>65</v>
      </c>
      <c r="C2985" s="1">
        <f>hyperlink("https://hetutrechtsarchief.nl/collectie/B0B2427B1FE95BC78E07F9F7B055A44E","Een luiklok van Odijk naar Zeist V A M van der Burg 29-30 ill 1990")</f>
        <v>0</v>
      </c>
      <c r="D2985" s="1">
        <f>hyperlink("http://dspace.library.uu.nl/handle/1874/240507","Wasserij Burger te Zeist V A M van der Burg 29-39 1980")</f>
        <v>0</v>
      </c>
    </row>
    <row r="2986" spans="2:4">
      <c r="B2986">
        <v>52</v>
      </c>
      <c r="C2986" s="1">
        <f>hyperlink("https://hetutrechtsarchief.nl/collectie/73642E18F1E657D8ACDF4B1CD5F2AB6D","Bezoek aan Nimmerdor in 1875 S W Melchior 77-79 98-100 113-115 1958")</f>
        <v>0</v>
      </c>
      <c r="D2986" s="1">
        <f>hyperlink("http://dspace.library.uu.nl/handle/1874/240509","Beek en Royen J Meerdink 73-98 jg 11 1981 p 3-18 20 1980-1981")</f>
        <v>0</v>
      </c>
    </row>
    <row r="2987" spans="2:4">
      <c r="B2987">
        <v>60</v>
      </c>
      <c r="C2987" s="1">
        <f>hyperlink("https://hetutrechtsarchief.nl/collectie/5D04538A516A544FB2051E413BB7A586","De ontwikkeling van De Uithof 1 10-11 1970")</f>
        <v>0</v>
      </c>
      <c r="D2987" s="1">
        <f>hyperlink("http://dspace.library.uu.nl/handle/1874/240510","Nieuwe ontwikkelingen in een oude omgeving Th Ruijs 71-72 1980")</f>
        <v>0</v>
      </c>
    </row>
    <row r="2988" spans="2:4">
      <c r="B2988">
        <v>65</v>
      </c>
      <c r="C2988" s="1">
        <f>hyperlink("https://hetutrechtsarchief.nl/collectie/A94CF337EED653B6966893588E620B2A","Zeister Historisch Genootschap Van de Poll Stichting V A M van der Burg 18-21 2001")</f>
        <v>0</v>
      </c>
      <c r="D2988" s="1">
        <f>hyperlink("http://dspace.library.uu.nl/handle/1874/240511","Zeist en het geslacht De Pesters V A M van der Burg 21-38 1981")</f>
        <v>0</v>
      </c>
    </row>
    <row r="2989" spans="2:4">
      <c r="B2989">
        <v>54</v>
      </c>
      <c r="C2989" s="1">
        <f>hyperlink("https://hetutrechtsarchief.nl/collectie/25533575317C52E3AB81A6CD801094AF","De sociale werkvoorziening in Zeist tussen 1950-1960 Herman uit de Bosch 8-13 ill 1998")</f>
        <v>0</v>
      </c>
      <c r="D2989" s="1">
        <f>hyperlink("http://dspace.library.uu.nl/handle/1874/240512","Katholieke partij-vorming in Zeist 1905-1980 Th G P M Ruijs 39-75 1981")</f>
        <v>0</v>
      </c>
    </row>
    <row r="2990" spans="2:4">
      <c r="B2990">
        <v>67</v>
      </c>
      <c r="C2990" s="1">
        <f>hyperlink("https://hetutrechtsarchief.nl/collectie/E9FF6329CE71517B99DEF8FF7B39D772","Fragment-genealogie van het Utrechtsche geslacht van Griethuysen A Haga 317-321 1937")</f>
        <v>0</v>
      </c>
      <c r="D2990" s="1">
        <f>hyperlink("http://dspace.library.uu.nl/handle/1874/240513","Fragment-genealogie van het schoutengeslacht Van Dam te Zeist V A M van der Burg 10-14 1982")</f>
        <v>0</v>
      </c>
    </row>
    <row r="2991" spans="2:4">
      <c r="B2991">
        <v>59</v>
      </c>
      <c r="C2991" s="1">
        <f>hyperlink("https://hetutrechtsarchief.nl/collectie/570C2CBCB4EF5D9FB4B9D41F3881C305","De nieuwste straten van Zeist Leo Visser 33-36 2000")</f>
        <v>0</v>
      </c>
      <c r="D2991" s="1">
        <f>hyperlink("http://dspace.library.uu.nl/handle/1874/240514","De namen van en in Zeist L Galis K W Visser 41-63 1982")</f>
        <v>0</v>
      </c>
    </row>
    <row r="2992" spans="2:4">
      <c r="B2992">
        <v>61</v>
      </c>
      <c r="C2992" s="1">
        <f>hyperlink("https://hetutrechtsarchief.nl/collectie/33EB6A0CCCBD5D248CC69B28830989F9","De broeders O Dekkers 13-15 2012")</f>
        <v>0</v>
      </c>
      <c r="D2992" s="1">
        <f>hyperlink("http://dspace.library.uu.nl/handle/1874/240515","De Brouwerij J Meerdink 16-20 1982")</f>
        <v>0</v>
      </c>
    </row>
    <row r="2993" spans="2:4">
      <c r="B2993">
        <v>62</v>
      </c>
      <c r="C2993" s="1">
        <f>hyperlink("https://hetutrechtsarchief.nl/collectie/6087FD8A3B4058B2A96278AD9801684D","De Posterij L Visser 43-46 2010")</f>
        <v>0</v>
      </c>
      <c r="D2993" s="1">
        <f>hyperlink("http://dspace.library.uu.nl/handle/1874/240516","De bevrijding L Visser 68-73 1982")</f>
        <v>0</v>
      </c>
    </row>
    <row r="2994" spans="2:4">
      <c r="B2994">
        <v>58</v>
      </c>
      <c r="C2994" s="1">
        <f>hyperlink("https://hetutrechtsarchief.nl/collectie/760CA0D8D0BF1073E0534701000AFDE4","Een muziekmeester in het dorp Evert-Jan van Beek 78-79 2018")</f>
        <v>0</v>
      </c>
      <c r="D2994" s="1">
        <f>hyperlink("http://dspace.library.uu.nl/handle/1874/240517","Een stukje apothekershistorie uit het dorp Zeist D van Zanten 74-82 1982")</f>
        <v>0</v>
      </c>
    </row>
    <row r="2995" spans="2:4">
      <c r="B2995">
        <v>60</v>
      </c>
      <c r="C2995" s="1">
        <f>hyperlink("https://hetutrechtsarchief.nl/collectie/CB43537C900555D5B0604E4A629D0CB4","De bewoners van het oudste huis van Bunschoten O Dekkers 4-24 2001")</f>
        <v>0</v>
      </c>
      <c r="D2995" s="1">
        <f>hyperlink("http://dspace.library.uu.nl/handle/1874/240536","De eigenaren bewoners van het Slot te Zeist D A Bertoen-Brouwer 23-40 1986")</f>
        <v>0</v>
      </c>
    </row>
    <row r="2996" spans="2:4">
      <c r="B2996">
        <v>62</v>
      </c>
      <c r="C2996" s="1">
        <f>hyperlink("https://hetutrechtsarchief.nl/collectie/B0B2427B1FE95BC78E07F9F7B055A44E","Een luiklok van Odijk naar Zeist V A M van der Burg 29-30 ill 1990")</f>
        <v>0</v>
      </c>
      <c r="D2996" s="1">
        <f>hyperlink("http://dspace.library.uu.nl/handle/1874/240537","De kasteel boerderij De Brakel onder Zeist V A M van der Burg 41-49 1986")</f>
        <v>0</v>
      </c>
    </row>
    <row r="2997" spans="2:4">
      <c r="B2997">
        <v>58</v>
      </c>
      <c r="C2997" s="1">
        <f>hyperlink("https://hetutrechtsarchief.nl/collectie/6CAEBCBA878F5453976F9BCB476AE2E6","Een bezoek aan de stadskwekerij J C Janssen 5-7 ill 1962")</f>
        <v>0</v>
      </c>
      <c r="D2997" s="1">
        <f>hyperlink("http://dspace.library.uu.nl/handle/1874/240538","Een bezoek aan Beek en Royen in 1788 J Meerdink 50-51 1986")</f>
        <v>0</v>
      </c>
    </row>
    <row r="2998" spans="2:4">
      <c r="B2998">
        <v>59</v>
      </c>
      <c r="C2998" s="1">
        <f>hyperlink("https://hetutrechtsarchief.nl/collectie/9DAF9F98DA735714949DD55A795B7221","De negen eeuwen lange historie van het Janskerkhof C L Temminck Groll 7-10 ill 1960")</f>
        <v>0</v>
      </c>
      <c r="D2998" s="1">
        <f>hyperlink("http://dspace.library.uu.nl/handle/1874/240540","Enige aspecten van de historie van het Slot te Zeist M M A Roeder 3-12 1986")</f>
        <v>0</v>
      </c>
    </row>
    <row r="2999" spans="2:4">
      <c r="B2999">
        <v>59</v>
      </c>
      <c r="C2999" s="1">
        <f>hyperlink("https://hetutrechtsarchief.nl/collectie/105ADD787B515F81A4396BF2515DBBAE","Katholiek Zeist te boek V A M van der Burg 112-114 2011")</f>
        <v>0</v>
      </c>
      <c r="D2999" s="1">
        <f>hyperlink("http://dspace.library.uu.nl/handle/1874/240541","De hoogstaangeslagenen te Zeist in 1889 V A M van der Burg 99-101 1987")</f>
        <v>0</v>
      </c>
    </row>
    <row r="3000" spans="2:4">
      <c r="B3000">
        <v>59</v>
      </c>
      <c r="C3000" s="1">
        <f>hyperlink("https://hetutrechtsarchief.nl/collectie/BC19AD5BED1C50F9A15FD3E4B42E4DE7","In verzet tussen 1940 en 1945 Jan Jansen 3-10 2014")</f>
        <v>0</v>
      </c>
      <c r="D3000" s="1">
        <f>hyperlink("http://dspace.library.uu.nl/handle/1874/240542","Zeist tussen 1880 en 1900 F Wels 9-15 1987")</f>
        <v>0</v>
      </c>
    </row>
    <row r="3001" spans="2:4">
      <c r="B3001">
        <v>63</v>
      </c>
      <c r="C3001" s="1">
        <f>hyperlink("https://hetutrechtsarchief.nl/collectie/F8649A499D24547CBE66C75950B4D764","De paragnost en de politie Henk Lodder 10-11 1987")</f>
        <v>0</v>
      </c>
      <c r="D3001" s="1">
        <f>hyperlink("http://dspace.library.uu.nl/handle/1874/240543","De Pesters en de Ni nhof Henk Reinders 80-93 1987")</f>
        <v>0</v>
      </c>
    </row>
    <row r="3002" spans="2:4">
      <c r="B3002">
        <v>60</v>
      </c>
      <c r="C3002" s="1">
        <f>hyperlink("https://hetutrechtsarchief.nl/collectie/7D417E49E8715C6CB0CB759FE0597A04","Het warenhuis van de Broedergemeente in Zeist R P M Rhoen 167-169 2012")</f>
        <v>0</v>
      </c>
      <c r="D3002" s="1">
        <f>hyperlink("http://dspace.library.uu.nl/handle/1874/240544","De oprichting van de gemeentelijke Zeister gasfabriek in 1887 R P M Rhoen 62-65 1987")</f>
        <v>0</v>
      </c>
    </row>
    <row r="3003" spans="2:4">
      <c r="B3003">
        <v>54</v>
      </c>
      <c r="C3003" s="1">
        <f>hyperlink("https://hetutrechtsarchief.nl/collectie/2916102C15B5544786CF064561CC0C5B","Holder de bolder mythen en sagen van Zeist Hans Kilian 5-7 ill 1998")</f>
        <v>0</v>
      </c>
      <c r="D3003" s="1">
        <f>hyperlink("http://dspace.library.uu.nl/handle/1874/240545","Over een rietdekker en een rietmattenmakerij in Zeist Hendrik Wels 52-61 1987")</f>
        <v>0</v>
      </c>
    </row>
    <row r="3004" spans="2:4">
      <c r="B3004">
        <v>56</v>
      </c>
      <c r="C3004" s="1">
        <f>hyperlink("https://hetutrechtsarchief.nl/collectie/9F3DB057D906530D878EB8305DA19720","Een kijk van nu op n kiek van toen de Meernbrug J H 72-73 1998")</f>
        <v>0</v>
      </c>
      <c r="D3004" s="1">
        <f>hyperlink("http://dspace.library.uu.nl/handle/1874/240546","Zeist vergane glorie van trein en tram Ger Russer 28-32 1987")</f>
        <v>0</v>
      </c>
    </row>
    <row r="3005" spans="2:4">
      <c r="B3005">
        <v>60</v>
      </c>
      <c r="C3005" s="1">
        <f>hyperlink("https://hetutrechtsarchief.nl/collectie/8EBD129CA0B85064AD72F4D91A5DF0CE","De stichting van de Hervormde Gemeente te Lopikerkapel J G M Boon 61-74 ill 1963")</f>
        <v>0</v>
      </c>
      <c r="D3005" s="1">
        <f>hyperlink("http://dspace.library.uu.nl/handle/1874/240547","Stichting van de hervormde kerk met pastorie te Huis ter Heide W Grapendaal 16-21 1987")</f>
        <v>0</v>
      </c>
    </row>
    <row r="3006" spans="2:4">
      <c r="B3006">
        <v>66</v>
      </c>
      <c r="C3006" s="1">
        <f>hyperlink("https://hetutrechtsarchief.nl/collectie/7BD34A1709CE5F6BB809684A5540E145","De bestuurlijke elite van Zeist van 1813 tot 1851 R P M Rhoen 88-96 2010")</f>
        <v>0</v>
      </c>
      <c r="D3006" s="1">
        <f>hyperlink("http://dspace.library.uu.nl/handle/1874/240548","De Muzijkvereeniging te Zeijst van 1861-1865 R P M Rhoen 34-41 1987")</f>
        <v>0</v>
      </c>
    </row>
    <row r="3007" spans="2:4">
      <c r="B3007">
        <v>64</v>
      </c>
      <c r="C3007" s="1">
        <f>hyperlink("https://hetutrechtsarchief.nl/collectie/105ADD787B515F81A4396BF2515DBBAE","Katholiek Zeist te boek V A M van der Burg 112-114 2011")</f>
        <v>0</v>
      </c>
      <c r="D3007" s="1">
        <f>hyperlink("http://dspace.library.uu.nl/handle/1874/240549","De zonde in het deftige dorp V A M van der Burg 9-11 1984")</f>
        <v>0</v>
      </c>
    </row>
    <row r="3008" spans="2:4">
      <c r="B3008">
        <v>55</v>
      </c>
      <c r="C3008" s="1">
        <f>hyperlink("https://hetutrechtsarchief.nl/collectie/59F5C41597EC52629266737D8C63E51D","Een en ander over Oud-Utrecht III 1-3 1909")</f>
        <v>0</v>
      </c>
      <c r="D3008" s="1">
        <f>hyperlink("http://dspace.library.uu.nl/handle/1874/240550","Kees van den Achterheuvel vertelt over Oud-Zeist L Visser 60-63 1984")</f>
        <v>0</v>
      </c>
    </row>
    <row r="3009" spans="2:4">
      <c r="B3009">
        <v>54</v>
      </c>
      <c r="C3009" s="1">
        <f>hyperlink("https://hetutrechtsarchief.nl/collectie/B0D6113AE48D53F1863C4188391DA41C","Prof Johan Frederik Hennert 6-8 1950")</f>
        <v>0</v>
      </c>
      <c r="D3009" s="1">
        <f>hyperlink("http://dspace.library.uu.nl/handle/1874/240552","Architect Johan Meerdink J Meerdink 94-95 1987")</f>
        <v>0</v>
      </c>
    </row>
    <row r="3010" spans="2:4">
      <c r="B3010">
        <v>57</v>
      </c>
      <c r="C3010" s="1">
        <f>hyperlink("https://hetutrechtsarchief.nl/collectie/28B2215D72415B2DA1BEC81C349C9CD2","Het Duitse Huis slot A S Klusener 683-684 1985")</f>
        <v>0</v>
      </c>
      <c r="D3010" s="1">
        <f>hyperlink("http://dspace.library.uu.nl/handle/1874/240553","Het kiesrecht na 1848 L Visser 96-98 1987")</f>
        <v>0</v>
      </c>
    </row>
    <row r="3011" spans="2:4">
      <c r="B3011">
        <v>54</v>
      </c>
      <c r="C3011" s="1">
        <f>hyperlink("https://hetutrechtsarchief.nl/collectie/9E3E86E93DE8591193D8CA8BE9A0BEB3","Racisme in Utrecht de overheid doet er hard aan mee Henk Droog 7 - 8 1983")</f>
        <v>0</v>
      </c>
      <c r="D3011" s="1">
        <f>hyperlink("http://dspace.library.uu.nl/handle/1874/240555","Wat vindt men in de persberichten over het Slot J C Mollen-Hengeveld 13-18 1986")</f>
        <v>0</v>
      </c>
    </row>
    <row r="3012" spans="2:4">
      <c r="B3012">
        <v>55</v>
      </c>
      <c r="C3012" s="1">
        <f>hyperlink("https://hetutrechtsarchief.nl/collectie/CF9C39661EED597BAA32FC54CD6EBCD1","Oprichting van de Van de Poll Stichting 1951 7-11 2001")</f>
        <v>0</v>
      </c>
      <c r="D3012" s="1">
        <f>hyperlink("http://dspace.library.uu.nl/handle/1874/240556","De Van de Poll-Stichting van 1951-1986 J C Mollen-Hengeveld 57-69 1986")</f>
        <v>0</v>
      </c>
    </row>
    <row r="3013" spans="2:4">
      <c r="B3013">
        <v>62</v>
      </c>
      <c r="C3013" s="1">
        <f>hyperlink("https://hetutrechtsarchief.nl/collectie/79A9AB94D9C65DC7AFC75618600946CD","Het topje van de ijsberg 16-18 1985")</f>
        <v>0</v>
      </c>
      <c r="D3013" s="1">
        <f>hyperlink("http://dspace.library.uu.nl/handle/1874/240557","Het wagentje van Dieges J Meerdink 70-71 1987")</f>
        <v>0</v>
      </c>
    </row>
    <row r="3014" spans="2:4">
      <c r="B3014">
        <v>54</v>
      </c>
      <c r="C3014" s="1">
        <f>hyperlink("https://hetutrechtsarchief.nl/collectie/BBDAE9EE5AF95248ABFC67C508289902","De Hernhutters in Nederland en hun archieven H L Ph Leeuwenberg 127-136 1992")</f>
        <v>0</v>
      </c>
      <c r="D3014" s="1">
        <f>hyperlink("http://dspace.library.uu.nl/handle/1874/240559","De Evangelische Broedergemeente te Zeist ten tijde van de Bataafse omwenteling in januari 1795 H L Ph Leeuwenberg 12-21 23-43 1984")</f>
        <v>0</v>
      </c>
    </row>
    <row r="3015" spans="2:4">
      <c r="B3015">
        <v>54</v>
      </c>
      <c r="C3015" s="1">
        <f>hyperlink("https://hetutrechtsarchief.nl/collectie/9F61DA66F1ED593BA75A215D6EF413CD","Uit de kunst Klaas Twillert 23-25 2010")</f>
        <v>0</v>
      </c>
      <c r="D3015" s="1">
        <f>hyperlink("http://dspace.library.uu.nl/handle/1874/240560","Uit de kluis geklapt Saskia Bottinga 61-79 1985")</f>
        <v>0</v>
      </c>
    </row>
    <row r="3016" spans="2:4">
      <c r="B3016">
        <v>59</v>
      </c>
      <c r="C3016" s="1">
        <f>hyperlink("https://hetutrechtsarchief.nl/collectie/2603137D2092528CBB2F018A6217A09E","Over begraafplaatsen en begraven in het bijzonder te Utrecht A J van der Weyde 85-113 ill 1930")</f>
        <v>0</v>
      </c>
      <c r="D3016" s="1">
        <f>hyperlink("http://dspace.library.uu.nl/handle/1874/240561","De begraafplaatsen in de buurtschappen Austerlitz en Den Dolder V A M van der Burg 7-11 1985")</f>
        <v>0</v>
      </c>
    </row>
    <row r="3017" spans="2:4">
      <c r="B3017">
        <v>56</v>
      </c>
      <c r="C3017" s="1">
        <f>hyperlink("https://hetutrechtsarchief.nl/collectie/F24B561F475254FF9C4E93669DFBA102","Het dienstpersoneel op de Zeister buitenplaatsen aan de Driebergseweg 1850-1940 V A M van der Burg 58-60 portr 1997")</f>
        <v>0</v>
      </c>
      <c r="D3017" s="1">
        <f>hyperlink("http://dspace.library.uu.nl/handle/1874/240562","Zeist en het geslacht Huydecoper bouwers van de 19e eeuwse buitenplaatsen Blikkenburg De Brink en Wulperhorst V A M van der Burg 22-34 1985")</f>
        <v>0</v>
      </c>
    </row>
    <row r="3018" spans="2:4">
      <c r="B3018">
        <v>59</v>
      </c>
      <c r="C3018" s="1">
        <f>hyperlink("https://hetutrechtsarchief.nl/collectie/79A9AB94D9C65DC7AFC75618600946CD","Het topje van de ijsberg 16-18 1985")</f>
        <v>0</v>
      </c>
      <c r="D3018" s="1">
        <f>hyperlink("http://dspace.library.uu.nl/handle/1874/240563","De kartografie van Zeist H Emmer 41-60 1985")</f>
        <v>0</v>
      </c>
    </row>
    <row r="3019" spans="2:4">
      <c r="B3019">
        <v>56</v>
      </c>
      <c r="C3019" s="1">
        <f>hyperlink("https://hetutrechtsarchief.nl/collectie/EF3CB3A885455556A1B223F75FBD0274","Van Staten naar Representanten naar Provinciale Staten de omwenteling in het gewestelijk bestuur van Utrecht tussen 1795 en 1816 Fred Vogelzang 110-156 2009")</f>
        <v>0</v>
      </c>
      <c r="D3019" s="1">
        <f>hyperlink("http://dspace.library.uu.nl/handle/1874/240564","Van personen naar partijen een onderzoek naar partijvorming in de gemeentepolitiek van Zeist tussen 1870 en 1890 Dick de Wit 67-90 1984")</f>
        <v>0</v>
      </c>
    </row>
    <row r="3020" spans="2:4">
      <c r="B3020">
        <v>59</v>
      </c>
      <c r="C3020" s="1">
        <f>hyperlink("https://hetutrechtsarchief.nl/collectie/1311F126AA0751FABAEA1919AEB52867","De tol aan de Rijnsteeg Wim Eimers 16-17 2015")</f>
        <v>0</v>
      </c>
      <c r="D3020" s="1">
        <f>hyperlink("http://dspace.library.uu.nl/handle/1874/240565","De Slotlaanschool verhuist L Visser 17-20 1985")</f>
        <v>0</v>
      </c>
    </row>
    <row r="3021" spans="2:4">
      <c r="B3021">
        <v>66</v>
      </c>
      <c r="C3021" s="1">
        <f>hyperlink("https://hetutrechtsarchief.nl/collectie/3C5D586982335E05A2984A511DC03A8E","Gymnasium en liefde V A M van der Burg 74 1984")</f>
        <v>0</v>
      </c>
      <c r="D3021" s="1">
        <f>hyperlink("http://dspace.library.uu.nl/handle/1874/240567","Begraafplaatsen te Zeist V A M van der Burg 67-79 1983")</f>
        <v>0</v>
      </c>
    </row>
    <row r="3022" spans="2:4">
      <c r="B3022">
        <v>67</v>
      </c>
      <c r="C3022" s="1">
        <f>hyperlink("https://hetutrechtsarchief.nl/collectie/B0B2427B1FE95BC78E07F9F7B055A44E","Een luiklok van Odijk naar Zeist V A M van der Burg 29-30 ill 1990")</f>
        <v>0</v>
      </c>
      <c r="D3022" s="1">
        <f>hyperlink("http://dspace.library.uu.nl/handle/1874/240568","De galgen onder Zeist V A M van der Burg 24-27 1983")</f>
        <v>0</v>
      </c>
    </row>
    <row r="3023" spans="2:4">
      <c r="B3023">
        <v>59</v>
      </c>
      <c r="C3023" s="1">
        <f>hyperlink("https://hetutrechtsarchief.nl/collectie/95C3F3C1A9FD5F4585DBAE0D314FB36C","De Grote Nederlandse Bende rovers in de late 18e eeuw Florike Egmond 431-438 ill 1986")</f>
        <v>0</v>
      </c>
      <c r="D3023" s="1">
        <f>hyperlink("http://dspace.library.uu.nl/handle/1874/240569","De Hollandse Bende te Zeist in 1798 F Egmond 7-18 1983")</f>
        <v>0</v>
      </c>
    </row>
    <row r="3024" spans="2:4">
      <c r="B3024">
        <v>65</v>
      </c>
      <c r="C3024" s="1">
        <f>hyperlink("https://hetutrechtsarchief.nl/collectie/A19EA6F79E4C5320ADC45116313C8582","De gebrandschilderde ramen in de Dom Th Haakma Wagenaar 1-8 ill tek 1986")</f>
        <v>0</v>
      </c>
      <c r="D3024" s="1">
        <f>hyperlink("http://dspace.library.uu.nl/handle/1874/240570","Gebrandschilderde ramen in de Oude Kerk van Zeist K W Galis 38-40 1983")</f>
        <v>0</v>
      </c>
    </row>
    <row r="3025" spans="2:4">
      <c r="B3025">
        <v>54</v>
      </c>
      <c r="C3025" s="1">
        <f>hyperlink("https://hetutrechtsarchief.nl/collectie/69E0FD71885050F39AFD827C314A43F0","Een oud spreekwoord - K 20 1946")</f>
        <v>0</v>
      </c>
      <c r="D3025" s="1">
        <f>hyperlink("http://dspace.library.uu.nl/handle/1874/240571","of een rouwbord K W Galis 80-81 1983")</f>
        <v>0</v>
      </c>
    </row>
    <row r="3026" spans="2:4">
      <c r="B3026">
        <v>59</v>
      </c>
      <c r="C3026" s="1">
        <f>hyperlink("https://hetutrechtsarchief.nl/collectie/E6AA52E200D655D0A8514E92C2E09633","Grepen uit de geschiedenis van Maarssen Arie de Zwart 62-72 2010")</f>
        <v>0</v>
      </c>
      <c r="D3026" s="1">
        <f>hyperlink("http://dspace.library.uu.nl/handle/1874/240572","Enkele grepen uit de geschiedenis van Zeist tijdens de inlijving bij Frankrijk J Meerdink 28-37 1983")</f>
        <v>0</v>
      </c>
    </row>
    <row r="3027" spans="2:4">
      <c r="B3027">
        <v>70</v>
      </c>
      <c r="C3027" s="1">
        <f>hyperlink("https://hetutrechtsarchief.nl/collectie/CE4BDACD77FA50419BC4D6E35FC9BE6E","Slachten in Zeist L Visser 46-52 2008")</f>
        <v>0</v>
      </c>
      <c r="D3027" s="1">
        <f>hyperlink("http://dspace.library.uu.nl/handle/1874/240573","Emancipatie in Zeist L Visser 41-66 1983")</f>
        <v>0</v>
      </c>
    </row>
    <row r="3028" spans="2:4">
      <c r="B3028">
        <v>55</v>
      </c>
      <c r="C3028" s="1">
        <f>hyperlink("https://hetutrechtsarchief.nl/collectie/02E74832B1B451B0922E03CF948FB576","Genealogisch onderzoek in Zeist een korte inleiding in de bronnen V A M van der Burg 72-80 ill 1990")</f>
        <v>0</v>
      </c>
      <c r="D3028" s="1">
        <f>hyperlink("http://dspace.library.uu.nl/handle/1874/240574","De ridderhofstad Kersbergen te Zeist en de vertelling De kinderen van Warmelo in de 18e eeuw V A M van der Burg 44-48 1984")</f>
        <v>0</v>
      </c>
    </row>
    <row r="3029" spans="2:4">
      <c r="B3029">
        <v>51</v>
      </c>
      <c r="C3029" s="1">
        <f>hyperlink("https://hetutrechtsarchief.nl/collectie/7F16429C476181DCE0534701000A701A","Het vaststellen van de gemeentegrenzen van Rhenen in 1818 Burgemeesters bepalen tijdens een rondgang de buitengrenzen Kees Floor 2-7 2018")</f>
        <v>0</v>
      </c>
      <c r="D3029" s="1">
        <f>hyperlink("http://dspace.library.uu.nl/handle/1874/240575","Verslag van den toestand der gemeente Zeist over het jaar 1916 door Burgemeester en Wethouders aan den Raad dier gemeente ingevolge artikel 182 der gemeentewet aangeboden 50-57 1984")</f>
        <v>0</v>
      </c>
    </row>
    <row r="3030" spans="2:4">
      <c r="B3030">
        <v>61</v>
      </c>
      <c r="C3030" s="1">
        <f>hyperlink("https://hetutrechtsarchief.nl/collectie/C3C0DE9C7BE95151A2D60AC88B834552","De gek van Utrecht en die van den Prins van Oranje J J Dodt van Flensburg 211-213 1841")</f>
        <v>0</v>
      </c>
      <c r="D3030" s="1">
        <f>hyperlink("http://dspace.library.uu.nl/handle/1874/240612","De werkzaamheden van het generaal-capittel te Utrecht in 1524 sede episcopali vacante J J Dodt van Flensburg 1 -16 1838")</f>
        <v>0</v>
      </c>
    </row>
    <row r="3031" spans="2:4">
      <c r="B3031">
        <v>59</v>
      </c>
      <c r="C3031" s="1">
        <f>hyperlink("https://hetutrechtsarchief.nl/collectie/A65D1F30402554BF90E3016FBAB47499","Historisch-chirurgische bijzonderheden uit de XV eeuw J J Dodt van Flensburg 278-288 1840")</f>
        <v>0</v>
      </c>
      <c r="D3031" s="1">
        <f>hyperlink("http://dspace.library.uu.nl/handle/1874/240614","Bisschop Frederick Schenck v Tautenburch aen Bruhesen 4 aug 1574 J J Dodt van Flensburg 278 1838")</f>
        <v>0</v>
      </c>
    </row>
    <row r="3032" spans="2:4">
      <c r="B3032">
        <v>62</v>
      </c>
      <c r="C3032" s="1">
        <f>hyperlink("https://hetutrechtsarchief.nl/collectie/8AEBBC18788858CAB17CDCE34F223F3B","Jan Seversz boekprenter en ketter 1500 sqq J J Dodt van Flensburg 96-100 1846")</f>
        <v>0</v>
      </c>
      <c r="D3032" s="1">
        <f>hyperlink("http://dspace.library.uu.nl/handle/1874/240615","Gasp Schetz aen Floris Thin etc 9 jul 1570 J J Dodt van Flensburg 290 1838")</f>
        <v>0</v>
      </c>
    </row>
    <row r="3033" spans="2:4">
      <c r="B3033">
        <v>60</v>
      </c>
      <c r="C3033" s="1">
        <f>hyperlink("https://hetutrechtsarchief.nl/collectie/9B1542B368E85A71BAF2013E51322394","Stukken betreffende het geschil tusschen de stad Utrecht en de kleine steden van het Sticht 538-547 1866")</f>
        <v>0</v>
      </c>
      <c r="D3033" s="1">
        <f>hyperlink("http://dspace.library.uu.nl/handle/1874/240616","Stukken betreffende de geestelijke broederschappen te Utrecht in de Middeleeuwen 175 -190 1838")</f>
        <v>0</v>
      </c>
    </row>
    <row r="3034" spans="2:4">
      <c r="B3034">
        <v>60</v>
      </c>
      <c r="C3034" s="1">
        <f>hyperlink("https://hetutrechtsarchief.nl/collectie/C1E616CF399158C683E547946174FAAF","Mislukte vredesonderhandelingen tusschen den bisschop David van Bourgondien en de stad Utrecht 181 -191 217 -235 1843")</f>
        <v>0</v>
      </c>
      <c r="D3034" s="1">
        <f>hyperlink("http://dspace.library.uu.nl/handle/1874/240618","Stukken betreffende bisschop David van Bourgondie en het Sticht onder zijn bestuur 1456-1497 143-174 1838")</f>
        <v>0</v>
      </c>
    </row>
    <row r="3035" spans="2:4">
      <c r="B3035">
        <v>58</v>
      </c>
      <c r="C3035" s="1">
        <f>hyperlink("https://hetutrechtsarchief.nl/collectie/F1349690A50956B392B83AE34E89C710","Doopvont te Utrecht C A Rethaan Macar 150-152 1858")</f>
        <v>0</v>
      </c>
      <c r="D3035" s="1">
        <f>hyperlink("http://dspace.library.uu.nl/handle/1874/240619","Enicheyt tusschen Utrecht en Naerden 15 Maart 1492 107-108 1838")</f>
        <v>0</v>
      </c>
    </row>
    <row r="3036" spans="2:4">
      <c r="B3036">
        <v>61</v>
      </c>
      <c r="C3036" s="1">
        <f>hyperlink("https://hetutrechtsarchief.nl/collectie/C3C0DE9C7BE95151A2D60AC88B834552","De gek van Utrecht en die van den Prins van Oranje J J Dodt van Flensburg 211-213 1841")</f>
        <v>0</v>
      </c>
      <c r="D3036" s="1">
        <f>hyperlink("http://dspace.library.uu.nl/handle/1874/240620","Brief der Staten van Utrecht aan de Prince van Orangien 3 jan 1577 191 -192 1838")</f>
        <v>0</v>
      </c>
    </row>
    <row r="3037" spans="2:4">
      <c r="B3037">
        <v>59</v>
      </c>
      <c r="C3037" s="1">
        <f>hyperlink("https://hetutrechtsarchief.nl/collectie/A3C6FF9D994455E282606A0E1B90578D","Bijdragen tot de geschiedenis van het geschutwezen bepaaldelijk in de middeleeuwen medeged door A M C van Asch van Wijck 328 387 1850")</f>
        <v>0</v>
      </c>
      <c r="D3037" s="1">
        <f>hyperlink("http://dspace.library.uu.nl/handle/1874/240621","Archief voor kerkelijke en wereldlijke geschiedenis van Nederland meer bepaaldelijk van Utrecht uitg door A M C van Asch van Wijck A M C Asch van Wijk 1850-1853")</f>
        <v>0</v>
      </c>
    </row>
    <row r="3038" spans="2:4">
      <c r="B3038">
        <v>59</v>
      </c>
      <c r="C3038" s="1">
        <f>hyperlink("https://hetutrechtsarchief.nl/collectie/1DBC3272F69F50B9A99959FA5A08F151","Oorspronkelijkheden bij welke de geschiedenis van Utrecht opheldering kan ontvangen J J Dodt van Flensburg 262 -266 303-307 384 -388 413 -414 ill 1837")</f>
        <v>0</v>
      </c>
      <c r="D3038" s="1">
        <f>hyperlink("http://dspace.library.uu.nl/handle/1874/240622","Archief voor kerkelijke en wereldsche geschiedenissen inzonderheid van Utrecht uitg door J J Dodt van Flensburg J J Dodt van Flensburg 1838-1848")</f>
        <v>0</v>
      </c>
    </row>
    <row r="3039" spans="2:4">
      <c r="B3039">
        <v>60</v>
      </c>
      <c r="C3039" s="1">
        <f>hyperlink("https://hetutrechtsarchief.nl/collectie/79EA792508BD587483D17B214D8D5073","Herstelling van David van Bourgondien in zijn wereldlijk en geestelijk gezag als bisschop van Utrecht den 21 april 1483 A M C van Asch van Wijck 21-34 1844")</f>
        <v>0</v>
      </c>
      <c r="D3039" s="1">
        <f>hyperlink("http://dspace.library.uu.nl/handle/1874/240624","Frederik van Baden pogingen ter zijner benoeming tot coadjutor en later tot opvolger van David van Bourgondi als bisschop van Utrecht 1493-1496 A M C van Asch van Wijck 1 -16 1850")</f>
        <v>0</v>
      </c>
    </row>
    <row r="3040" spans="2:4">
      <c r="B3040">
        <v>99</v>
      </c>
      <c r="C3040" s="1">
        <f>hyperlink("https://hetutrechtsarchief.nl/collectie/3628430D77B8537A8AE470708C7B024E","Pachtcontracten van Vrou Beelen Hoeve in Cattenbroeck bezit van het klooster Bethlehem bij Utrecht anno 1475 D R Klootwijk 65-83 ill 1988")</f>
        <v>0</v>
      </c>
      <c r="D3040" s="1">
        <f>hyperlink("http://dspace.library.uu.nl/handle/1874/240670","Pachtcontracten van Vrou Beelen Hoeve in Cattenbroeck bezit van het klooster Bethlehem bij Utrecht anno 1475 D R Klootwijk 65-83 1988")</f>
        <v>0</v>
      </c>
    </row>
    <row r="3041" spans="2:4">
      <c r="B3041">
        <v>57</v>
      </c>
      <c r="C3041" s="1">
        <f>hyperlink("https://hetutrechtsarchief.nl/collectie/33FF121176A05664B4458FCE10C29C9F","De naam Wiebe Wiebe van IJken 155-170 2008")</f>
        <v>0</v>
      </c>
      <c r="D3041" s="1">
        <f>hyperlink("http://dspace.library.uu.nl/handle/1874/240671","De naam Breul K W Galis 5-7 1988")</f>
        <v>0</v>
      </c>
    </row>
    <row r="3042" spans="2:4">
      <c r="B3042">
        <v>54</v>
      </c>
      <c r="C3042" s="1">
        <f>hyperlink("https://hetutrechtsarchief.nl/collectie/C9CC571199F85D82B4BA78E406E0E13E","De merkwaardige geschiedenis van een Kleefs leen onder Woudenberg W van Iterson 27-39 1969")</f>
        <v>0</v>
      </c>
      <c r="D3042" s="1">
        <f>hyperlink("http://dspace.library.uu.nl/handle/1874/240672","Merkwaardige zaken mij bekend van hoog tot laag langs de Driebergseweg J Meerdink 8-12 1988")</f>
        <v>0</v>
      </c>
    </row>
    <row r="3043" spans="2:4">
      <c r="B3043">
        <v>61</v>
      </c>
      <c r="C3043" s="1">
        <f>hyperlink("https://hetutrechtsarchief.nl/collectie/875A949D027553D7B80DD5F89B7ACB7E","Het Bisschops-hof te Utrecht J H Hofman 281-302 1908")</f>
        <v>0</v>
      </c>
      <c r="D3043" s="1">
        <f>hyperlink("http://dspace.library.uu.nl/handle/1874/240673","De Bisschopshof K W Galis 25-30 1988")</f>
        <v>0</v>
      </c>
    </row>
    <row r="3044" spans="2:4">
      <c r="B3044">
        <v>54</v>
      </c>
      <c r="C3044" s="1">
        <f>hyperlink("https://hetutrechtsarchief.nl/collectie/9C3F283E9C5154268E003E6ADF09302D","Badhuizen in Zeist Leo Visser 35- 47 2002")</f>
        <v>0</v>
      </c>
      <c r="D3044" s="1">
        <f>hyperlink("http://dspace.library.uu.nl/handle/1874/240674","De armenzorg in Zeist L Visser 32-35 nr 3 p 60-62 nr 4 p 84-86 1988")</f>
        <v>0</v>
      </c>
    </row>
    <row r="3045" spans="2:4">
      <c r="B3045">
        <v>56</v>
      </c>
      <c r="C3045" s="1">
        <f>hyperlink("https://hetutrechtsarchief.nl/collectie/9F58DA9B41D9538882821393DB62C856","MOMO modernisering van de Monumentenzorg Arien Heering 26-27 2010")</f>
        <v>0</v>
      </c>
      <c r="D3045" s="1">
        <f>hyperlink("http://dspace.library.uu.nl/handle/1874/240675","De Rijksdienst voor de Monumentenzorg in Zeist 1971-1988 S Bottinga 41-57 1988")</f>
        <v>0</v>
      </c>
    </row>
    <row r="3046" spans="2:4">
      <c r="B3046">
        <v>52</v>
      </c>
      <c r="C3046" s="1">
        <f>hyperlink("https://hetutrechtsarchief.nl/collectie/E2DE2AD074725CCA92CA692194DECF26","De gemeenteraad van Oudewater tussen 1848 en 1870 P Minkjan 1-13 2000")</f>
        <v>0</v>
      </c>
      <c r="D3046" s="1">
        <f>hyperlink("http://dspace.library.uu.nl/handle/1874/240798","De gemeenteraad van Zeist L Visser 58-67 nr 4 p 93-98 jg 20 1990 nr 1 p 8-14 nr 3 p 51-56 1989-1990")</f>
        <v>0</v>
      </c>
    </row>
    <row r="3047" spans="2:4">
      <c r="B3047">
        <v>58</v>
      </c>
      <c r="C3047" s="1">
        <f>hyperlink("https://hetutrechtsarchief.nl/collectie/A595E05ED69250858FA1E91E037E2AD7","De wachthuisjes op den wal de Kickvorst enz 143-145 1860")</f>
        <v>0</v>
      </c>
      <c r="D3047" s="1">
        <f>hyperlink("http://dspace.library.uu.nl/handle/1874/240799","Tram-wachthuisjes en -haltes in Zeist A Steenmeijer 1-17 1989")</f>
        <v>0</v>
      </c>
    </row>
    <row r="3048" spans="2:4">
      <c r="B3048">
        <v>55</v>
      </c>
      <c r="C3048" s="1">
        <f>hyperlink("https://hetutrechtsarchief.nl/collectie/948B0640DF686E4CE0534701000AAAD8","Rust en onrust aan de Cuneralaan Toen en nu Rie Terlouw 24-25 2019")</f>
        <v>0</v>
      </c>
      <c r="D3048" s="1">
        <f>hyperlink("http://dspace.library.uu.nl/handle/1874/240800","Rust en onrust te Zeist in 1815 J Meerdink 29-42 1989")</f>
        <v>0</v>
      </c>
    </row>
    <row r="3049" spans="2:4">
      <c r="B3049">
        <v>56</v>
      </c>
      <c r="C3049" s="1">
        <f>hyperlink("https://hetutrechtsarchief.nl/collectie/39B5BC6558CA5D348B340AB5274C2C8F","De Groene Waterman - Kees 4-5 1985")</f>
        <v>0</v>
      </c>
      <c r="D3049" s="1">
        <f>hyperlink("http://dspace.library.uu.nl/handle/1874/240801","Ons Gemeentewapen K W Galis 43-49 1989")</f>
        <v>0</v>
      </c>
    </row>
    <row r="3050" spans="2:4">
      <c r="B3050">
        <v>59</v>
      </c>
      <c r="C3050" s="1">
        <f>hyperlink("https://hetutrechtsarchief.nl/collectie/BEC071B806545DB489D3651C8ED7006D","Franciscus Cohu eerste R K pastoor van Zeist sedert de Hervorming V A M van der Burg 26-27 1991")</f>
        <v>0</v>
      </c>
      <c r="D3050" s="1">
        <f>hyperlink("http://dspace.library.uu.nl/handle/1874/240802","Cornelis Anthonisz van Hoornhove Hornhovius pastoor en predikant te Zeist alsmede kartograaf V A M van der Burg 68-72 1989")</f>
        <v>0</v>
      </c>
    </row>
    <row r="3051" spans="2:4">
      <c r="B3051">
        <v>59</v>
      </c>
      <c r="C3051" s="1">
        <f>hyperlink("https://hetutrechtsarchief.nl/collectie/396C5F3E97DF536E8077E68743C41D1B","De buitenplaatsen langs de Vecht tuin- en parkgeschiedenis H M J Tromp 137-146 ill krt 1991")</f>
        <v>0</v>
      </c>
      <c r="D3051" s="1">
        <f>hyperlink("http://dspace.library.uu.nl/handle/1874/240803","De buitenplaats Blikkenburg historische infrastuctuur en parkaanleg H M J Tromp 77-92 1989")</f>
        <v>0</v>
      </c>
    </row>
    <row r="3052" spans="2:4">
      <c r="B3052">
        <v>57</v>
      </c>
      <c r="C3052" s="1">
        <f>hyperlink("https://hetutrechtsarchief.nl/collectie/9141CC53B29226B7E0534701000AF890","Iets over de geschiedenis van Huis te Veen en omgeving Louis van den Brink 6-17 2002")</f>
        <v>0</v>
      </c>
      <c r="D3052" s="1">
        <f>hyperlink("http://dspace.library.uu.nl/handle/1874/240804","Iets over de Cockardshoeve en omgeving D R Klootwijk 53-57 1989")</f>
        <v>0</v>
      </c>
    </row>
    <row r="3053" spans="2:4">
      <c r="B3053">
        <v>55</v>
      </c>
      <c r="C3053" s="1">
        <f>hyperlink("https://hetutrechtsarchief.nl/collectie/B5FFF31F060A5BAEB20C3C51945B64F7","Nieuw bureau Paardenveld 14-15 1983")</f>
        <v>0</v>
      </c>
      <c r="D3053" s="1">
        <f>hyperlink("http://dspace.library.uu.nl/handle/1874/240805","Nieuw Spathodea K Scharten 99-100 1989")</f>
        <v>0</v>
      </c>
    </row>
    <row r="3054" spans="2:4">
      <c r="B3054">
        <v>58</v>
      </c>
      <c r="C3054" s="1">
        <f>hyperlink("https://hetutrechtsarchief.nl/collectie/8AEBBC18788858CAB17CDCE34F223F3B","Jan Seversz boekprenter en ketter 1500 sqq J J Dodt van Flensburg 96-100 1846")</f>
        <v>0</v>
      </c>
      <c r="D3054" s="1">
        <f>hyperlink("http://dspace.library.uu.nl/handle/1874/241067","Testamentum Egberti Bor pastoris in Lopick et vicarii S Mariae Traject 1505 J J Dodt van Flensburg 29-31 1839")</f>
        <v>0</v>
      </c>
    </row>
    <row r="3055" spans="2:4">
      <c r="B3055">
        <v>53</v>
      </c>
      <c r="C3055" s="1">
        <f>hyperlink("https://hetutrechtsarchief.nl/collectie/9AC039F2601955BB8FC52D2EF7207B25","Copye van den brief die in Suster Barte dootkist geleyt is wel besloten in een glas t Utrecht 289 1839")</f>
        <v>0</v>
      </c>
      <c r="D3055" s="1">
        <f>hyperlink("http://dspace.library.uu.nl/handle/1874/241068","Copie vanden brieven die geligt syn byden den grave Lalaing gouverneur Oct 5 1533 61-62 1843")</f>
        <v>0</v>
      </c>
    </row>
    <row r="3056" spans="2:4">
      <c r="B3056">
        <v>66</v>
      </c>
      <c r="C3056" s="1">
        <f>hyperlink("https://hetutrechtsarchief.nl/collectie/FDC62931604A5046B5185752A61A12B4","Utrechtsche brieven Stedelijke-kopij-boeken J J Dodt van Flensburg 210-204 1844")</f>
        <v>0</v>
      </c>
      <c r="D3056" s="1">
        <f>hyperlink("http://dspace.library.uu.nl/handle/1874/241070","De Utrechtsche cloosters J J Dodt van Flensburg 273 -308 1839")</f>
        <v>0</v>
      </c>
    </row>
    <row r="3057" spans="2:4">
      <c r="B3057">
        <v>58</v>
      </c>
      <c r="C3057" s="1">
        <f>hyperlink("https://hetutrechtsarchief.nl/collectie/734A959265E151D598DFBA756F6B4DF8","In de ban van de Utrechtse kerkgeschiedenis W Smit 10 1988")</f>
        <v>0</v>
      </c>
      <c r="D3057" s="1">
        <f>hyperlink("http://dspace.library.uu.nl/handle/1874/241071","Stukken loopende over de jaren 1553-1558 der Utrechtsche geschiedenis 231 -238 1838")</f>
        <v>0</v>
      </c>
    </row>
    <row r="3058" spans="2:4">
      <c r="B3058">
        <v>55</v>
      </c>
      <c r="C3058" s="1">
        <f>hyperlink("https://hetutrechtsarchief.nl/collectie/3ABD4767897258A3A507B2C432910E20","Dit is een overdrachte om de stat te hoeden ende te bewaren om des aflaets wille dat hier wesen sel 1396 J J Dodt van Flensburg 67 -68 1842")</f>
        <v>0</v>
      </c>
      <c r="D3058" s="1">
        <f>hyperlink("http://dspace.library.uu.nl/handle/1874/241072","Depenses faites par Tilman l occasion de la mort de son fr re Sasboldus et presens de ses ornemens 1614-1632 J J Dodt van Flensburg 327-328 1843")</f>
        <v>0</v>
      </c>
    </row>
    <row r="3059" spans="2:4">
      <c r="B3059">
        <v>62</v>
      </c>
      <c r="C3059" s="1">
        <f>hyperlink("https://hetutrechtsarchief.nl/collectie/F3DF4D18155F544DB5AD8A8710362FF3","Crimineele vonnissen medeged door J J Dodt van Flensburg 267 -268 1838")</f>
        <v>0</v>
      </c>
      <c r="D3059" s="1">
        <f>hyperlink("http://dspace.library.uu.nl/handle/1874/241073","Betreffende de verdieping der Eem 1554 Meert 24 J J Dodt van Flensburg 66-68 1843")</f>
        <v>0</v>
      </c>
    </row>
    <row r="3060" spans="2:4">
      <c r="B3060">
        <v>54</v>
      </c>
      <c r="C3060" s="1">
        <f>hyperlink("https://hetutrechtsarchief.nl/collectie/82C32C6F8F92533D821574306C4698F8","Bepalingen omtrent de exequien van eenen prelaat of kanonik der vijf godshuizen te Utrecht de anno 1414 J J Dodt van Flensburg 66 -68 1840")</f>
        <v>0</v>
      </c>
      <c r="D3060" s="1">
        <f>hyperlink("http://dspace.library.uu.nl/handle/1874/241074","Doleancien byden Domdeken ende andere der Keys Majt overgegevenen van wegen die Goedtshuysen tot Utrecht metten appoinctementen doer beveel van Syne Majt daer op gegeven 1531 J J Dodt van Flensburg 47-48 1843")</f>
        <v>0</v>
      </c>
    </row>
    <row r="3061" spans="2:4">
      <c r="B3061">
        <v>60</v>
      </c>
      <c r="C3061" s="1">
        <f>hyperlink("https://hetutrechtsarchief.nl/collectie/2E5D621EAFC65CA2A0B5BE592C769C8D","De vrouw en kinderen van Prof Karel de Maets J J Dodt van Flensburg 238-239 1844")</f>
        <v>0</v>
      </c>
      <c r="D3061" s="1">
        <f>hyperlink("http://dspace.library.uu.nl/handle/1874/241075","Anto van Kuyk aen Flor Heermale 19 may 1596 J J Dodt van Flensburg 391-392 1839")</f>
        <v>0</v>
      </c>
    </row>
    <row r="3062" spans="2:4">
      <c r="B3062">
        <v>57</v>
      </c>
      <c r="C3062" s="1">
        <f>hyperlink("https://hetutrechtsarchief.nl/collectie/1E5C5079E2545A3D9A54173F66D289AE","Brieven gewisseld tusschen Hertog Johan van Beyeren en de stad Utrecht in 1419 J J Dodt van Flensburg 24 -32 55 -66 1838")</f>
        <v>0</v>
      </c>
      <c r="D3062" s="1">
        <f>hyperlink("http://dspace.library.uu.nl/handle/1874/241076","Stukken betreffende de overgave van Amersfoort aen den keyserl generael Montecuculi in 1629 J J Dodt van Flensburg 93 -100 1839")</f>
        <v>0</v>
      </c>
    </row>
    <row r="3063" spans="2:4">
      <c r="B3063">
        <v>56</v>
      </c>
      <c r="C3063" s="1">
        <f>hyperlink("https://hetutrechtsarchief.nl/collectie/EE7133718EA250F49BF9F47278FA38A1","Iets over het geschiedkundig werk van Emanuel van Meteren ook met betrekking tot de Utrechtsche zaken J J Dodt van Flensburg 417 -424 1841")</f>
        <v>0</v>
      </c>
      <c r="D3063" s="1">
        <f>hyperlink("http://dspace.library.uu.nl/handle/1874/241077","De Stads-Kameraars-rekeningen dienstbaar gemaakt aan de geschiedenis voornamelijk die der beschaving in hare ruimste beteekenis J J Dodt van Flensburg 203 -327 1843")</f>
        <v>0</v>
      </c>
    </row>
    <row r="3064" spans="2:4">
      <c r="B3064">
        <v>54</v>
      </c>
      <c r="C3064" s="1">
        <f>hyperlink("https://hetutrechtsarchief.nl/collectie/26AA85F15F3E5C6096CDF9CF7FD89BBF","Over den Utrechtschen arts Petrus Memmius den Delftschen drukker Herman Schinckel en den aartsbisschop Frederik Schenck van Tautenburch een paar aantekeningen J J Dodt van Flensburg 75-80 1845")</f>
        <v>0</v>
      </c>
      <c r="D3064" s="1">
        <f>hyperlink("http://dspace.library.uu.nl/handle/1874/241078","De Utrechtsche capittels Sint Jan bewys van alle gerechticheden prae minentien jurisdictien etc inde Prosdye S Jans met de bewijsstukken J J Dodt van Flensburg 91 -202 1843")</f>
        <v>0</v>
      </c>
    </row>
    <row r="3065" spans="2:4">
      <c r="B3065">
        <v>58</v>
      </c>
      <c r="C3065" s="1">
        <f>hyperlink("https://hetutrechtsarchief.nl/collectie/5F30486147105299AC0A6D8D0EEDE22E","Blijken van mildheid der Utrechtsche regering ter aanmoediging van kunsten en wetenschappen enz J J Dodt van Flensburg 208-211 1841")</f>
        <v>0</v>
      </c>
      <c r="D3065" s="1">
        <f>hyperlink("http://dspace.library.uu.nl/handle/1874/241079","Brieven en andere documenten dienende ter opheldering van s lands geschiedenis lopende over 1570 en volg jaren J J Dodt van Flensburg 101 -146 1839")</f>
        <v>0</v>
      </c>
    </row>
    <row r="3066" spans="2:4">
      <c r="B3066">
        <v>61</v>
      </c>
      <c r="C3066" s="1">
        <f>hyperlink("https://hetutrechtsarchief.nl/collectie/EF01E1DB0C2F53298C8081D73E8C2CC3","Doctor Putius pestmeester te Utrecht J J Dodt van Flensburg 206 -208 1841")</f>
        <v>0</v>
      </c>
      <c r="D3066" s="1">
        <f>hyperlink("http://dspace.library.uu.nl/handle/1874/241080","Testamenta pia saeculi XV et XVI J J Dodt van Flensburg 25 -92 1839")</f>
        <v>0</v>
      </c>
    </row>
    <row r="3067" spans="2:4">
      <c r="B3067">
        <v>68</v>
      </c>
      <c r="C3067" s="1">
        <f>hyperlink("https://hetutrechtsarchief.nl/collectie/EF01E1DB0C2F53298C8081D73E8C2CC3","Doctor Putius pestmeester te Utrecht J J Dodt van Flensburg 206 -208 1841")</f>
        <v>0</v>
      </c>
      <c r="D3067" s="1">
        <f>hyperlink("http://dspace.library.uu.nl/handle/1874/241081","Computus ecclesiastici J J Dodt van Flensburg 50 -73 1844")</f>
        <v>0</v>
      </c>
    </row>
    <row r="3068" spans="2:4">
      <c r="B3068">
        <v>59</v>
      </c>
      <c r="C3068" s="1">
        <f>hyperlink("https://hetutrechtsarchief.nl/collectie/6DFDCE55D4585864B6675142F85D48E0","Over de vergaderplaats der Staten van Utrecht na de overdragt van het wereldlijk gebied aan Keizer Karel V 1528 G W Beger 65-83 1853")</f>
        <v>0</v>
      </c>
      <c r="D3068" s="1">
        <f>hyperlink("http://dspace.library.uu.nl/handle/1874/241082","Staat der gasthuizen binnen Utrecht ten tijde van de overdragt der temporaliteit aan keizer Karel den Vijfden 169 -182 1839")</f>
        <v>0</v>
      </c>
    </row>
    <row r="3069" spans="2:4">
      <c r="B3069">
        <v>54</v>
      </c>
      <c r="C3069" s="1">
        <f>hyperlink("https://hetutrechtsarchief.nl/collectie/29E46A9387005F9EA0FA9CE91CF69FBB","Twisten tusschen den bisschop van Utrecht en den heer van Wisch in 1490 medeged door B J L de Geer 22-31 35-43 1857")</f>
        <v>0</v>
      </c>
      <c r="D3069" s="1">
        <f>hyperlink("http://dspace.library.uu.nl/handle/1874/241083","Het sterfhuis en de nalatenschap van den aartsbisschop van Utrecht Fre Schenck van Tautenburch in 1580 249 -264 dl 4 1844 p 42-49 1839-1844")</f>
        <v>0</v>
      </c>
    </row>
    <row r="3070" spans="2:4">
      <c r="B3070">
        <v>58</v>
      </c>
      <c r="C3070" s="1">
        <f>hyperlink("https://hetutrechtsarchief.nl/collectie/734A959265E151D598DFBA756F6B4DF8","In de ban van de Utrechtse kerkgeschiedenis W Smit 10 1988")</f>
        <v>0</v>
      </c>
      <c r="D3070" s="1">
        <f>hyperlink("http://dspace.library.uu.nl/handle/1874/241084","Stukken loopende over de jaren 1577 en 1578 der Utrechtsche geschiedenis J Hooijer 191 -230 1838")</f>
        <v>0</v>
      </c>
    </row>
    <row r="3071" spans="2:4">
      <c r="B3071">
        <v>59</v>
      </c>
      <c r="C3071" s="1">
        <f>hyperlink("https://hetutrechtsarchief.nl/collectie/1A767002BB9D5E1F9A6D540EC62148DC","Limietscheydinge tusschen den Lande van Utrecht en Goyland R van der Schaaf 176-178 2002")</f>
        <v>0</v>
      </c>
      <c r="D3071" s="1">
        <f>hyperlink("http://dspace.library.uu.nl/handle/1874/241085","Landtscheydinge tusschen die Geldersche ende die van Utrecht 1552 32 -48 1844")</f>
        <v>0</v>
      </c>
    </row>
    <row r="3072" spans="2:4">
      <c r="B3072">
        <v>55</v>
      </c>
      <c r="C3072" s="1">
        <f>hyperlink("https://hetutrechtsarchief.nl/collectie/B3153D76D03D5DB7BF1D904914F2D4EB","Politietoezicht te platten lande van Utrecht in het jaar 1814 W F J den Uyl 165-167 1943")</f>
        <v>0</v>
      </c>
      <c r="D3072" s="1">
        <f>hyperlink("http://dspace.library.uu.nl/handle/1874/241086","Resolutien der Staten s Lants van Utrecht van September 1574 tot October 1575 147 -168 1839")</f>
        <v>0</v>
      </c>
    </row>
    <row r="3073" spans="2:4">
      <c r="B3073">
        <v>60</v>
      </c>
      <c r="C3073" s="1">
        <f>hyperlink("https://hetutrechtsarchief.nl/collectie/FDC62931604A5046B5185752A61A12B4","Utrechtsche brieven Stedelijke-kopij-boeken J J Dodt van Flensburg 210-204 1844")</f>
        <v>0</v>
      </c>
      <c r="D3073" s="1">
        <f>hyperlink("http://dspace.library.uu.nl/handle/1874/241087","Utrechtsche brieven uit een stadskopijboek lopende over de jaren 1417-1436 195 -248 1839")</f>
        <v>0</v>
      </c>
    </row>
    <row r="3074" spans="2:4">
      <c r="B3074">
        <v>62</v>
      </c>
      <c r="C3074" s="1">
        <f>hyperlink("https://hetutrechtsarchief.nl/collectie/66C9B1221B7C5EAA9E8487C8B7DCDA32","Pelmolen te Utrecht in 1643 J J Dodt van Flensburg 139 -141 1841")</f>
        <v>0</v>
      </c>
      <c r="D3074" s="1">
        <f>hyperlink("http://dspace.library.uu.nl/handle/1874/241676","Epistolae Phil Rovenii ad Sasboldum 1608 sqq J J Dodt van Flensburg 239 -254 1846")</f>
        <v>0</v>
      </c>
    </row>
    <row r="3075" spans="2:4">
      <c r="B3075">
        <v>73</v>
      </c>
      <c r="C3075" s="1">
        <f>hyperlink("https://hetutrechtsarchief.nl/collectie/FDC62931604A5046B5185752A61A12B4","Utrechtsche brieven Stedelijke-kopij-boeken J J Dodt van Flensburg 210-204 1844")</f>
        <v>0</v>
      </c>
      <c r="D3075" s="1">
        <f>hyperlink("http://dspace.library.uu.nl/handle/1874/241677","Utrechtsch kronijkjen J J Dodt van Flensburg 9 -222 1846")</f>
        <v>0</v>
      </c>
    </row>
    <row r="3076" spans="2:4">
      <c r="B3076">
        <v>71</v>
      </c>
      <c r="C3076" s="1">
        <f>hyperlink("https://hetutrechtsarchief.nl/collectie/375759A4C0755DB9910C4E771C06335A","Oud bestaan der windmolens te Utrecht J J Dodt van Flensburg 32-33 1841")</f>
        <v>0</v>
      </c>
      <c r="D3076" s="1">
        <f>hyperlink("http://dspace.library.uu.nl/handle/1874/241678","Aflaten der Domkerk J J Dodt van Flensburg 232 -233 1848")</f>
        <v>0</v>
      </c>
    </row>
    <row r="3077" spans="2:4">
      <c r="B3077">
        <v>55</v>
      </c>
      <c r="C3077" s="1">
        <f>hyperlink("https://hetutrechtsarchief.nl/collectie/C3494789B0C75DEDB6364FB4220C6338","Informatie voor die genen die van mijns genadigen heeren wegen van Utrecht ende den drien Staten van den lande gedeputeert zullen worden in den Hage by den Hoechgeboren Kaerle van Bourgoingien etc ruerende van de Veenen medeged door J J Dodt van Flensburg 272 -278 1840")</f>
        <v>0</v>
      </c>
      <c r="D3077" s="1">
        <f>hyperlink("http://dspace.library.uu.nl/handle/1874/241679","Resolutien genomen by haer Ho Mog de Heeren Staten Generael ende die vanden Raet van State aengaende de Alteratie te Utrecht in 1610 met noch andere stucken hiertoe betrekkelijck J J Dodt van Flensburg 129 -277 1844")</f>
        <v>0</v>
      </c>
    </row>
    <row r="3078" spans="2:4">
      <c r="B3078">
        <v>66</v>
      </c>
      <c r="C3078" s="1">
        <f>hyperlink("https://hetutrechtsarchief.nl/collectie/66C9B1221B7C5EAA9E8487C8B7DCDA32","Pelmolen te Utrecht in 1643 J J Dodt van Flensburg 139 -141 1841")</f>
        <v>0</v>
      </c>
      <c r="D3078" s="1">
        <f>hyperlink("http://dspace.library.uu.nl/handle/1874/241680","Hieronymus School 1630-1648 J J Dodt van Flensburg 366 -392 1848")</f>
        <v>0</v>
      </c>
    </row>
    <row r="3079" spans="2:4">
      <c r="B3079">
        <v>62</v>
      </c>
      <c r="C3079" s="1">
        <f>hyperlink("https://hetutrechtsarchief.nl/collectie/EE7133718EA250F49BF9F47278FA38A1","Iets over het geschiedkundig werk van Emanuel van Meteren ook met betrekking tot de Utrechtsche zaken J J Dodt van Flensburg 417 -424 1841")</f>
        <v>0</v>
      </c>
      <c r="D3079" s="1">
        <f>hyperlink("http://dspace.library.uu.nl/handle/1874/241681","Gedenkstukken uit de XVI eeuw voornamelijk betreffende Utrechtsche zaken J J Dodt van Flensburg 293 -370 1846")</f>
        <v>0</v>
      </c>
    </row>
    <row r="3080" spans="2:4">
      <c r="B3080">
        <v>53</v>
      </c>
      <c r="C3080" s="1">
        <f>hyperlink("https://hetutrechtsarchief.nl/collectie/A2AAE87D997550E2B38DE13FAD8891FD","Iets over Cornelius Valerius van Audewater van Utrecht Hoogleeraar te Leuven van 1557-1578 J J Dodt van Flensburg 61-70 1846")</f>
        <v>0</v>
      </c>
      <c r="D3080" s="1">
        <f>hyperlink("http://dspace.library.uu.nl/handle/1874/241682","De rekeningen van den eersten Kameraar dienstbaar gemaakt aan de kennis van Utrecht s kerk- en schoolstaat met den aankleven van dien van den jare 1580 af aan J J Dodt van Flensburg 74 -102 dl 5 1846 p 371 -380 1844-1846")</f>
        <v>0</v>
      </c>
    </row>
    <row r="3081" spans="2:4">
      <c r="B3081">
        <v>60</v>
      </c>
      <c r="C3081" s="1">
        <f>hyperlink("https://hetutrechtsarchief.nl/collectie/90C847415446504184A860F955308D84","Johan Snevins bekwaam instrumentmaker te Utrecht omstreeks het midden der XVII eeuw J J Dodt van Flensburg 161 -163 1842")</f>
        <v>0</v>
      </c>
      <c r="D3081" s="1">
        <f>hyperlink("http://dspace.library.uu.nl/handle/1874/241683","Aanteekeningen uit de besluiten des raads genomen gedurende de eerste helft der XV eeuw J J Dodt van Flensburg 177 -218 1846")</f>
        <v>0</v>
      </c>
    </row>
    <row r="3082" spans="2:4">
      <c r="B3082">
        <v>56</v>
      </c>
      <c r="C3082" s="1">
        <f>hyperlink("https://hetutrechtsarchief.nl/collectie/90C847415446504184A860F955308D84","Johan Snevins bekwaam instrumentmaker te Utrecht omstreeks het midden der XVII eeuw J J Dodt van Flensburg 161 -163 1842")</f>
        <v>0</v>
      </c>
      <c r="D3082" s="1">
        <f>hyperlink("http://dspace.library.uu.nl/handle/1874/241684","Het Utrechtsche Buurspraeck-boeck dienstbaar gemaakt aan de ges c hiedenis der beschaving 1385- J J Dodt van Flensburg 55 -119 1846")</f>
        <v>0</v>
      </c>
    </row>
    <row r="3083" spans="2:4">
      <c r="B3083">
        <v>51</v>
      </c>
      <c r="C3083" s="1">
        <f>hyperlink("https://hetutrechtsarchief.nl/collectie/7A332788DE7959878208687F3BE20EC7","Memorie ende instructie voor myn heere den deeken van St Peters Willem Vuesel commissaris vande vyff ecclesien ende die regeerders etc van Utrecht medegedeeld door N van der Monde 101-111 210-220 1846")</f>
        <v>0</v>
      </c>
      <c r="D3083" s="1">
        <f>hyperlink("http://dspace.library.uu.nl/handle/1874/241685","Missive vande hartoghinne van Parma nopende die swaricheden by de vyff ecclesien bevonden in eenighe poincten des concilii generaels van Trente 1565 332-333 1846")</f>
        <v>0</v>
      </c>
    </row>
    <row r="3084" spans="2:4">
      <c r="B3084">
        <v>62</v>
      </c>
      <c r="C3084" s="1">
        <f>hyperlink("https://hetutrechtsarchief.nl/collectie/3D61BF208EA552809309AC6963492CB4","s Raets munt-verordeningen uit 1481 en volgende jaren J J Dodt van Flensburg 86-95 112-119 1846")</f>
        <v>0</v>
      </c>
      <c r="D3084" s="1">
        <f>hyperlink("http://dspace.library.uu.nl/handle/1874/241686","Aanteekeningen uit de besluiten des Raads genomen gedurende de jaren 1519-1542 J J Dodt van Flensburg 99 -194 1848")</f>
        <v>0</v>
      </c>
    </row>
    <row r="3085" spans="2:4">
      <c r="B3085">
        <v>61</v>
      </c>
      <c r="C3085" s="1">
        <f>hyperlink("https://hetutrechtsarchief.nl/collectie/9B424663A52E5F7885F2B2C5F689EF8A","Rekeningen van kerkelijke en wereldlijke besturen J J Dodt van Flensburg 312-317 1841")</f>
        <v>0</v>
      </c>
      <c r="D3085" s="1">
        <f>hyperlink("http://dspace.library.uu.nl/handle/1874/241687","De rekeningen der parochie-kerken te Utrecht dienstbaar gemaakt aan de geschiedenis J J Dodt van Flensburg 307 -348 1846")</f>
        <v>0</v>
      </c>
    </row>
    <row r="3086" spans="2:4">
      <c r="B3086">
        <v>65</v>
      </c>
      <c r="C3086" s="1">
        <f>hyperlink("https://hetutrechtsarchief.nl/collectie/375759A4C0755DB9910C4E771C06335A","Oud bestaan der windmolens te Utrecht J J Dodt van Flensburg 32-33 1841")</f>
        <v>0</v>
      </c>
      <c r="D3086" s="1">
        <f>hyperlink("http://dspace.library.uu.nl/handle/1874/241688","Verbaal van den aanslag op de stad Utrecht 25 April 1577 J J Dodt van Flensburg 327 -365 1848")</f>
        <v>0</v>
      </c>
    </row>
    <row r="3087" spans="2:4">
      <c r="B3087">
        <v>58</v>
      </c>
      <c r="C3087" s="1">
        <f>hyperlink("https://hetutrechtsarchief.nl/collectie/39B5BC6558CA5D348B340AB5274C2C8F","De Groene Waterman - Kees 4-5 1985")</f>
        <v>0</v>
      </c>
      <c r="D3087" s="1">
        <f>hyperlink("http://dspace.library.uu.nl/handle/1874/241791","De Boom H B Arkes 45-50 1990")</f>
        <v>0</v>
      </c>
    </row>
    <row r="3088" spans="2:4">
      <c r="B3088">
        <v>56</v>
      </c>
      <c r="C3088" s="1">
        <f>hyperlink("https://hetutrechtsarchief.nl/collectie/0CCFEF12A8665428A04FA9640CA337B4","Stichtse adel D Th Enklaar 53-59 1949")</f>
        <v>0</v>
      </c>
      <c r="D3088" s="1">
        <f>hyperlink("http://dspace.library.uu.nl/handle/1874/241792","Austerlitz hoe oud R Loenen 57-59 1990")</f>
        <v>0</v>
      </c>
    </row>
    <row r="3089" spans="2:4">
      <c r="B3089">
        <v>96</v>
      </c>
      <c r="C3089" s="1">
        <f>hyperlink("https://hetutrechtsarchief.nl/collectie/927B229C683151AA82B7214795A532D7","Wachters aan het water de Nieuwe Hollandse Waterlinie Paul de Prouw 65-90 ill 1990")</f>
        <v>0</v>
      </c>
      <c r="D3089" s="1">
        <f>hyperlink("http://dspace.library.uu.nl/handle/1874/241793","Wachters aan het Water de Nieuwe Hollandse Waterlinie Paul de Prouw 65-69 1990")</f>
        <v>0</v>
      </c>
    </row>
    <row r="3090" spans="2:4">
      <c r="B3090">
        <v>55</v>
      </c>
      <c r="C3090" s="1">
        <f>hyperlink("https://hetutrechtsarchief.nl/collectie/00CD8BF36B10566BACB7B81E2C704C67","De Zeister jaren van de Deens-Nederlandse schilder Niels Rode Paul Peucker 37-45 2004")</f>
        <v>0</v>
      </c>
      <c r="D3090" s="1">
        <f>hyperlink("http://dspace.library.uu.nl/handle/1874/241794","Een Zeister vriend van Vincent van Gogh de schilder Anthon van Rappard J Meerdink 21-44 1990")</f>
        <v>0</v>
      </c>
    </row>
    <row r="3091" spans="2:4">
      <c r="B3091">
        <v>55</v>
      </c>
      <c r="C3091" s="1">
        <f>hyperlink("https://hetutrechtsarchief.nl/collectie/8DF25A9E4BFE1D70E0534701000AF5F3","Een bijzondere Romeinse cicade-fibula uit Utrecht Alexander van de Bunt 54-57 2019")</f>
        <v>0</v>
      </c>
      <c r="D3091" s="1">
        <f>hyperlink("http://dspace.library.uu.nl/handle/1874/241795","Een bijzondere vrouw is Austerlitz ontvallen S H Loenen R Vissers-van Barneveld 2-6 1990")</f>
        <v>0</v>
      </c>
    </row>
    <row r="3092" spans="2:4">
      <c r="B3092">
        <v>98</v>
      </c>
      <c r="C3092" s="1">
        <f>hyperlink("https://hetutrechtsarchief.nl/collectie/02E74832B1B451B0922E03CF948FB576","Genealogisch onderzoek in Zeist een korte inleiding in de bronnen V A M van der Burg 72-80 ill 1990")</f>
        <v>0</v>
      </c>
      <c r="D3092" s="1">
        <f>hyperlink("http://dspace.library.uu.nl/handle/1874/241796","Genealogisch onderzoek in Zeist een korte inleiding in de bronnen V A M van der Burg 72-80 1990")</f>
        <v>0</v>
      </c>
    </row>
    <row r="3093" spans="2:4">
      <c r="B3093">
        <v>55</v>
      </c>
      <c r="C3093" s="1">
        <f>hyperlink("https://hetutrechtsarchief.nl/collectie/7DA182F90B2B5D2D83434813E0A850D6","Bouw van de gaskraakfabriek van het GCN J van Dam van Isselt 14-17 ill 1958")</f>
        <v>0</v>
      </c>
      <c r="D3093" s="1">
        <f>hyperlink("http://dspace.library.uu.nl/handle/1874/241989","Generaal-majoor J T T C van Dam van Isselt 1842-1916 W Cool 556 -572 1916")</f>
        <v>0</v>
      </c>
    </row>
    <row r="3094" spans="2:4">
      <c r="B3094">
        <v>57</v>
      </c>
      <c r="C3094" s="1">
        <f>hyperlink("https://hetutrechtsarchief.nl/collectie/26030E33F9785CDFBD7CCCD46CC9C3AE","De oudste generaties van Dam Van Isselt Amersfoort J P de Man 154-159 1940")</f>
        <v>0</v>
      </c>
      <c r="D3094" s="1">
        <f>hyperlink("http://dspace.library.uu.nl/handle/1874/241990","De majoor Van Dam van Isselt en onze cavalerie Gelderman 647 -661 1919")</f>
        <v>0</v>
      </c>
    </row>
    <row r="3095" spans="2:4">
      <c r="B3095">
        <v>56</v>
      </c>
      <c r="C3095" s="1">
        <f>hyperlink("https://hetutrechtsarchief.nl/collectie/8DAAEB35B1855F31A5E30069212A817F","Het ontstaan van de Vesting Holland de landsverdediging Piet van Buul 136-138 2011")</f>
        <v>0</v>
      </c>
      <c r="D3095" s="1">
        <f>hyperlink("http://dspace.library.uu.nl/handle/1874/241993","Het belang van de scheepvaartweg van Amsterdam naar de Rijn voor de landsverdediging L C Preij 624 -643 1919")</f>
        <v>0</v>
      </c>
    </row>
    <row r="3096" spans="2:4">
      <c r="B3096">
        <v>51</v>
      </c>
      <c r="C3096" s="1">
        <f>hyperlink("https://hetutrechtsarchief.nl/collectie/173A0E8D07685F3998B0F201A9285B2D","De bibliotheek van het Kapittel van Oudmunster in de 16de eeuw W J A Visser 177-182 1934")</f>
        <v>0</v>
      </c>
      <c r="D3096" s="1">
        <f>hyperlink("http://dspace.library.uu.nl/handle/1874/241994","De economische en militaire beteekenis van het kanaalplan van de Kanaalvereniging de Geldersche Vallei P W Scharroo 1-7 67 -92 1919")</f>
        <v>0</v>
      </c>
    </row>
    <row r="3097" spans="2:4">
      <c r="B3097">
        <v>54</v>
      </c>
      <c r="C3097" s="1">
        <f>hyperlink("https://hetutrechtsarchief.nl/collectie/EEE652A9526153F4A1FFF16797998A8A","De schuilkerk der Remonstrantsche gemeente in de Rietsteeg en hare bezitting op t Heilig-Leven G A Evers 118-119 1940")</f>
        <v>0</v>
      </c>
      <c r="D3097" s="1">
        <f>hyperlink("http://dspace.library.uu.nl/handle/1874/241995","Het 16de regiment infanterie in de Grebbestelling en in de vesting Holland J Visser 406-414 1940")</f>
        <v>0</v>
      </c>
    </row>
    <row r="3098" spans="2:4">
      <c r="B3098">
        <v>53</v>
      </c>
      <c r="C3098" s="1">
        <f>hyperlink("https://hetutrechtsarchief.nl/collectie/064626D8F75A50868FB2C0C39DE395A8","De nieuwe haven bij Kersbergen R P M Rhoen 77-98 ill 1992")</f>
        <v>0</v>
      </c>
      <c r="D3098" s="1">
        <f>hyperlink("http://dspace.library.uu.nl/handle/1874/241996","De Witte Hull aan de Krakelingweg R P M Poutr M J M la Rhoen 45-55 1991")</f>
        <v>0</v>
      </c>
    </row>
    <row r="3099" spans="2:4">
      <c r="B3099">
        <v>97</v>
      </c>
      <c r="C3099" s="1">
        <f>hyperlink("https://hetutrechtsarchief.nl/collectie/76691C95AF40511FBE507DFA048F848B","Was de Zeister Dorpsstraat wellicht van oorsprong een Romeinse los- en laadplaats D Klootwijk 56-64 ill 1991")</f>
        <v>0</v>
      </c>
      <c r="D3099" s="1">
        <f>hyperlink("http://dspace.library.uu.nl/handle/1874/241997","Was de Zeister Dorpsstraat wellicht van oorsprong een Romeinse los- en laadplaats D R Klootwijk 56-64 1991")</f>
        <v>0</v>
      </c>
    </row>
    <row r="3100" spans="2:4">
      <c r="B3100">
        <v>63</v>
      </c>
      <c r="C3100" s="1">
        <f>hyperlink("https://hetutrechtsarchief.nl/collectie/02E74832B1B451B0922E03CF948FB576","Genealogisch onderzoek in Zeist een korte inleiding in de bronnen V A M van der Burg 72-80 ill 1990")</f>
        <v>0</v>
      </c>
      <c r="D3100" s="1">
        <f>hyperlink("http://dspace.library.uu.nl/handle/1874/241998","Oranjerien in Zeist enige aanvullende gegevens V A M van der Burg 72-79 1991")</f>
        <v>0</v>
      </c>
    </row>
    <row r="3101" spans="2:4">
      <c r="B3101">
        <v>57</v>
      </c>
      <c r="C3101" s="1">
        <f>hyperlink("https://hetutrechtsarchief.nl/collectie/ACC413622FD655158DFC3DF8FBD8E431","Een autominnend dorp auto s en hun eigenaren in Zeist tussen 1899 en 1919 R P M Rhoen 123-128 2001")</f>
        <v>0</v>
      </c>
      <c r="D3101" s="1">
        <f>hyperlink("http://dspace.library.uu.nl/handle/1874/241999","Zeister nieuws- en weekbladen van algemene inhoud verschenen tussen 1869 en 1940 R P M Rhoen 87-91 1991")</f>
        <v>0</v>
      </c>
    </row>
    <row r="3102" spans="2:4">
      <c r="B3102">
        <v>50</v>
      </c>
      <c r="C3102" s="1">
        <f>hyperlink("https://hetutrechtsarchief.nl/collectie/9315FCA759F8555886F631343AEBD3AE","De Udo s aan het veer te Rhenen 1862-1925 A A Udo 5-17 ill portr 1999")</f>
        <v>0</v>
      </c>
      <c r="D3102" s="1">
        <f>hyperlink("http://dspace.library.uu.nl/handle/1874/242000","De Ouwe Kamp maar waar R Loenen 6-11 jg 22 1992 nr 2 p 25-31 1991-1992")</f>
        <v>0</v>
      </c>
    </row>
    <row r="3103" spans="2:4">
      <c r="B3103">
        <v>96</v>
      </c>
      <c r="C3103" s="1">
        <f>hyperlink("https://hetutrechtsarchief.nl/collectie/81E75E77B5365CE19BC31EE329700E04","De zeventuigsprocedure in het middeleeuwse Zeist D Klootwijk 12-14 ill 1991")</f>
        <v>0</v>
      </c>
      <c r="D3103" s="1">
        <f>hyperlink("http://dspace.library.uu.nl/handle/1874/242001","De Zeventuigsprocedure in het middeleeuwse Zeist D R Klootwijk 12-14 1991")</f>
        <v>0</v>
      </c>
    </row>
    <row r="3104" spans="2:4">
      <c r="B3104">
        <v>64</v>
      </c>
      <c r="C3104" s="1">
        <f>hyperlink("https://hetutrechtsarchief.nl/collectie/BAAF681A3BDE52FEA115CA8D34A27816","De tuinmanswoningen van Slot Zeist R P M Rhoen 12-18 2011")</f>
        <v>0</v>
      </c>
      <c r="D3104" s="1">
        <f>hyperlink("http://dspace.library.uu.nl/handle/1874/242002","De drinkwatervoorziening in Austerlitz R P M Rhoen 21-30 1991")</f>
        <v>0</v>
      </c>
    </row>
    <row r="3105" spans="2:4">
      <c r="B3105">
        <v>65</v>
      </c>
      <c r="C3105" s="1">
        <f>hyperlink("https://hetutrechtsarchief.nl/collectie/B0B2427B1FE95BC78E07F9F7B055A44E","Een luiklok van Odijk naar Zeist V A M van der Burg 29-30 ill 1990")</f>
        <v>0</v>
      </c>
      <c r="D3105" s="1">
        <f>hyperlink("http://dspace.library.uu.nl/handle/1874/242003","Het huis Hoog Beek en Royen te Zeist V A M van der Burg 31-39 1991")</f>
        <v>0</v>
      </c>
    </row>
    <row r="3106" spans="2:4">
      <c r="B3106">
        <v>59</v>
      </c>
      <c r="C3106" s="1">
        <f>hyperlink("https://hetutrechtsarchief.nl/collectie/C061900CDDB853FB9405333F6AE7D60B","Het Utrechts Buitencentrum J C Janssen 4-5 ill 1965")</f>
        <v>0</v>
      </c>
      <c r="D3106" s="1">
        <f>hyperlink("http://dspace.library.uu.nl/handle/1874/242004","Utrecht als verkeerscentrum J C C Tonnet 810 -821 1906")</f>
        <v>0</v>
      </c>
    </row>
    <row r="3107" spans="2:4">
      <c r="B3107">
        <v>57</v>
      </c>
      <c r="C3107" s="1">
        <f>hyperlink("https://hetutrechtsarchief.nl/collectie/7DC22CCEC16B59A082F4865EA6B3A8A4","Verenigingen te Austerlitz in de periode 1905-1942 R P M Rhoen 103-108 2007")</f>
        <v>0</v>
      </c>
      <c r="D3107" s="1">
        <f>hyperlink("http://dspace.library.uu.nl/handle/1874/242005","Hulp aan hongerend Rusland in de winter 1921-1922 R P M Rhoen 1-4 1991")</f>
        <v>0</v>
      </c>
    </row>
    <row r="3108" spans="2:4">
      <c r="B3108">
        <v>58</v>
      </c>
      <c r="C3108" s="1">
        <f>hyperlink("https://hetutrechtsarchief.nl/collectie/373DF6A6C4A25AC9B62CDC9547C65965","Uit de rechterlijke archieven ruzie met de dokter R Loenen 126-127 1999")</f>
        <v>0</v>
      </c>
      <c r="D3108" s="1">
        <f>hyperlink("http://dspace.library.uu.nl/handle/1874/242006","Uit de tijd dat televisie nog verbluffend gevonden werd R Loenen 80-86 1991")</f>
        <v>0</v>
      </c>
    </row>
    <row r="3109" spans="2:4">
      <c r="B3109">
        <v>51</v>
      </c>
      <c r="C3109" s="1">
        <f>hyperlink("https://hetutrechtsarchief.nl/collectie/55146CDE3C2757B8A46584A22EF53104","Johan Both de jonge eene bijdrage tot het medegedeelde over de familie Both in en Utrechtschen Volks-Almanak voor 1845 en 1850 - V 61-64 1855")</f>
        <v>0</v>
      </c>
      <c r="D3109" s="1">
        <f>hyperlink("http://dspace.library.uu.nl/handle/1874/242007","Aanslag op Woerden eene bijdrage tot het werk De verdediging van Nederland in 1672 en 1673 J P de Sypesteijn J W van Bordes 465-468 1851")</f>
        <v>0</v>
      </c>
    </row>
    <row r="3110" spans="2:4">
      <c r="B3110">
        <v>53</v>
      </c>
      <c r="C3110" s="1">
        <f>hyperlink("https://hetutrechtsarchief.nl/collectie/3C31169E722458FDBF905FA710ECFF36","Het gevecht bij Vreeswijk 9 mei 1787 W J Angenent 156-188 ill 1987")</f>
        <v>0</v>
      </c>
      <c r="D3110" s="1">
        <f>hyperlink("http://dspace.library.uu.nl/handle/1874/242008","Het gevecht bij Woerden op den 12den October 1672 W J Knoop 113-121 222-227 1853")</f>
        <v>0</v>
      </c>
    </row>
    <row r="3111" spans="2:4">
      <c r="B3111">
        <v>52</v>
      </c>
      <c r="C3111" s="1">
        <f>hyperlink("https://hetutrechtsarchief.nl/collectie/7F3390B5057B5A60A6D6A41749A65FB9","De Geertegracht en de steenovens ten westen van Utrecht M N Acket 49-53 1950")</f>
        <v>0</v>
      </c>
      <c r="D3111" s="1">
        <f>hyperlink("http://dspace.library.uu.nl/handle/1874/242009","Het Herstellings- en oefencentrum te Zeist P J M Kneepkens A P Th M Boekwijt 354-356 1960")</f>
        <v>0</v>
      </c>
    </row>
    <row r="3112" spans="2:4">
      <c r="B3112">
        <v>52</v>
      </c>
      <c r="C3112" s="1">
        <f>hyperlink("https://hetutrechtsarchief.nl/collectie/1F04C3BF6366564EA65683F64F7BADE5","Brieven schrijven tijdens mobilisatie-periode 1914-1918 deel 2 Wim de Kam 2-11 2010")</f>
        <v>0</v>
      </c>
      <c r="D3112" s="1">
        <f>hyperlink("http://dspace.library.uu.nl/handle/1874/242010","Het vijfde wapen de Luchtvaartafdeeling te Soesterberg tijdens de mobilisatie van 1914-1918 J A M M Janssen 528-535 1998")</f>
        <v>0</v>
      </c>
    </row>
    <row r="3113" spans="2:4">
      <c r="B3113">
        <v>52</v>
      </c>
      <c r="C3113" s="1">
        <f>hyperlink("https://hetutrechtsarchief.nl/collectie/2E7178B931CD5669BF4409344934F747","De Breedstraat te Maarssen vroeger en nu A E Rientjes 4-13 ill 1951")</f>
        <v>0</v>
      </c>
      <c r="D3113" s="1">
        <f>hyperlink("http://dspace.library.uu.nl/handle/1874/242011","De legerplaats bij Zeist en de najaarsmanoeuvres der 1ste en 2de divisie infanterie 713 -719 1891")</f>
        <v>0</v>
      </c>
    </row>
    <row r="3114" spans="2:4">
      <c r="B3114">
        <v>54</v>
      </c>
      <c r="C3114" s="1">
        <f>hyperlink("https://hetutrechtsarchief.nl/collectie/74E70387C59B5EBBBD329AEFDFDC8792","Het Interneringskamp Zeist Leo Visser 123-130 2005")</f>
        <v>0</v>
      </c>
      <c r="D3114" s="1">
        <f>hyperlink("http://dspace.library.uu.nl/handle/1874/242012","Het legerkamp bij Zeist L 225-226 282-285 1854")</f>
        <v>0</v>
      </c>
    </row>
    <row r="3115" spans="2:4">
      <c r="B3115">
        <v>61</v>
      </c>
      <c r="C3115" s="1">
        <f>hyperlink("https://hetutrechtsarchief.nl/collectie/7D40B55B44775054B7EAC1F680364A18","De buitenplaats Groenestein P H Damst 10-11 ill 1968")</f>
        <v>0</v>
      </c>
      <c r="D3115" s="1">
        <f>hyperlink("http://dspace.library.uu.nl/handle/1874/242252","De buitenplaats Nijenheim R P M Galis K W Rhoen 1-10 1992")</f>
        <v>0</v>
      </c>
    </row>
    <row r="3116" spans="2:4">
      <c r="B3116">
        <v>60</v>
      </c>
      <c r="C3116" s="1">
        <f>hyperlink("https://hetutrechtsarchief.nl/collectie/6A7AD43BAC3B5F5FB682D8F4EF3112F9","Lijden en bevrijding I spoorweg-monument Leendert de Jonge 4 ill 1998")</f>
        <v>0</v>
      </c>
      <c r="D3116" s="1">
        <f>hyperlink("http://dspace.library.uu.nl/handle/1874/242253","Een vergeten bevrijdingsmonument R P M Rhoen 11-14 1992")</f>
        <v>0</v>
      </c>
    </row>
    <row r="3117" spans="2:4">
      <c r="B3117">
        <v>56</v>
      </c>
      <c r="C3117" s="1">
        <f>hyperlink("https://hetutrechtsarchief.nl/collectie/6BE7BD74733C5B3BB8A623E31714B931","Iets over de vroege geschiedenis van boerderij De Brakel op de grens van Bunnik en Zeist D R Klootwijk 75-78 2003")</f>
        <v>0</v>
      </c>
      <c r="D3117" s="1">
        <f>hyperlink("http://dspace.library.uu.nl/handle/1874/242254","Iets over het Middelbroek bij Zeist en over een oude kaart uit 1664 D R Klootwijk 31-40 1992")</f>
        <v>0</v>
      </c>
    </row>
    <row r="3118" spans="2:4">
      <c r="B3118">
        <v>96</v>
      </c>
      <c r="C3118" s="1">
        <f>hyperlink("https://hetutrechtsarchief.nl/collectie/064626D8F75A50868FB2C0C39DE395A8","De nieuwe haven bij Kersbergen R P M Rhoen 77-98 ill 1992")</f>
        <v>0</v>
      </c>
      <c r="D3118" s="1">
        <f>hyperlink("http://dspace.library.uu.nl/handle/1874/242270","De nieuwe haven bij Kersbergen R P M Rhoen 77-98 1992")</f>
        <v>0</v>
      </c>
    </row>
    <row r="3119" spans="2:4">
      <c r="B3119">
        <v>62</v>
      </c>
      <c r="C3119" s="1">
        <f>hyperlink("https://hetutrechtsarchief.nl/collectie/6087FD8A3B4058B2A96278AD9801684D","De Posterij L Visser 43-46 2010")</f>
        <v>0</v>
      </c>
      <c r="D3119" s="1">
        <f>hyperlink("http://dspace.library.uu.nl/handle/1874/242271","1e Dorpsstraat 14 L Visser 40-43 1992")</f>
        <v>0</v>
      </c>
    </row>
    <row r="3120" spans="2:4">
      <c r="B3120">
        <v>59</v>
      </c>
      <c r="C3120" s="1">
        <f>hyperlink("https://hetutrechtsarchief.nl/collectie/0F973BE8978A5C0EB42EB19E8F99FCC0","De nieuwe fabriek Nabij de halte Dolderscheweg R P M Rhoen 5-11 2007")</f>
        <v>0</v>
      </c>
      <c r="D3120" s="1">
        <f>hyperlink("http://dspace.library.uu.nl/handle/1874/242272","De zuivelfabriek Hygieia aan de Koppeldijk R P M Rhoen 49-57 1992")</f>
        <v>0</v>
      </c>
    </row>
    <row r="3121" spans="2:4">
      <c r="B3121">
        <v>58</v>
      </c>
      <c r="C3121" s="1">
        <f>hyperlink("https://hetutrechtsarchief.nl/collectie/8B7265F230A6591EB712AF92F6675AE5","De bouwgeschiedenis van de Micha lkerk deel 2 de situatie tussen 1819 en 1895 Chiel van der Weiden 2-6 2011")</f>
        <v>0</v>
      </c>
      <c r="D3121" s="1">
        <f>hyperlink("http://dspace.library.uu.nl/handle/1874/242273","De betekenis van de familie Van de Poll voor de Zeister gemeenschap tussen 1860 en 1940 B R de Melker 57-65 1992")</f>
        <v>0</v>
      </c>
    </row>
    <row r="3122" spans="2:4">
      <c r="B3122">
        <v>54</v>
      </c>
      <c r="C3122" s="1">
        <f>hyperlink("https://hetutrechtsarchief.nl/collectie/C66D15429FD25AB2AA8F6B9C59CF4133","Aktie verplaatst naar het podium Ben Spruijt en Monique Oosterwijk 15-17 1984")</f>
        <v>0</v>
      </c>
      <c r="D3122" s="1">
        <f>hyperlink("http://dspace.library.uu.nl/handle/1874/242274","Austerlitz zo n vaart liep het niet D L Steenwijk 65-72 1992")</f>
        <v>0</v>
      </c>
    </row>
    <row r="3123" spans="2:4">
      <c r="B3123">
        <v>59</v>
      </c>
      <c r="C3123" s="1">
        <f>hyperlink("https://hetutrechtsarchief.nl/collectie/A3FA03910E3357D28B6F14D93041F667","De prentbriefkaart en haar reproductieproc d s A Lagas 63-71 ill 1925")</f>
        <v>0</v>
      </c>
      <c r="D3123" s="1">
        <f>hyperlink("http://dspace.library.uu.nl/handle/1874/242275","De prentbriefkaart en Zeist Steven Wachlin 72-73 1992")</f>
        <v>0</v>
      </c>
    </row>
    <row r="3124" spans="2:4">
      <c r="B3124">
        <v>59</v>
      </c>
      <c r="C3124" s="1">
        <f>hyperlink("https://hetutrechtsarchief.nl/collectie/C3C3B798941D51988C40DABEA43C6D4E","De renovatie van de beiaard van Oudewater Gideon Bodden 9-17 1999")</f>
        <v>0</v>
      </c>
      <c r="D3124" s="1">
        <f>hyperlink("http://dspace.library.uu.nl/handle/1874/242276","De paaltjes van de Laan van Beek en Rooyen L Visser 1-11 1993")</f>
        <v>0</v>
      </c>
    </row>
    <row r="3125" spans="2:4">
      <c r="B3125">
        <v>56</v>
      </c>
      <c r="C3125" s="1">
        <f>hyperlink("https://hetutrechtsarchief.nl/collectie/934BB0A96E19D57DE0534701000A88B4","Het Romeinse Rijk 10 de Romeinse vloot C W M Kees Rasch 17 2019")</f>
        <v>0</v>
      </c>
      <c r="D3125" s="1">
        <f>hyperlink("http://dspace.library.uu.nl/handle/1874/242277","Het Zeister Zendingsgenootschap P M Peucker 11-20 1993")</f>
        <v>0</v>
      </c>
    </row>
    <row r="3126" spans="2:4">
      <c r="B3126">
        <v>59</v>
      </c>
      <c r="C3126" s="1">
        <f>hyperlink("https://hetutrechtsarchief.nl/collectie/E31AD4C4882854529D6436F45AED7797","Het Slot te Zeist R P M Rhoen 3-30 1999")</f>
        <v>0</v>
      </c>
      <c r="D3126" s="1">
        <f>hyperlink("http://dspace.library.uu.nl/handle/1874/242278","Van sterrebos tot Koppelgebied R P M Rhoen 25-36 1993")</f>
        <v>0</v>
      </c>
    </row>
    <row r="3127" spans="2:4">
      <c r="B3127">
        <v>66</v>
      </c>
      <c r="C3127" s="1">
        <f>hyperlink("https://hetutrechtsarchief.nl/collectie/B0B2427B1FE95BC78E07F9F7B055A44E","Een luiklok van Odijk naar Zeist V A M van der Burg 29-30 ill 1990")</f>
        <v>0</v>
      </c>
      <c r="D3127" s="1">
        <f>hyperlink("http://dspace.library.uu.nl/handle/1874/242279","Verdwenen duiventillen te Zeist V A M van der Burg 37-41 1993")</f>
        <v>0</v>
      </c>
    </row>
    <row r="3128" spans="2:4">
      <c r="B3128">
        <v>66</v>
      </c>
      <c r="C3128" s="1">
        <f>hyperlink("https://hetutrechtsarchief.nl/collectie/CEB12586386EABCBE0538F04000A7CED","Des morgens een klein glaasje brandewijn R Loenen met een toelichting van Dick van de Kamp 76-77 2021")</f>
        <v>0</v>
      </c>
      <c r="D3128" s="1">
        <f>hyperlink("http://dspace.library.uu.nl/handle/1874/242280","Des morgens een klein glaasje brandewijn R Loenen 41-42 1993")</f>
        <v>0</v>
      </c>
    </row>
    <row r="3129" spans="2:4">
      <c r="B3129">
        <v>63</v>
      </c>
      <c r="C3129" s="1">
        <f>hyperlink("https://hetutrechtsarchief.nl/collectie/E21021439CE3502FBF2B74A9EA629E7B","Uit de oude doos Wim Klever 24-25 1998")</f>
        <v>0</v>
      </c>
      <c r="D3129" s="1">
        <f>hyperlink("http://dspace.library.uu.nl/handle/1874/242281","Uit de oude doos K W Galis 43-45 nr 4 p 98-101 1992")</f>
        <v>0</v>
      </c>
    </row>
    <row r="3130" spans="2:4">
      <c r="B3130">
        <v>60</v>
      </c>
      <c r="C3130" s="1">
        <f>hyperlink("https://hetutrechtsarchief.nl/collectie/9EA5AE9204795856A03461A27CC8C9CF","Mijdrecht Vinkeveen en Wilnis aan het begin van de 19e eeuw Jan Rouwenhorst 134-139 1999")</f>
        <v>0</v>
      </c>
      <c r="D3130" s="1">
        <f>hyperlink("http://dspace.library.uu.nl/handle/1874/242324","Engels toerisme in Zeist aan het eind van de 18e eeuw J Meerdink 86-95 1994")</f>
        <v>0</v>
      </c>
    </row>
    <row r="3131" spans="2:4">
      <c r="B3131">
        <v>62</v>
      </c>
      <c r="C3131" s="1">
        <f>hyperlink("https://hetutrechtsarchief.nl/collectie/1146CE2C139D517D96B2CF1FE7C1B6A7","De geschiedenis van de Amsterdamsestraatweg 5 ill 1989")</f>
        <v>0</v>
      </c>
      <c r="D3131" s="1">
        <f>hyperlink("http://dspace.library.uu.nl/handle/1874/242325","De geschiedenis van de woning Oude postweg 73-75 R Loenen 79-86 1994")</f>
        <v>0</v>
      </c>
    </row>
    <row r="3132" spans="2:4">
      <c r="B3132">
        <v>95</v>
      </c>
      <c r="C3132" s="1">
        <f>hyperlink("https://hetutrechtsarchief.nl/collectie/B4165EE7BA39595F9C08D703737CAE01","Huydecoper Kruseman en de verdwenen schilderijen in de Willemszaal van het Slot Zeist J Meerdink 53-63 ill 1994")</f>
        <v>0</v>
      </c>
      <c r="D3132" s="1">
        <f>hyperlink("http://dspace.library.uu.nl/handle/1874/242326","Huydecoper Kruseman en de verdwenen schilderijen in de Willemszaal van het Slot J Meerdink 53-63 1994")</f>
        <v>0</v>
      </c>
    </row>
    <row r="3133" spans="2:4">
      <c r="B3133">
        <v>55</v>
      </c>
      <c r="C3133" s="1">
        <f>hyperlink("https://hetutrechtsarchief.nl/collectie/5486EC07669D5938AFAB24E26EFF596F","De verbouwing van het Stadhuis in 1934 J I Planjer 382-385 ill")</f>
        <v>0</v>
      </c>
      <c r="D3133" s="1">
        <f>hyperlink("http://dspace.library.uu.nl/handle/1874/242327","De leeftijdsopbouw van Zeist in 1830 G Rijerse 32-40 1994")</f>
        <v>0</v>
      </c>
    </row>
    <row r="3134" spans="2:4">
      <c r="B3134">
        <v>61</v>
      </c>
      <c r="C3134" s="1">
        <f>hyperlink("https://hetutrechtsarchief.nl/collectie/01152A242E8F5A51A2066C9851CCD19D","Twee zeepziederijen in Zeist R H C van Maanen 84-95 1999")</f>
        <v>0</v>
      </c>
      <c r="D3134" s="1">
        <f>hyperlink("http://dspace.library.uu.nl/handle/1874/242328","De Vollenhovense Gooyer en Zeistertienden R H C van Maanen 12-28 1994")</f>
        <v>0</v>
      </c>
    </row>
    <row r="3135" spans="2:4">
      <c r="B3135">
        <v>62</v>
      </c>
      <c r="C3135" s="1">
        <f>hyperlink("https://hetutrechtsarchief.nl/collectie/2D3A8B4DFDCC5C6388E483AD4C869824","De oud-katholieke begraafplaats E Lagerwey 51-98 ill 1929")</f>
        <v>0</v>
      </c>
      <c r="D3135" s="1">
        <f>hyperlink("http://dspace.library.uu.nl/handle/1874/242330","De Oude Begraafplaats aan de Bergweg R P M Rhoen 49-59 1993")</f>
        <v>0</v>
      </c>
    </row>
    <row r="3136" spans="2:4">
      <c r="B3136">
        <v>57</v>
      </c>
      <c r="C3136" s="1">
        <f>hyperlink("https://hetutrechtsarchief.nl/collectie/BC60A4006F675520AE3DDE41A471F79F","Nog eene bladzijde uit de Utrechtsche geschiedenis B J L de Geer van Jutfaas 153 -225 1896")</f>
        <v>0</v>
      </c>
      <c r="D3136" s="1">
        <f>hyperlink("http://dspace.library.uu.nl/handle/1874/242331","Een gehavende bladzijde uit het Zeister geschiedenisboek de grafmonumenten op de Oude Begraafplaats H van den Top 59-67 1993")</f>
        <v>0</v>
      </c>
    </row>
    <row r="3137" spans="2:4">
      <c r="B3137">
        <v>51</v>
      </c>
      <c r="C3137" s="1">
        <f>hyperlink("https://hetutrechtsarchief.nl/collectie/75EBD85D52685EE1B38D823AD4E43394","Rechthuis in 1838 met een verdieping vergroot Egbert Wolleswinkel 8-9 ill 1999")</f>
        <v>0</v>
      </c>
      <c r="D3137" s="1">
        <f>hyperlink("http://dspace.library.uu.nl/handle/1874/242332","Ralph Dundas Tindal 1773-1834 een heer met ongewone verdiensten begraven in Zeist R R Walles 68-72 1993")</f>
        <v>0</v>
      </c>
    </row>
    <row r="3138" spans="2:4">
      <c r="B3138">
        <v>65</v>
      </c>
      <c r="C3138" s="1">
        <f>hyperlink("https://hetutrechtsarchief.nl/collectie/D9FEF7E2CCB958AFB747460DC71D90FC","Voorgeschiedenis van de Oranjevereniging te Zeist V A M van der Burg en R P M Rhoen 39-65 2000")</f>
        <v>0</v>
      </c>
      <c r="D3138" s="1">
        <f>hyperlink("http://dspace.library.uu.nl/handle/1874/242333","De geschiedenis van de IJsvereniging Zeist R P M Rhoen 77-87 1993")</f>
        <v>0</v>
      </c>
    </row>
    <row r="3139" spans="2:4">
      <c r="B3139">
        <v>67</v>
      </c>
      <c r="C3139" s="1">
        <f>hyperlink("https://hetutrechtsarchief.nl/collectie/C1DE4B873B0B516FB887910CE6101428","In de rij naar het diner A J A Labouchere 102-105 2009")</f>
        <v>0</v>
      </c>
      <c r="D3139" s="1">
        <f>hyperlink("http://dspace.library.uu.nl/handle/1874/242335","Boerderij Griffestein A J A Labouchere 4-12 1994")</f>
        <v>0</v>
      </c>
    </row>
    <row r="3140" spans="2:4">
      <c r="B3140">
        <v>56</v>
      </c>
      <c r="C3140" s="1">
        <f>hyperlink("https://hetutrechtsarchief.nl/collectie/530658D9E7675350BD47B34CBEC08A4D","De Utrechtse deken en de rede van Cicero A J M Kunst 25-41 1965")</f>
        <v>0</v>
      </c>
      <c r="D3140" s="1">
        <f>hyperlink("http://dspace.library.uu.nl/handle/1874/242336","De Stoetweegse wetering en de oorkonde van 12 mei 1279 D R Klootwijk 40-46 1994")</f>
        <v>0</v>
      </c>
    </row>
    <row r="3141" spans="2:4">
      <c r="B3141">
        <v>58</v>
      </c>
      <c r="C3141" s="1">
        <f>hyperlink("https://hetutrechtsarchief.nl/collectie/F5714E0774A05F0F857DED373219145C","Het kasteel de Haar 34-35 1949")</f>
        <v>0</v>
      </c>
      <c r="D3141" s="1">
        <f>hyperlink("http://dspace.library.uu.nl/handle/1874/242337","Albertine Enkelaar 63-65 1994")</f>
        <v>0</v>
      </c>
    </row>
    <row r="3142" spans="2:4">
      <c r="B3142">
        <v>57</v>
      </c>
      <c r="C3142" s="1">
        <f>hyperlink("https://hetutrechtsarchief.nl/collectie/F24B561F475254FF9C4E93669DFBA102","Het dienstpersoneel op de Zeister buitenplaatsen aan de Driebergseweg 1850-1940 V A M van der Burg 58-60 portr 1997")</f>
        <v>0</v>
      </c>
      <c r="D3142" s="1">
        <f>hyperlink("http://dspace.library.uu.nl/handle/1874/242338","Het nageslacht van de eerste Zeister predikant Cornelis Anthonisz ca 1541-1601 1602 V A M van der Burg 65-67 1994")</f>
        <v>0</v>
      </c>
    </row>
    <row r="3143" spans="2:4">
      <c r="B3143">
        <v>55</v>
      </c>
      <c r="C3143" s="1">
        <f>hyperlink("https://hetutrechtsarchief.nl/collectie/9BBACD0FA3F7500CBBEA23D52C0298EC","Door de tuin geleid Gerard Trienekens 67-68 1977")</f>
        <v>0</v>
      </c>
      <c r="D3143" s="1">
        <f>hyperlink("http://dspace.library.uu.nl/handle/1874/242339","Op dingsdag woedde de storm R Loenen 67-68 1994")</f>
        <v>0</v>
      </c>
    </row>
    <row r="3144" spans="2:4">
      <c r="B3144">
        <v>67</v>
      </c>
      <c r="C3144" s="1">
        <f>hyperlink("https://hetutrechtsarchief.nl/collectie/71531411ED355276A70ABFFAA9794C16","Utrecht en de Belgische opstand - K 53 1930")</f>
        <v>0</v>
      </c>
      <c r="D3144" s="1">
        <f>hyperlink("http://dspace.library.uu.nl/handle/1874/242397","Zeist in de ban van de Belgische opstand L Visser 1-15 1995")</f>
        <v>0</v>
      </c>
    </row>
    <row r="3145" spans="2:4">
      <c r="B3145">
        <v>53</v>
      </c>
      <c r="C3145" s="1">
        <f>hyperlink("https://hetutrechtsarchief.nl/collectie/F03E96167D2C58D6A79B2A2A30BC9531","Linkse mensen moeten bestuurswerk niet schuwen vindt Rosenberg Aftreden doe je maar n keer Jeroen Eichhorn en Harmen van der Werf 10-14 1983")</f>
        <v>0</v>
      </c>
      <c r="D3145" s="1">
        <f>hyperlink("http://dspace.library.uu.nl/handle/1874/242398","Einde aan de mythe over de Zeisterse Zwitsers niet de emigranten werden bedrogen door een zeekapitein maar het nageslacht werd bedrogen met de kapitein van de Londen R P M Rhoen 25-48 1995")</f>
        <v>0</v>
      </c>
    </row>
    <row r="3146" spans="2:4">
      <c r="B3146">
        <v>58</v>
      </c>
      <c r="C3146" s="1">
        <f>hyperlink("https://hetutrechtsarchief.nl/collectie/6F73323C9F1FD017E0534701000A633A","Het portret van koningin Wilhelmina in Slot Zeist R P M Rhoen 38-45 2018")</f>
        <v>0</v>
      </c>
      <c r="D3146" s="1">
        <f>hyperlink("http://dspace.library.uu.nl/handle/1874/242399","Koning Willem I als peetvader R P M Rhoen 53-61 1995")</f>
        <v>0</v>
      </c>
    </row>
    <row r="3147" spans="2:4">
      <c r="B3147">
        <v>57</v>
      </c>
      <c r="C3147" s="1">
        <f>hyperlink("https://hetutrechtsarchief.nl/collectie/1F6140F7BFC9575184B840120244F544","Gemeentelijke Sociale Werkplaats op het Kanaleneiland N Spronk 2-5 ill plgr 1964")</f>
        <v>0</v>
      </c>
      <c r="D3147" s="1">
        <f>hyperlink("http://dspace.library.uu.nl/handle/1874/242400","De gemeentelijke zwemplaats aan de Blikkenburgerlaan L Visser 62-72 1995")</f>
        <v>0</v>
      </c>
    </row>
    <row r="3148" spans="2:4">
      <c r="B3148">
        <v>53</v>
      </c>
      <c r="C3148" s="1">
        <f>hyperlink("https://hetutrechtsarchief.nl/collectie/AD0CDA75E41D5B99802615F1A59C95F8","Meer h tel dan hospitaal een beeld van de oprichting en de bouw van het Christelijk Sanatorium in Zeist R P M Rhoen 12 -32 2003")</f>
        <v>0</v>
      </c>
      <c r="D3148" s="1">
        <f>hyperlink("http://dspace.library.uu.nl/handle/1874/242401","Een buitenplaats aan het Rond de invloed van de Amsterdamse familie Walkart op de stedebouwkundige ontwikkelingen van het centrum van Zeist R P M Rhoen 77-108 1995")</f>
        <v>0</v>
      </c>
    </row>
    <row r="3149" spans="2:4">
      <c r="B3149">
        <v>60</v>
      </c>
      <c r="C3149" s="1">
        <f>hyperlink("https://hetutrechtsarchief.nl/collectie/DC85D36090E15BF4AA86923797B5E53B","Een huishoudboek uit het begin van de 19e eeuw Aleid van de Bunt 106-110 portr 1964")</f>
        <v>0</v>
      </c>
      <c r="D3149" s="1">
        <f>hyperlink("http://dspace.library.uu.nl/handle/1874/242402","Een doosje uit het begin van deze eeuw J C Mollen-Hengeveld 72-74 1995")</f>
        <v>0</v>
      </c>
    </row>
    <row r="3150" spans="2:4">
      <c r="B3150">
        <v>96</v>
      </c>
      <c r="C3150" s="1">
        <f>hyperlink("https://hetutrechtsarchief.nl/collectie/0BA39975470B583EA356E2457FAEB00F","De gasten van de Duitse keizer Jan Pellicaan 47-53 ill 1998")</f>
        <v>0</v>
      </c>
      <c r="D3150" s="1">
        <f>hyperlink("http://dspace.library.uu.nl/handle/1874/242481","De gasten van de Duitse keizer Jan Pellicaan 47-53 1998")</f>
        <v>0</v>
      </c>
    </row>
    <row r="3151" spans="2:4">
      <c r="B3151">
        <v>93</v>
      </c>
      <c r="C3151" s="1">
        <f>hyperlink("https://hetutrechtsarchief.nl/collectie/A2B18C24DF0D55508D11219DD7E8FA56","De inhuldiging van Koningin Wilhelmina Nellerieke Boucher 54-59 ill portr 1998")</f>
        <v>0</v>
      </c>
      <c r="D3151" s="1">
        <f>hyperlink("http://dspace.library.uu.nl/handle/1874/242482","De inhuldiging van Koningin Wilhelmina Nellerieke Boucher 54-59 1998")</f>
        <v>0</v>
      </c>
    </row>
    <row r="3152" spans="2:4">
      <c r="B3152">
        <v>96</v>
      </c>
      <c r="C3152" s="1">
        <f>hyperlink("https://hetutrechtsarchief.nl/collectie/56FB507C678351C8BCF60F49AB9C70B0","Hoe komen we aan Zeist Hans Kilian 60-62 ill 1998")</f>
        <v>0</v>
      </c>
      <c r="D3152" s="1">
        <f>hyperlink("http://dspace.library.uu.nl/handle/1874/242483","Hoe komen we aan Zeist Hans Kilian 60-62 1998")</f>
        <v>0</v>
      </c>
    </row>
    <row r="3153" spans="2:4">
      <c r="B3153">
        <v>92</v>
      </c>
      <c r="C3153" s="1">
        <f>hyperlink("https://hetutrechtsarchief.nl/collectie/FB79F74E5C155B91BD6E1EAB98CCD5A4","Een moord - twee liederen Jacky van den Dikkenberg 63-69 ill portr 1998")</f>
        <v>0</v>
      </c>
      <c r="D3153" s="1">
        <f>hyperlink("http://dspace.library.uu.nl/handle/1874/242484","Een moord - twee liederen Jacky van den Dikkenberg 63-69 1998")</f>
        <v>0</v>
      </c>
    </row>
    <row r="3154" spans="2:4">
      <c r="B3154">
        <v>80</v>
      </c>
      <c r="C3154" s="1">
        <f>hyperlink("https://hetutrechtsarchief.nl/collectie/25533575317C52E3AB81A6CD801094AF","De sociale werkvoorziening in Zeist tussen 1950-1960 Herman uit de Bosch 8-13 ill 1998")</f>
        <v>0</v>
      </c>
      <c r="D3154" s="1">
        <f>hyperlink("http://dspace.library.uu.nl/handle/1874/242485","De sociale werkvoorziening in Zeist Herman uit de Bosch 8-13 nr 2 p 34-43 1998")</f>
        <v>0</v>
      </c>
    </row>
    <row r="3155" spans="2:4">
      <c r="B3155">
        <v>67</v>
      </c>
      <c r="C3155" s="1">
        <f>hyperlink("https://hetutrechtsarchief.nl/collectie/18B920F6F85152A995DCE4BB8150DEB1","De 3 doodgraverswoningen R P M Rhoen 25-33 ill plgr 1998")</f>
        <v>0</v>
      </c>
      <c r="D3155" s="1">
        <f>hyperlink("http://dspace.library.uu.nl/handle/1874/242486","De 3 doodgraverswoningen de doodgraverswoningen aan de Bergweg R P M Rhoen 25-33 1998")</f>
        <v>0</v>
      </c>
    </row>
    <row r="3156" spans="2:4">
      <c r="B3156">
        <v>97</v>
      </c>
      <c r="C3156" s="1">
        <f>hyperlink("https://hetutrechtsarchief.nl/collectie/2916102C15B5544786CF064561CC0C5B","Holder de bolder mythen en sagen van Zeist Hans Kilian 5-7 ill 1998")</f>
        <v>0</v>
      </c>
      <c r="D3156" s="1">
        <f>hyperlink("http://dspace.library.uu.nl/handle/1874/242487","Holder de bolder mythen en sagen van Zeist Hans Kilian 5-7 1998")</f>
        <v>0</v>
      </c>
    </row>
    <row r="3157" spans="2:4">
      <c r="B3157">
        <v>52</v>
      </c>
      <c r="C3157" s="1">
        <f>hyperlink("https://hetutrechtsarchief.nl/collectie/4FBA8268B6C55811BA72FCAA170CE787","Openbaar lager onderwijs in Zeist van 1801-1921 inleiding openbaar lager onderwijs in Zeist 1 Leo Visser 71-74 ill 1998")</f>
        <v>0</v>
      </c>
      <c r="D3157" s="1">
        <f>hyperlink("http://dspace.library.uu.nl/handle/1874/242488","Openbaar lager onderwijs in Zeist van 1801-1921 Leo Visser 71-74 jg 29 1999 nr 1 p 3-10 nr 2 p 27-34 nr 3 p 51-58 nr 4 p 96-100 jg 30 2000 nr 1 p 12-20 nr 2 p 66-68 nr 3 p 81-84 1998-2000")</f>
        <v>0</v>
      </c>
    </row>
    <row r="3158" spans="2:4">
      <c r="B3158">
        <v>96</v>
      </c>
      <c r="C3158" s="1">
        <f>hyperlink("https://hetutrechtsarchief.nl/collectie/B6829F1ACC6B5B6E9CCCE938A68BD266","Reflecties bij een schoolfoto Arthur Lehning 80-85 ill 1998")</f>
        <v>0</v>
      </c>
      <c r="D3158" s="1">
        <f>hyperlink("http://dspace.library.uu.nl/handle/1874/242489","Reflecties bij een schoolfoto Arthur Lehning 80-85 1998")</f>
        <v>0</v>
      </c>
    </row>
    <row r="3159" spans="2:4">
      <c r="B3159">
        <v>98</v>
      </c>
      <c r="C3159" s="1">
        <f>hyperlink("https://hetutrechtsarchief.nl/collectie/15F009645BC05112A47DDEDC888153E8","Van Klinkenberg een jeugdvriend van Marsman Jacky van den Dikkenberg 86-92 ill 1998")</f>
        <v>0</v>
      </c>
      <c r="D3159" s="1">
        <f>hyperlink("http://dspace.library.uu.nl/handle/1874/242490","Van Klinkenberg een jeugdvriend van Marsman Jacky van den Dikkenberg 86-92 1998")</f>
        <v>0</v>
      </c>
    </row>
    <row r="3160" spans="2:4">
      <c r="B3160">
        <v>97</v>
      </c>
      <c r="C3160" s="1">
        <f>hyperlink("https://hetutrechtsarchief.nl/collectie/C64EC72F7A45591FA2DD2C24B6F4C598","Bloemlezing over een fleurige tentoonstelling J H Heijmel 75-79 ill 1998")</f>
        <v>0</v>
      </c>
      <c r="D3160" s="1">
        <f>hyperlink("http://dspace.library.uu.nl/handle/1874/242491","Bloemlezing over een fleurige tentoonstelling J H Heijmel 75-79 1998")</f>
        <v>0</v>
      </c>
    </row>
    <row r="3161" spans="2:4">
      <c r="B3161">
        <v>57</v>
      </c>
      <c r="C3161" s="1">
        <f>hyperlink("https://hetutrechtsarchief.nl/collectie/BC325927066B533D97B72C06E2D44689","Huisnamen V blikken in het nabije en verre verleden Hans de Groot 13-17 ill 1998")</f>
        <v>0</v>
      </c>
      <c r="D3161" s="1">
        <f>hyperlink("http://dspace.library.uu.nl/handle/1874/242492","Mijmeringen bij het boek inleiding tot de Broedergemeente Aart de Groot 10-14 1997")</f>
        <v>0</v>
      </c>
    </row>
    <row r="3162" spans="2:4">
      <c r="B3162">
        <v>65</v>
      </c>
      <c r="C3162" s="1">
        <f>hyperlink("https://hetutrechtsarchief.nl/collectie/174D34B93417543AB44F5082E81BCD52","De geschiedenis van deken Roes 10 - 11 1982")</f>
        <v>0</v>
      </c>
      <c r="D3162" s="1">
        <f>hyperlink("http://dspace.library.uu.nl/handle/1874/242493","De geschiedenis van De Breul Robbert Roosenboom 8-17 nr 4 p 18-23 1997")</f>
        <v>0</v>
      </c>
    </row>
    <row r="3163" spans="2:4">
      <c r="B3163">
        <v>56</v>
      </c>
      <c r="C3163" s="1">
        <f>hyperlink("https://hetutrechtsarchief.nl/collectie/E06C8E654AD05D48B82EC8C78DDD0BD8","Het Kamp van Zeist bezongen 102-105 2008")</f>
        <v>0</v>
      </c>
      <c r="D3163" s="1">
        <f>hyperlink("http://dspace.library.uu.nl/handle/1874/242494","Het kamp van Zeist bezongen Jacky van den Dikkenberg 21 nr 3 p 18-21 jg 38 2008 nr 4 p 102-105 1997-2008")</f>
        <v>0</v>
      </c>
    </row>
    <row r="3164" spans="2:4">
      <c r="B3164">
        <v>55</v>
      </c>
      <c r="C3164" s="1">
        <f>hyperlink("https://hetutrechtsarchief.nl/collectie/B561401A64BF5C83A7E061DE9F3A12F9","Een bibliografie van de provincie Utrecht A Pietersma 23-24 1991")</f>
        <v>0</v>
      </c>
      <c r="D3164" s="1">
        <f>hyperlink("http://dspace.library.uu.nl/handle/1874/242495","Bijzondere collecties nader belicht het Van de Poll-archief W C H Pieterse 22-24 1997")</f>
        <v>0</v>
      </c>
    </row>
    <row r="3165" spans="2:4">
      <c r="B3165">
        <v>55</v>
      </c>
      <c r="C3165" s="1">
        <f>hyperlink("https://hetutrechtsarchief.nl/collectie/5D953A5A6CAF5AE0ADB1227C779393ED","Het lager onderwijs in Zeist 5 De school in Austerlitz Leo Visser 96-100 1999")</f>
        <v>0</v>
      </c>
      <c r="D3165" s="1">
        <f>hyperlink("http://dspace.library.uu.nl/handle/1874/242496","Cholera in Zeist in de schaduw van verschrikking L Hart P D t Visser 3-17 1997")</f>
        <v>0</v>
      </c>
    </row>
    <row r="3166" spans="2:4">
      <c r="B3166">
        <v>60</v>
      </c>
      <c r="C3166" s="1">
        <f>hyperlink("https://hetutrechtsarchief.nl/collectie/067226A857B3511DB53E02FC73689525","De Historische Vereniging Oudheidkamer Rhenen en omstreken 90 jaar H P Deys 22-37 ill 1998")</f>
        <v>0</v>
      </c>
      <c r="D3166" s="1">
        <f>hyperlink("http://dspace.library.uu.nl/handle/1874/242544","Oud-Rhenen mededelingenblad van de Historische Vereniging Oudheidkamer Rhenen e o Historische Vereniging Oudheidkamer Rhenen e o 1981-")</f>
        <v>0</v>
      </c>
    </row>
    <row r="3167" spans="2:4">
      <c r="B3167">
        <v>58</v>
      </c>
      <c r="C3167" s="1">
        <f>hyperlink("https://hetutrechtsarchief.nl/collectie/E7AC6DDD4CC65E548D5219608D04C6BD","De runensteen op het Domplein 8-9 1955")</f>
        <v>0</v>
      </c>
      <c r="D3167" s="1">
        <f>hyperlink("http://dspace.library.uu.nl/handle/1874/242545","De Ingense waarden voor Elst Ch H Delfin 8 - 10 1982")</f>
        <v>0</v>
      </c>
    </row>
    <row r="3168" spans="2:4">
      <c r="B3168">
        <v>67</v>
      </c>
      <c r="C3168" s="1">
        <f>hyperlink("https://hetutrechtsarchief.nl/collectie/1BD9C83060ED59C89EE13D037C741157","Rhenen en het Rampjaar 1672 H P Deys 5-21 2000")</f>
        <v>0</v>
      </c>
      <c r="D3168" s="1">
        <f>hyperlink("http://dspace.library.uu.nl/handle/1874/242546","Rhenen en de tram H P Deys 7 - 26 1981")</f>
        <v>0</v>
      </c>
    </row>
    <row r="3169" spans="2:4">
      <c r="B3169">
        <v>57</v>
      </c>
      <c r="C3169" s="1">
        <f>hyperlink("https://hetutrechtsarchief.nl/collectie/0A813C367A2C5660BE75CD505E9F9938","De Tronie van Gaasbeek Ger van der Most 147-149 2003")</f>
        <v>0</v>
      </c>
      <c r="D3169" s="1">
        <f>hyperlink("http://dspace.library.uu.nl/handle/1874/242547","Oude auto s in het Rhenen van vroeger Gerard van der Horst 27 - 34 1981")</f>
        <v>0</v>
      </c>
    </row>
    <row r="3170" spans="2:4">
      <c r="B3170">
        <v>55</v>
      </c>
      <c r="C3170" s="1">
        <f>hyperlink("https://hetutrechtsarchief.nl/collectie/0A5F7EDAE9C15BEAACC8ABBEA114DC05","Amerongen en Zuylenstein - B 34-39 1926")</f>
        <v>0</v>
      </c>
      <c r="D3170" s="1">
        <f>hyperlink("http://dspace.library.uu.nl/handle/1874/242548","Mijmeringen Wilh Klaassen 35 - 36 1981")</f>
        <v>0</v>
      </c>
    </row>
    <row r="3171" spans="2:4">
      <c r="B3171">
        <v>62</v>
      </c>
      <c r="C3171" s="1">
        <f>hyperlink("https://hetutrechtsarchief.nl/collectie/7659947400665FFDBFEA4D6607EA04EA","Herinnering aan Utrecht 278 1981")</f>
        <v>0</v>
      </c>
      <c r="D3171" s="1">
        <f>hyperlink("http://dspace.library.uu.nl/handle/1874/242549","Oude herinneringen W Rebergen 37 - 38 1981")</f>
        <v>0</v>
      </c>
    </row>
    <row r="3172" spans="2:4">
      <c r="B3172">
        <v>58</v>
      </c>
      <c r="C3172" s="1">
        <f>hyperlink("https://hetutrechtsarchief.nl/collectie/EA8D7A6BD53452FE94D646464291120D","Voor het laatst de paal in Th H Lutters 8-9 2000")</f>
        <v>0</v>
      </c>
      <c r="D3172" s="1">
        <f>hyperlink("http://dspace.library.uu.nl/handle/1874/242550","Voor het laatst Stedenspel J Combrink 11 1982")</f>
        <v>0</v>
      </c>
    </row>
    <row r="3173" spans="2:4">
      <c r="B3173">
        <v>60</v>
      </c>
      <c r="C3173" s="1">
        <f>hyperlink("https://hetutrechtsarchief.nl/collectie/2BB3BD0E1A275A8AB2CC9D0E99CB5B67","De Slag op de Grebbeberg A J van Drunen 29-33 2000")</f>
        <v>0</v>
      </c>
      <c r="D3173" s="1">
        <f>hyperlink("http://dspace.library.uu.nl/handle/1874/242551","De Flora van de Grebbeberg J Douwes D Combrink 23-24 1982")</f>
        <v>0</v>
      </c>
    </row>
    <row r="3174" spans="2:4">
      <c r="B3174">
        <v>61</v>
      </c>
      <c r="C3174" s="1">
        <f>hyperlink("https://hetutrechtsarchief.nl/collectie/A663F159445A51308C2570A68DB0599B","Iets onder het gras Gerda de Bruijn 16-17 2004")</f>
        <v>0</v>
      </c>
      <c r="D3174" s="1">
        <f>hyperlink("http://dspace.library.uu.nl/handle/1874/242552","Iets over het gast- en weeshuis I J Combrink 6 - 7 1982")</f>
        <v>0</v>
      </c>
    </row>
    <row r="3175" spans="2:4">
      <c r="B3175">
        <v>62</v>
      </c>
      <c r="C3175" s="1">
        <f>hyperlink("https://hetutrechtsarchief.nl/collectie/D52B86F9EC245ACF99DA9A0D571D7D3C","De Rhenense ondergrondse Ton van Drunen 26-36 ill 1999")</f>
        <v>0</v>
      </c>
      <c r="D3175" s="1">
        <f>hyperlink("http://dspace.library.uu.nl/handle/1874/242553","De Rhenense onderaardse gangen J Combrink 4 - 5 1982")</f>
        <v>0</v>
      </c>
    </row>
    <row r="3176" spans="2:4">
      <c r="B3176">
        <v>57</v>
      </c>
      <c r="C3176" s="1">
        <f>hyperlink("https://hetutrechtsarchief.nl/collectie/902F7CB69DBD5B489E5F4434EAA32B60","Ruzie tussen de veearts en de burgemeester Fred de Wit 108-109 2010")</f>
        <v>0</v>
      </c>
      <c r="D3176" s="1">
        <f>hyperlink("http://dspace.library.uu.nl/handle/1874/242554","Het Stedenspel en de Burgemeestersvraag J Combrink 9 - 10 1982")</f>
        <v>0</v>
      </c>
    </row>
    <row r="3177" spans="2:4">
      <c r="B3177">
        <v>58</v>
      </c>
      <c r="C3177" s="1">
        <f>hyperlink("https://hetutrechtsarchief.nl/collectie/215D0C67E1F555CAA3510BBB69449689","Utrechtse oorkonden in Holland J C Kort 124-133 1974")</f>
        <v>0</v>
      </c>
      <c r="D3177" s="1">
        <f>hyperlink("http://dspace.library.uu.nl/handle/1874/242555","De Utrechtse oorlog en Jan van Schaffelaar J Combrink 7-9 1982")</f>
        <v>0</v>
      </c>
    </row>
    <row r="3178" spans="2:4">
      <c r="B3178">
        <v>59</v>
      </c>
      <c r="C3178" s="1">
        <f>hyperlink("https://hetutrechtsarchief.nl/collectie/DFCD66F72135529BA2E80A97105959CC","Archeologie en geschiedenis 1982")</f>
        <v>0</v>
      </c>
      <c r="D3178" s="1">
        <f>hyperlink("http://dspace.library.uu.nl/handle/1874/242556","Archeologie op de Donderberg Ch H Delfin 11 - 12 1982")</f>
        <v>0</v>
      </c>
    </row>
    <row r="3179" spans="2:4">
      <c r="B3179">
        <v>54</v>
      </c>
      <c r="C3179" s="1">
        <f>hyperlink("https://hetutrechtsarchief.nl/collectie/BCB42A24F1EF5493ABEAA29FF867B344","De echte straatmaker kent zijn vak T Cees du Maine 12 - 13 ill 1982")</f>
        <v>0</v>
      </c>
      <c r="D3179" s="1">
        <f>hyperlink("http://dspace.library.uu.nl/handle/1874/242557","Achter Berg en Rijn H P Deys 5 - 8 nr 3 p 3 - 5 1982")</f>
        <v>0</v>
      </c>
    </row>
    <row r="3180" spans="2:4">
      <c r="B3180">
        <v>54</v>
      </c>
      <c r="C3180" s="1">
        <f>hyperlink("https://hetutrechtsarchief.nl/collectie/4F2D71E1A5025D39881237A8246EA48A","Van Speijk in Utrecht W G de Bas 20-21 1931")</f>
        <v>0</v>
      </c>
      <c r="D3180" s="1">
        <f>hyperlink("http://dspace.library.uu.nl/handle/1874/242558","Villa Bergzicht H P Deys 25-52 1982")</f>
        <v>0</v>
      </c>
    </row>
    <row r="3181" spans="2:4">
      <c r="B3181">
        <v>60</v>
      </c>
      <c r="C3181" s="1">
        <f>hyperlink("https://hetutrechtsarchief.nl/collectie/B19F6F09BBAA583CAFAEDAA5CA99BC76","Utrechtsche overleveringen XV Ponsen en Angen - E 1-3 1940")</f>
        <v>0</v>
      </c>
      <c r="D3181" s="1">
        <f>hyperlink("http://dspace.library.uu.nl/handle/1874/242559","Terechtstellingen in Rhenen Jean Rouge 10-13 1982")</f>
        <v>0</v>
      </c>
    </row>
    <row r="3182" spans="2:4">
      <c r="B3182">
        <v>56</v>
      </c>
      <c r="C3182" s="1">
        <f>hyperlink("https://hetutrechtsarchief.nl/collectie/51A1AF049E775965BED8020B2834B89A","Frederik en Elisabeth van de Palts in Rhenen Aleid van de Bunt 51-52 1959")</f>
        <v>0</v>
      </c>
      <c r="D3182" s="1">
        <f>hyperlink("http://dspace.library.uu.nl/handle/1874/242560","Frederik van de Paltz zoals men hem in 1869 zag K Tietema 5-7 1982")</f>
        <v>0</v>
      </c>
    </row>
    <row r="3183" spans="2:4">
      <c r="B3183">
        <v>63</v>
      </c>
      <c r="C3183" s="1">
        <f>hyperlink("https://hetutrechtsarchief.nl/collectie/EEDDC906577C585C8A3A5A95C97DAA06","De bedrijvenkartotheek H Achterberg 12-13 ill 1983")</f>
        <v>0</v>
      </c>
      <c r="D3183" s="1">
        <f>hyperlink("http://dspace.library.uu.nl/handle/1874/242561","De bodebussen van Rhenen M Agterberg 21 - 23 1983")</f>
        <v>0</v>
      </c>
    </row>
    <row r="3184" spans="2:4">
      <c r="B3184">
        <v>53</v>
      </c>
      <c r="C3184" s="1">
        <f>hyperlink("https://hetutrechtsarchief.nl/collectie/683B27F318AC549F92AFFA3D81136DAD","Verstoor de kraaien 500 jaar geleden de Oorlog om IJsselstein en de Vrede met Utrecht onder red van Jacques Houben et al 6-49 2011")</f>
        <v>0</v>
      </c>
      <c r="D3184" s="1">
        <f>hyperlink("http://dspace.library.uu.nl/handle/1874/242562","Cuneratoren 85 jaar geleden door bliksem getroffen vuurzee en vonkenregen boven Rhenen Joop Bovenschen 17 - 20 1983")</f>
        <v>0</v>
      </c>
    </row>
    <row r="3185" spans="2:4">
      <c r="B3185">
        <v>62</v>
      </c>
      <c r="C3185" s="1">
        <f>hyperlink("https://hetutrechtsarchief.nl/collectie/C7BE4F836E595CC993531B90832D6F17","Bestrating in vroeger tijden S n 2-5 1948")</f>
        <v>0</v>
      </c>
      <c r="D3185" s="1">
        <f>hyperlink("http://dspace.library.uu.nl/handle/1874/242563","Geldontwaarding in vroeger eeuwen J Combrink 3 - 5 1983")</f>
        <v>0</v>
      </c>
    </row>
    <row r="3186" spans="2:4">
      <c r="B3186">
        <v>60</v>
      </c>
      <c r="C3186" s="1">
        <f>hyperlink("https://hetutrechtsarchief.nl/collectie/68291EADC0405E9A9344BDE30AEC1FBA","Bisschop David van Bourgondi J H Hofman 229-232 1900")</f>
        <v>0</v>
      </c>
      <c r="D3186" s="1">
        <f>hyperlink("http://dspace.library.uu.nl/handle/1874/242564","De Utrechtse bisschop Philips van Bourgondi J Combrink 3 - 5 1983")</f>
        <v>0</v>
      </c>
    </row>
    <row r="3187" spans="2:4">
      <c r="B3187">
        <v>55</v>
      </c>
      <c r="C3187" s="1">
        <f>hyperlink("https://hetutrechtsarchief.nl/collectie/A8F03FC631D7538A81AC4E57C41BA383","Een belangrijk boek over Rhenen J W C van Campen 145-146 1960")</f>
        <v>0</v>
      </c>
      <c r="D3187" s="1">
        <f>hyperlink("http://dspace.library.uu.nl/handle/1874/242565","75 jaar Oudheidkamer Rhenen J Combrink 15 - 16 1983")</f>
        <v>0</v>
      </c>
    </row>
    <row r="3188" spans="2:4">
      <c r="B3188">
        <v>58</v>
      </c>
      <c r="C3188" s="1">
        <f>hyperlink("https://hetutrechtsarchief.nl/collectie/43DDCAF0657C5AEA9C424AF1B0606A8C","Het spoor van de dertiende penning F Doeleman 125-140 1981")</f>
        <v>0</v>
      </c>
      <c r="D3188" s="1">
        <f>hyperlink("http://dspace.library.uu.nl/handle/1874/242566","De put aan de Duistere weg Ch H Delfin 24 1983")</f>
        <v>0</v>
      </c>
    </row>
    <row r="3189" spans="2:4">
      <c r="B3189">
        <v>53</v>
      </c>
      <c r="C3189" s="1">
        <f>hyperlink("https://hetutrechtsarchief.nl/collectie/C513C7AFC37354B685513AD8AE50ABC0","De nauwe Potterstraat een wandeling door het oude Utrecht A van Hulzen 19-21 2001")</f>
        <v>0</v>
      </c>
      <c r="D3189" s="1">
        <f>hyperlink("http://dspace.library.uu.nl/handle/1874/242567","De Weverstraat een leuke happening voor amateur-archeologen Ch H Delfin 6 - 7 1983")</f>
        <v>0</v>
      </c>
    </row>
    <row r="3190" spans="2:4">
      <c r="B3190">
        <v>66</v>
      </c>
      <c r="C3190" s="1">
        <f>hyperlink("https://hetutrechtsarchief.nl/collectie/5AA072B4BCFD5A3DB0F87ADF3008D8F9","Mevrouw Ch H Delfin-van Mourik Broekman 90 jaar Marjan G 18-19 2004")</f>
        <v>0</v>
      </c>
      <c r="D3190" s="1">
        <f>hyperlink("http://dspace.library.uu.nl/handle/1874/242568","Het grafveld bij Rhenen Ch H Delfin-van Mourik Broekman 9 - 10 1983")</f>
        <v>0</v>
      </c>
    </row>
    <row r="3191" spans="2:4">
      <c r="B3191">
        <v>57</v>
      </c>
      <c r="C3191" s="1">
        <f>hyperlink("https://hetutrechtsarchief.nl/collectie/28E4661910015FCA8EA21F5419BD23C3","Psychiatrische gezinsverpleging in Den Dolder in het begin van de 20e eeuw Hans gooszen 4-9 2017")</f>
        <v>0</v>
      </c>
      <c r="D3191" s="1">
        <f>hyperlink("http://dspace.library.uu.nl/handle/1874/242569","Achter Berg en Rijn en de fotografie rond het begin van deze eeuw H P Deys 8 - 14 1983")</f>
        <v>0</v>
      </c>
    </row>
    <row r="3192" spans="2:4">
      <c r="B3192">
        <v>57</v>
      </c>
      <c r="C3192" s="1">
        <f>hyperlink("https://hetutrechtsarchief.nl/collectie/948B0640DF666E4CE0534701000AAAD8","Hendrik Roodenburg etser en schilder van Rhenen Zijn ontmoetingen in Rhenen met andere kunstenaars Henk Deys 8-17 2019")</f>
        <v>0</v>
      </c>
      <c r="D3192" s="1">
        <f>hyperlink("http://dspace.library.uu.nl/handle/1874/242570","Hendrik Roodenburg etser en schilder H P Deys 14 - 22 1983")</f>
        <v>0</v>
      </c>
    </row>
    <row r="3193" spans="2:4">
      <c r="B3193">
        <v>60</v>
      </c>
      <c r="C3193" s="1">
        <f>hyperlink("https://hetutrechtsarchief.nl/collectie/BB4B988DA5B353D4BC92AD5EDF675FB4","Een praatje bij een plaatje H P Deys 23-30 2001")</f>
        <v>0</v>
      </c>
      <c r="D3193" s="1">
        <f>hyperlink("http://dspace.library.uu.nl/handle/1874/242571","Mijn naam is Van Laar H P Deys 17 - 20 1983")</f>
        <v>0</v>
      </c>
    </row>
    <row r="3194" spans="2:4">
      <c r="B3194">
        <v>59</v>
      </c>
      <c r="C3194" s="1">
        <f>hyperlink("https://hetutrechtsarchief.nl/collectie/30CC9196D6DC58D1B7C3ACBDC8AEE6CC","De grens tussen Amerongen en Rhenen H P Deys 6-13 2006")</f>
        <v>0</v>
      </c>
      <c r="D3194" s="1">
        <f>hyperlink("http://dspace.library.uu.nl/handle/1874/242572","Verloren gewaande tekeningen weer terug in Rhenen H P Deys 11 - 16 1983")</f>
        <v>0</v>
      </c>
    </row>
    <row r="3195" spans="2:4">
      <c r="B3195">
        <v>58</v>
      </c>
      <c r="C3195" s="1">
        <f>hyperlink("https://hetutrechtsarchief.nl/collectie/77270278F648E433E0534701000AB084","Een aanwinst voor het museum Christus en de Samaritaanse vrouw Annabel Dijkema 24-26 2018")</f>
        <v>0</v>
      </c>
      <c r="D3195" s="1">
        <f>hyperlink("http://dspace.library.uu.nl/handle/1874/242573","Belangrijke aanwinst voor het Streekmuseum Rhenen Trudi Heijenga 8 - 10 1983")</f>
        <v>0</v>
      </c>
    </row>
    <row r="3196" spans="2:4">
      <c r="B3196">
        <v>56</v>
      </c>
      <c r="C3196" s="1">
        <f>hyperlink("https://hetutrechtsarchief.nl/collectie/AF5E953E56EB552DB0FA35C168AF708C","De wasmodellen van Petrus Koning Armand Heijnen 12-13 ill 1985")</f>
        <v>0</v>
      </c>
      <c r="D3196" s="1">
        <f>hyperlink("http://dspace.library.uu.nl/handle/1874/242574","De bodebussen van de stad Rhenen Trudi Heijenga 6 - 8 11 - 12 1983")</f>
        <v>0</v>
      </c>
    </row>
    <row r="3197" spans="2:4">
      <c r="B3197">
        <v>56</v>
      </c>
      <c r="C3197" s="1">
        <f>hyperlink("https://hetutrechtsarchief.nl/collectie/1C1C83C734EB5C1DB0DA049514B1CE63","Een St Nicolaas-surprise - B A R 268 -285 1884")</f>
        <v>0</v>
      </c>
      <c r="D3197" s="1">
        <f>hyperlink("http://dspace.library.uu.nl/handle/1874/242575","Rhenense molens H Smulders 25 - 29 nr 2 p 24 - 28 1983")</f>
        <v>0</v>
      </c>
    </row>
    <row r="3198" spans="2:4">
      <c r="B3198">
        <v>58</v>
      </c>
      <c r="C3198" s="1">
        <f>hyperlink("https://hetutrechtsarchief.nl/collectie/9A71F4E991EC52A79AFA2297C4DF81E2","Oude bewoning aan de Valkestraat Ron Hulst 2-3 2004")</f>
        <v>0</v>
      </c>
      <c r="D3198" s="1">
        <f>hyperlink("http://dspace.library.uu.nl/handle/1874/242580","Oude woonhuizen aan de Weverstraat H E Dekhuijzen 17 - 19 nr 3 p 19 - 20 1984")</f>
        <v>0</v>
      </c>
    </row>
    <row r="3199" spans="2:4">
      <c r="B3199">
        <v>58</v>
      </c>
      <c r="C3199" s="1">
        <f>hyperlink("https://hetutrechtsarchief.nl/collectie/5AA072B4BCFD5A3DB0F87ADF3008D8F9","Mevrouw Ch H Delfin-van Mourik Broekman 90 jaar Marjan G 18-19 2004")</f>
        <v>0</v>
      </c>
      <c r="D3199" s="1">
        <f>hyperlink("http://dspace.library.uu.nl/handle/1874/242581","Waar blijft de vroeg-middeleeuwse bewoning Lot Delfin-van Mourik Broekman 15 - 16 1984")</f>
        <v>0</v>
      </c>
    </row>
    <row r="3200" spans="2:4">
      <c r="B3200">
        <v>59</v>
      </c>
      <c r="C3200" s="1">
        <f>hyperlink("https://hetutrechtsarchief.nl/collectie/910F2A1116515B2890FD3DD240E82116","De oude archieven van de gemeente Harmelen K Heeringa 299-325 1922")</f>
        <v>0</v>
      </c>
      <c r="D3200" s="1">
        <f>hyperlink("http://dspace.library.uu.nl/handle/1874/242582","Hoe was de inrichting van de Rhenense molen H Smulders 20 - 25 1984")</f>
        <v>0</v>
      </c>
    </row>
    <row r="3201" spans="2:4">
      <c r="B3201">
        <v>100</v>
      </c>
      <c r="C3201" s="1">
        <f>hyperlink("https://hetutrechtsarchief.nl/collectie/3ED8E9BAB21753CDBFA27B1FE1E15EA4","Verdwenen spiekers en hooibergen Hens Dekker 5-19 2008")</f>
        <v>0</v>
      </c>
      <c r="D3201" s="1">
        <f>hyperlink("http://dspace.library.uu.nl/handle/1874/242583","Verdwenen spiekers en hooibergen Hens Dekker 5-19 2008")</f>
        <v>0</v>
      </c>
    </row>
    <row r="3202" spans="2:4">
      <c r="B3202">
        <v>100</v>
      </c>
      <c r="C3202" s="1">
        <f>hyperlink("https://hetutrechtsarchief.nl/collectie/7EC11859BAED54A5A22C44CAB312F287","Sigillum Ecclesiae Rhenensis II een uniek en bijzonder Hervormd kerkzegel Willem H Strous 20-21 2008")</f>
        <v>0</v>
      </c>
      <c r="D3202" s="1">
        <f>hyperlink("http://dspace.library.uu.nl/handle/1874/242584","Sigillum Ecclesiae Rhenensis II een uniek en bijzonder Hervormd kerkzegel Willem H Strous 20-21 2008")</f>
        <v>0</v>
      </c>
    </row>
    <row r="3203" spans="2:4">
      <c r="B3203">
        <v>100</v>
      </c>
      <c r="C3203" s="1">
        <f>hyperlink("https://hetutrechtsarchief.nl/collectie/CC259961CE4D5392A2D006E3391A143E","Markegronden in Rhenen betekenis van het woord mark G H van Rooijen 22-29 2008")</f>
        <v>0</v>
      </c>
      <c r="D3203" s="1">
        <f>hyperlink("http://dspace.library.uu.nl/handle/1874/242585","Markegronden in Rhenen betekenis van het woord mark G H van Rooijen 22-29 2008")</f>
        <v>0</v>
      </c>
    </row>
    <row r="3204" spans="2:4">
      <c r="B3204">
        <v>83</v>
      </c>
      <c r="C3204" s="1">
        <f>hyperlink("https://hetutrechtsarchief.nl/collectie/2EFB3CADFDFE5F278A34D8D6EAE0966F","Oorlogsdagboek Rhenen 4 september - 19 oktober 1944 Wim Dijkstra 30-36 2008")</f>
        <v>0</v>
      </c>
      <c r="D3204" s="1">
        <f>hyperlink("http://dspace.library.uu.nl/handle/1874/242586","Oorlogsdagboek Rhenen 4 september - 19 oktober 1944 Wessel Holleman Jet Holleman 30-36 2008")</f>
        <v>0</v>
      </c>
    </row>
    <row r="3205" spans="2:4">
      <c r="B3205">
        <v>100</v>
      </c>
      <c r="C3205" s="1">
        <f>hyperlink("https://hetutrechtsarchief.nl/collectie/03049BC079A55B37BAF1079D24CE79A5","Zegel van de Cunerakerk te Rhenen Ad J de Jong 47-52 2008")</f>
        <v>0</v>
      </c>
      <c r="D3205" s="1">
        <f>hyperlink("http://dspace.library.uu.nl/handle/1874/242587","Zegel van de Cunerakerk te Rhenen Ad J de Jong 47-52 2008")</f>
        <v>0</v>
      </c>
    </row>
    <row r="3206" spans="2:4">
      <c r="B3206">
        <v>100</v>
      </c>
      <c r="C3206" s="1">
        <f>hyperlink("https://hetutrechtsarchief.nl/collectie/662A5C817EE0578BB0AD1D4613517B2A","Enkele nieuwe inzichten in de ontginning en opzet van tabaksplantage Willem III bij Rhenen Ruurd Kok 5-19 2008")</f>
        <v>0</v>
      </c>
      <c r="D3206" s="1">
        <f>hyperlink("http://dspace.library.uu.nl/handle/1874/242588","Enkele nieuwe inzichten in de ontginning en opzet van tabaksplantage Willem III bij Rhenen Ruurd Kok 5-19 2008")</f>
        <v>0</v>
      </c>
    </row>
    <row r="3207" spans="2:4">
      <c r="B3207">
        <v>100</v>
      </c>
      <c r="C3207" s="1">
        <f>hyperlink("https://hetutrechtsarchief.nl/collectie/A3D2D3F6620D536C89A62B9827420BDC","Grote veranderingen in het naoorlogse Rhenen Hens Dekker 20-35 2008")</f>
        <v>0</v>
      </c>
      <c r="D3207" s="1">
        <f>hyperlink("http://dspace.library.uu.nl/handle/1874/242589","Grote veranderingen in het naoorlogse Rhenen Hens Dekker 20-35 2008")</f>
        <v>0</v>
      </c>
    </row>
    <row r="3208" spans="2:4">
      <c r="B3208">
        <v>100</v>
      </c>
      <c r="C3208" s="1">
        <f>hyperlink("https://hetutrechtsarchief.nl/collectie/BB14A86AF3625AC6A1F2446264E3A8F2","Jan Willem Lammers en het Stations Koffiehuis aan de Heerenstraat H P Deys 36-51 2008")</f>
        <v>0</v>
      </c>
      <c r="D3208" s="1">
        <f>hyperlink("http://dspace.library.uu.nl/handle/1874/242590","Jan Willem Lammers en het Stations Koffiehuis aan de Heerenstraat H P Deys 36-51 2008")</f>
        <v>0</v>
      </c>
    </row>
    <row r="3209" spans="2:4">
      <c r="B3209">
        <v>100</v>
      </c>
      <c r="C3209" s="1">
        <f>hyperlink("https://hetutrechtsarchief.nl/collectie/4FCE6C69C5DF5CE0A05C065007A6F592","Het gezicht op Rhenen Hendrik Jan Wolter Nescio en de Cuneratoren in de kunst Jaap Harskamp 37-46 2008")</f>
        <v>0</v>
      </c>
      <c r="D3209" s="1">
        <f>hyperlink("http://dspace.library.uu.nl/handle/1874/242591","Het gezicht op Rhenen Hendrik Jan Wolter Nescio en de Cuneratoren in de kunst Jaap Harskamp 37-46 2008")</f>
        <v>0</v>
      </c>
    </row>
    <row r="3210" spans="2:4">
      <c r="B3210">
        <v>100</v>
      </c>
      <c r="C3210" s="1">
        <f>hyperlink("https://hetutrechtsarchief.nl/collectie/DB99E3816AB55657B11E993EAA004FD1","Korte uitleg bijzondere architectuur Gedachteniskerk Rhenen Theo Peek 52-54 2008")</f>
        <v>0</v>
      </c>
      <c r="D3210" s="1">
        <f>hyperlink("http://dspace.library.uu.nl/handle/1874/242592","Korte uitleg bijzondere architectuur Gedachteniskerk Rhenen Theo Peek 52-54 2008")</f>
        <v>0</v>
      </c>
    </row>
    <row r="3211" spans="2:4">
      <c r="B3211">
        <v>57</v>
      </c>
      <c r="C3211" s="1">
        <f>hyperlink("https://hetutrechtsarchief.nl/collectie/A23BD1B249715B0798F5754C46722839","Het Rhenense dialect J P Menting 28-44 2003")</f>
        <v>0</v>
      </c>
      <c r="D3211" s="1">
        <f>hyperlink("http://dspace.library.uu.nl/handle/1874/242593","Nabranders op het dialectboek Ad J de Menting J P Jong 53-54 2008")</f>
        <v>0</v>
      </c>
    </row>
    <row r="3212" spans="2:4">
      <c r="B3212">
        <v>63</v>
      </c>
      <c r="C3212" s="1">
        <f>hyperlink("https://hetutrechtsarchief.nl/collectie/E71DADBD49BB51EDA9BC09B57C983945","Jan van Arkel bisschop van Utrecht J E A L Struick 2 ill 1970")</f>
        <v>0</v>
      </c>
      <c r="D3212" s="1">
        <f>hyperlink("http://dspace.library.uu.nl/handle/1874/242594","Jan van Arkel bisschop en soldaat J Combrink 14 - 17 1984")</f>
        <v>0</v>
      </c>
    </row>
    <row r="3213" spans="2:4">
      <c r="B3213">
        <v>57</v>
      </c>
      <c r="C3213" s="1">
        <f>hyperlink("https://hetutrechtsarchief.nl/collectie/5AA072B4BCFD5A3DB0F87ADF3008D8F9","Mevrouw Ch H Delfin-van Mourik Broekman 90 jaar Marjan G 18-19 2004")</f>
        <v>0</v>
      </c>
      <c r="D3213" s="1">
        <f>hyperlink("http://dspace.library.uu.nl/handle/1874/242595","De put onder de Puttersteeg Lot Delfin-van Mourik Broekman 25 - 26 1984")</f>
        <v>0</v>
      </c>
    </row>
    <row r="3214" spans="2:4">
      <c r="B3214">
        <v>60</v>
      </c>
      <c r="C3214" s="1">
        <f>hyperlink("https://hetutrechtsarchief.nl/collectie/A7A888585ABD5920910E1FB49E9C093F","Het Cunerafeest in Rhenen in 1571 H P Deys 75-79 ill 1987")</f>
        <v>0</v>
      </c>
      <c r="D3214" s="1">
        <f>hyperlink("http://dspace.library.uu.nl/handle/1874/242596","Het oude veerhuis van Rhenen teruggevonden H P Deys 3 - 13 1984")</f>
        <v>0</v>
      </c>
    </row>
    <row r="3215" spans="2:4">
      <c r="B3215">
        <v>54</v>
      </c>
      <c r="C3215" s="1">
        <f>hyperlink("https://hetutrechtsarchief.nl/collectie/B87EB7041FCC53948AF4F3B33DEF2393","De opgravingen op het Domplein - E 41-42 1934")</f>
        <v>0</v>
      </c>
      <c r="D3215" s="1">
        <f>hyperlink("http://dspace.library.uu.nl/handle/1874/243651","Waren er ooit Romeinen op Rhenense grond J Combrink 1 - 2 1984")</f>
        <v>0</v>
      </c>
    </row>
    <row r="3216" spans="2:4">
      <c r="B3216">
        <v>59</v>
      </c>
      <c r="C3216" s="1">
        <f>hyperlink("https://hetutrechtsarchief.nl/collectie/428641B523AE5142806FC6E0A560F34A","Waar komt de naam de Bijleveld vandaan Harm Smit 118 2005")</f>
        <v>0</v>
      </c>
      <c r="D3216" s="1">
        <f>hyperlink("http://dspace.library.uu.nl/handle/1874/243652","Waar komt de naam Schenkenschans vandaan J Combrink 2 - 3 1984")</f>
        <v>0</v>
      </c>
    </row>
    <row r="3217" spans="2:4">
      <c r="B3217">
        <v>58</v>
      </c>
      <c r="C3217" s="1">
        <f>hyperlink("https://hetutrechtsarchief.nl/collectie/05E85470ED98548FA60890E87F292B59","Over eten en nog iets S F van Heemstra 1948")</f>
        <v>0</v>
      </c>
      <c r="D3217" s="1">
        <f>hyperlink("http://dspace.library.uu.nl/handle/1874/243653","Over limietpalen en nog wat J Combrink 18 1984")</f>
        <v>0</v>
      </c>
    </row>
    <row r="3218" spans="2:4">
      <c r="B3218">
        <v>55</v>
      </c>
      <c r="C3218" s="1">
        <f>hyperlink("https://hetutrechtsarchief.nl/collectie/E6DC0A5FEFAA5102BB18E6B1B86CF012","Zorg voor leprozen in de middeleeuwen Karin Westerink 530-533 ill 1984")</f>
        <v>0</v>
      </c>
      <c r="D3218" s="1">
        <f>hyperlink("http://dspace.library.uu.nl/handle/1874/243654","Waar bleven in de zestiende eeuw de Cunera-reliquien J Combrink 23 - 24 1984")</f>
        <v>0</v>
      </c>
    </row>
    <row r="3219" spans="2:4">
      <c r="B3219">
        <v>57</v>
      </c>
      <c r="C3219" s="1">
        <f>hyperlink("https://hetutrechtsarchief.nl/collectie/C8649B05108C5DDA840B69CBA68AFEFD","Wachten op de ochtend Ben Spruijt 8 - 9 1982")</f>
        <v>0</v>
      </c>
      <c r="D3219" s="1">
        <f>hyperlink("http://dspace.library.uu.nl/handle/1874/243655","Werkzaamheden op de Rhenense molen H Smulders 15 - 20 1984")</f>
        <v>0</v>
      </c>
    </row>
    <row r="3220" spans="2:4">
      <c r="B3220">
        <v>57</v>
      </c>
      <c r="C3220" s="1">
        <f>hyperlink("https://hetutrechtsarchief.nl/collectie/483AA13DB29D58049EE067BF73C4649E","Vreemde straatnamen in De Bilt 1 en 2 P H Damst 14 54 1974")</f>
        <v>0</v>
      </c>
      <c r="D3220" s="1">
        <f>hyperlink("http://dspace.library.uu.nl/handle/1874/243656","Vreemde soldaten in Rhenen J Combrink 20 - 22 1984")</f>
        <v>0</v>
      </c>
    </row>
    <row r="3221" spans="2:4">
      <c r="B3221">
        <v>57</v>
      </c>
      <c r="C3221" s="1">
        <f>hyperlink("https://hetutrechtsarchief.nl/collectie/0B870EAE4D175A77A7C5CECBF03AAC8E","De stadsplattegronden van Jacob van Deventer H P Deys 33-47 1998")</f>
        <v>0</v>
      </c>
      <c r="D3221" s="1">
        <f>hyperlink("http://dspace.library.uu.nl/handle/1874/243657","De brandweer en de evacuatie van 1940 H P Deys 6 - 17 1984")</f>
        <v>0</v>
      </c>
    </row>
    <row r="3222" spans="2:4">
      <c r="B3222">
        <v>65</v>
      </c>
      <c r="C3222" s="1">
        <f>hyperlink("https://hetutrechtsarchief.nl/collectie/7521331482855FDDB4401ECCE8E126C6","Rhenens oude binnenstad H P Deys 16-34 1999")</f>
        <v>0</v>
      </c>
      <c r="D3222" s="1">
        <f>hyperlink("http://dspace.library.uu.nl/handle/1874/243658","Rhenen en de brandweer H P Deys 4 - 14 1984")</f>
        <v>0</v>
      </c>
    </row>
    <row r="3223" spans="2:4">
      <c r="B3223">
        <v>60</v>
      </c>
      <c r="C3223" s="1">
        <f>hyperlink("https://hetutrechtsarchief.nl/collectie/0AFBA22A0C9558698251F2E03E48AB8D","Oude huizen in de Rhenense binnenstad en hun bewoners de familie Menso Ad J de Jong 4-14 2012")</f>
        <v>0</v>
      </c>
      <c r="D3223" s="1">
        <f>hyperlink("http://dspace.library.uu.nl/handle/1874/243659","Over het oude Rhenense veer en zijn veerlieden A J de Jong 1 - 5 1984")</f>
        <v>0</v>
      </c>
    </row>
    <row r="3224" spans="2:4">
      <c r="B3224">
        <v>58</v>
      </c>
      <c r="C3224" s="1">
        <f>hyperlink("https://hetutrechtsarchief.nl/collectie/7056DB88B21A574398A8268112829673","Tevreden in het dure huis Arend Ode 11 2005")</f>
        <v>0</v>
      </c>
      <c r="D3224" s="1">
        <f>hyperlink("http://dspace.library.uu.nl/handle/1874/245801","Levenstekens uit het oude veerhuis te Rhenen Lot Delfin 17 - 21 1985")</f>
        <v>0</v>
      </c>
    </row>
    <row r="3225" spans="2:4">
      <c r="B3225">
        <v>61</v>
      </c>
      <c r="C3225" s="1">
        <f>hyperlink("https://hetutrechtsarchief.nl/collectie/8793E516B7C85D4C890CAB3FFBDC0B92","De militaire werken aan de Kromme Rijn J Belonje 180 - 181 1982")</f>
        <v>0</v>
      </c>
      <c r="D3225" s="1">
        <f>hyperlink("http://dspace.library.uu.nl/handle/1874/245802","De lijkenploeg van het Rode Kruis J C Koekoek 10 - 19 1985")</f>
        <v>0</v>
      </c>
    </row>
    <row r="3226" spans="2:4">
      <c r="B3226">
        <v>60</v>
      </c>
      <c r="C3226" s="1">
        <f>hyperlink("https://hetutrechtsarchief.nl/collectie/7521331482855FDDB4401ECCE8E126C6","Rhenens oude binnenstad H P Deys 16-34 1999")</f>
        <v>0</v>
      </c>
      <c r="D3226" s="1">
        <f>hyperlink("http://dspace.library.uu.nl/handle/1874/245803","Rhenen in 1939 en 1940 H P Deys 35 - 40 1985")</f>
        <v>0</v>
      </c>
    </row>
    <row r="3227" spans="2:4">
      <c r="B3227">
        <v>55</v>
      </c>
      <c r="C3227" s="1">
        <f>hyperlink("https://hetutrechtsarchief.nl/collectie/CB7E9F5F03A658C985F736FD689D31C3","Dolderse gemobiliseerde militairen in de meidagen van 1940 R P M Rhoen 6-9 2015")</f>
        <v>0</v>
      </c>
      <c r="D3227" s="1">
        <f>hyperlink("http://dspace.library.uu.nl/handle/1874/245804","Een ooggetuige vertelt meidagen 1940 J Combrink 6 - 9 1985")</f>
        <v>0</v>
      </c>
    </row>
    <row r="3228" spans="2:4">
      <c r="B3228">
        <v>57</v>
      </c>
      <c r="C3228" s="1">
        <f>hyperlink("https://hetutrechtsarchief.nl/collectie/DE474DD3BA865E439317F50292DC5B93","Herbouw van de windgraanmolen in 1943 Ton Hartman 40-42 2016")</f>
        <v>0</v>
      </c>
      <c r="D3228" s="1">
        <f>hyperlink("http://dspace.library.uu.nl/handle/1874/245805","De herbouw van Rhenen 1940-1943 W Klaassen 20 - 27 1985")</f>
        <v>0</v>
      </c>
    </row>
    <row r="3229" spans="2:4">
      <c r="B3229">
        <v>55</v>
      </c>
      <c r="C3229" s="1">
        <f>hyperlink("https://hetutrechtsarchief.nl/collectie/8793E516B7C85D4C890CAB3FFBDC0B92","De militaire werken aan de Kromme Rijn J Belonje 180 - 181 1982")</f>
        <v>0</v>
      </c>
      <c r="D3229" s="1">
        <f>hyperlink("http://dspace.library.uu.nl/handle/1874/245806","Oproer in Rhenen De plooierijen J Combrink 1 - 9 1985")</f>
        <v>0</v>
      </c>
    </row>
    <row r="3230" spans="2:4">
      <c r="B3230">
        <v>63</v>
      </c>
      <c r="C3230" s="1">
        <f>hyperlink("https://hetutrechtsarchief.nl/collectie/A7A888585ABD5920910E1FB49E9C093F","Het Cunerafeest in Rhenen in 1571 H P Deys 75-79 ill 1987")</f>
        <v>0</v>
      </c>
      <c r="D3230" s="1">
        <f>hyperlink("http://dspace.library.uu.nl/handle/1874/245807","Het oude veerhuis te Rhenen H P Deys 6 - 16 1985")</f>
        <v>0</v>
      </c>
    </row>
    <row r="3231" spans="2:4">
      <c r="B3231">
        <v>60</v>
      </c>
      <c r="C3231" s="1">
        <f>hyperlink("https://hetutrechtsarchief.nl/collectie/03049BC079A55B37BAF1079D24CE79A5","Zegel van de Cunerakerk te Rhenen Ad J de Jong 47-52 2008")</f>
        <v>0</v>
      </c>
      <c r="D3231" s="1">
        <f>hyperlink("http://dspace.library.uu.nl/handle/1874/245808","Oude wegen naar het veer bij Rhenen A J de Jong 10 - 16 1985")</f>
        <v>0</v>
      </c>
    </row>
    <row r="3232" spans="2:4">
      <c r="B3232">
        <v>98</v>
      </c>
      <c r="C3232" s="1">
        <f>hyperlink("https://hetutrechtsarchief.nl/collectie/AC4EE2D473B75F2287EA50788D0B459B","Kalkzandsteen fabriek Vogelenzang 1914-2001 H P Deys 3-82 2002")</f>
        <v>0</v>
      </c>
      <c r="D3232" s="1">
        <f>hyperlink("http://dspace.library.uu.nl/handle/1874/245809","Kalkzandsteenfabriek Vogelenzang 1914-2001 H P Deys 1-82 2002")</f>
        <v>0</v>
      </c>
    </row>
    <row r="3233" spans="2:4">
      <c r="B3233">
        <v>100</v>
      </c>
      <c r="C3233" s="1">
        <f>hyperlink("https://hetutrechtsarchief.nl/collectie/7BF2EB7CA30A5B178F0FC00F5CE77893","Over het Rhenense stadsrecht en het Rhenense burger zegel Ph J van Dael 5-38 2002")</f>
        <v>0</v>
      </c>
      <c r="D3233" s="1">
        <f>hyperlink("http://dspace.library.uu.nl/handle/1874/245810","Over het Rhenense stadsrecht en het Rhenense burger zegel Ph J van Dael 5-38 2002")</f>
        <v>0</v>
      </c>
    </row>
    <row r="3234" spans="2:4">
      <c r="B3234">
        <v>94</v>
      </c>
      <c r="C3234" s="1">
        <f>hyperlink("https://hetutrechtsarchief.nl/collectie/A808B2F593465F5A88364370244573A8","Rhenen heeft opnieuw een Leichel-orgel W G Hulsman en M Vermeulen 39-50 2002")</f>
        <v>0</v>
      </c>
      <c r="D3234" s="1">
        <f>hyperlink("http://dspace.library.uu.nl/handle/1874/245811","Rhenen heeft opnieuw een Leichel-orgel M Hulsman W G Vermeulen 39-50 2002")</f>
        <v>0</v>
      </c>
    </row>
    <row r="3235" spans="2:4">
      <c r="B3235">
        <v>100</v>
      </c>
      <c r="C3235" s="1">
        <f>hyperlink("https://hetutrechtsarchief.nl/collectie/CBBF665B6A7F5050AF7EE68D399E7E37","Het project Ringwalburcht op de Heimenberg Hans Smulders 51-62 2002")</f>
        <v>0</v>
      </c>
      <c r="D3235" s="1">
        <f>hyperlink("http://dspace.library.uu.nl/handle/1874/245812","Het project Ringwalburcht op de Heimenberg Hans Smulders 51-62 2002")</f>
        <v>0</v>
      </c>
    </row>
    <row r="3236" spans="2:4">
      <c r="B3236">
        <v>100</v>
      </c>
      <c r="C3236" s="1">
        <f>hyperlink("https://hetutrechtsarchief.nl/collectie/76547705B82A5E3C8235AAE41FC8CBBB","De rol van de Cuneratoren in de landmeetkunde D Wesselink 6-29 2002")</f>
        <v>0</v>
      </c>
      <c r="D3236" s="1">
        <f>hyperlink("http://dspace.library.uu.nl/handle/1874/245813","De rol van de Cuneratoren in de landmeetkunde D Wesselink 6-29 2002")</f>
        <v>0</v>
      </c>
    </row>
    <row r="3237" spans="2:4">
      <c r="B3237">
        <v>75</v>
      </c>
      <c r="C3237" s="1">
        <f>hyperlink("https://hetutrechtsarchief.nl/collectie/0BD4FD99495450688B9B4D1CB1793A0B","Brugslagoefening Pluto 1954 A C Snaterse en Willem H Strous 32-37 2002")</f>
        <v>0</v>
      </c>
      <c r="D3237" s="1">
        <f>hyperlink("http://dspace.library.uu.nl/handle/1874/245814","Brugslagoefening Pluto Willem H Snaterse A C Strous 2002")</f>
        <v>0</v>
      </c>
    </row>
    <row r="3238" spans="2:4">
      <c r="B3238">
        <v>100</v>
      </c>
      <c r="C3238" s="1">
        <f>hyperlink("https://hetutrechtsarchief.nl/collectie/5E0E947864BA5BBBBC7D822A698EBF71","J van Manen Adriaanszn en de kunst Marius van Dam 38-51 2002")</f>
        <v>0</v>
      </c>
      <c r="D3238" s="1">
        <f>hyperlink("http://dspace.library.uu.nl/handle/1874/245815","J van Manen Adriaanszn en de kunst Marius van Dam 38-51 2002")</f>
        <v>0</v>
      </c>
    </row>
    <row r="3239" spans="2:4">
      <c r="B3239">
        <v>100</v>
      </c>
      <c r="C3239" s="1">
        <f>hyperlink("https://hetutrechtsarchief.nl/collectie/92648B40584B5B0DABE0B4D3402CBA61","Het heraldische brandijzer van Rhenen Anton C Zeven 52-53 2002")</f>
        <v>0</v>
      </c>
      <c r="D3239" s="1">
        <f>hyperlink("http://dspace.library.uu.nl/handle/1874/245816","Het heraldische brandijzer van Rhenen Anton C Zeven 52-53 2002")</f>
        <v>0</v>
      </c>
    </row>
    <row r="3240" spans="2:4">
      <c r="B3240">
        <v>55</v>
      </c>
      <c r="C3240" s="1">
        <f>hyperlink("https://hetutrechtsarchief.nl/collectie/10415EA3A7705E659F28CB71291BB9EC","Studentensportvoorziening 8 - 9 1982")</f>
        <v>0</v>
      </c>
      <c r="D3240" s="1">
        <f>hyperlink("http://dspace.library.uu.nl/handle/1874/245817","Voedseltransporten ter noodvoorziening in 1945 H J Blaas 28 - 35 1985")</f>
        <v>0</v>
      </c>
    </row>
    <row r="3241" spans="2:4">
      <c r="B3241">
        <v>59</v>
      </c>
      <c r="C3241" s="1">
        <f>hyperlink("https://hetutrechtsarchief.nl/collectie/51A1AF049E775965BED8020B2834B89A","Frederik en Elisabeth van de Palts in Rhenen Aleid van de Bunt 51-52 1959")</f>
        <v>0</v>
      </c>
      <c r="D3241" s="1">
        <f>hyperlink("http://dspace.library.uu.nl/handle/1874/245818","Frederik van de Paltz en zijn familie J Combrink 1 - 4 1985")</f>
        <v>0</v>
      </c>
    </row>
    <row r="3242" spans="2:4">
      <c r="B3242">
        <v>59</v>
      </c>
      <c r="C3242" s="1">
        <f>hyperlink("https://hetutrechtsarchief.nl/collectie/A2CD07A4CA3552779D8056EDC8F015A6","De maarschalken van het Sticht J H Hofman 24 -26 1905")</f>
        <v>0</v>
      </c>
      <c r="D3242" s="1">
        <f>hyperlink("http://dspace.library.uu.nl/handle/1874/245819","De weg naar Rhenen vanuit het oosten J Combrink 20 1985")</f>
        <v>0</v>
      </c>
    </row>
    <row r="3243" spans="2:4">
      <c r="B3243">
        <v>57</v>
      </c>
      <c r="C3243" s="1">
        <f>hyperlink("https://hetutrechtsarchief.nl/collectie/47761ED4A6FC58A394E870EC3AAF4B9B","Veldnamen P J Meertens 93-94 1954")</f>
        <v>0</v>
      </c>
      <c r="D3243" s="1">
        <f>hyperlink("http://dspace.library.uu.nl/handle/1874/245820","Van namen gesproken J Combrink 9 1985")</f>
        <v>0</v>
      </c>
    </row>
    <row r="3244" spans="2:4">
      <c r="B3244">
        <v>58</v>
      </c>
      <c r="C3244" s="1">
        <f>hyperlink("https://hetutrechtsarchief.nl/collectie/4861818F01A85FC99164407FCA056713","De kei van Achterberg Hans Heesen 14-15 2011")</f>
        <v>0</v>
      </c>
      <c r="D3244" s="1">
        <f>hyperlink("http://dspace.library.uu.nl/handle/1874/245821","De vlag van Achterberg J Combrink 22 - 24 1985")</f>
        <v>0</v>
      </c>
    </row>
    <row r="3245" spans="2:4">
      <c r="B3245">
        <v>83</v>
      </c>
      <c r="C3245" s="1">
        <f>hyperlink("https://hetutrechtsarchief.nl/collectie/4ED28A5A200051FCA372600BC6F6CA05","De familie van Laar te Rhenen genealogie en heraldiek A J de Jong 7-27 1999")</f>
        <v>0</v>
      </c>
      <c r="D3245" s="1">
        <f>hyperlink("http://dspace.library.uu.nl/handle/1874/245856","De familie van Laar te Rhenen genealogie en heraldiek A J de Jong 5-27 jg 19 2000 no 1 p 22-28 1999-2000")</f>
        <v>0</v>
      </c>
    </row>
    <row r="3246" spans="2:4">
      <c r="B3246">
        <v>100</v>
      </c>
      <c r="C3246" s="1">
        <f>hyperlink("https://hetutrechtsarchief.nl/collectie/1BD9C83060ED59C89EE13D037C741157","Rhenen en het Rampjaar 1672 H P Deys 5-21 2000")</f>
        <v>0</v>
      </c>
      <c r="D3246" s="1">
        <f>hyperlink("http://dspace.library.uu.nl/handle/1874/245857","Rhenen en het Rampjaar 1672 H P Deys 5-21 2000")</f>
        <v>0</v>
      </c>
    </row>
    <row r="3247" spans="2:4">
      <c r="B3247">
        <v>100</v>
      </c>
      <c r="C3247" s="1">
        <f>hyperlink("https://hetutrechtsarchief.nl/collectie/2BB3BD0E1A275A8AB2CC9D0E99CB5B67","De Slag op de Grebbeberg A J van Drunen 29-33 2000")</f>
        <v>0</v>
      </c>
      <c r="D3247" s="1">
        <f>hyperlink("http://dspace.library.uu.nl/handle/1874/245858","De Slag op de Grebbeberg A J van Drunen 29-33 2000")</f>
        <v>0</v>
      </c>
    </row>
    <row r="3248" spans="2:4">
      <c r="B3248">
        <v>100</v>
      </c>
      <c r="C3248" s="1">
        <f>hyperlink("https://hetutrechtsarchief.nl/collectie/76F5704D82CB5FBAA93E5DD675384F3B","Restauratie beiaard Cuneratoren H B Gieszen 34-44 2000")</f>
        <v>0</v>
      </c>
      <c r="D3248" s="1">
        <f>hyperlink("http://dspace.library.uu.nl/handle/1874/245859","Restauratie beiaard Cuneratoren H B Gieszen 34-44 2000")</f>
        <v>0</v>
      </c>
    </row>
    <row r="3249" spans="2:4">
      <c r="B3249">
        <v>100</v>
      </c>
      <c r="C3249" s="1">
        <f>hyperlink("https://hetutrechtsarchief.nl/collectie/7A4EECB16E565020B0E52C0D8B37EC50","Het briefgeheim ontsluierd A A Udo 5-17 2001")</f>
        <v>0</v>
      </c>
      <c r="D3249" s="1">
        <f>hyperlink("http://dspace.library.uu.nl/handle/1874/245860","Het briefgeheim ontsluierd A A Udo 5-17 2001")</f>
        <v>0</v>
      </c>
    </row>
    <row r="3250" spans="2:4">
      <c r="B3250">
        <v>100</v>
      </c>
      <c r="C3250" s="1">
        <f>hyperlink("https://hetutrechtsarchief.nl/collectie/07B9A17CF1E7508EAE7E6597B6F599B2","Een belangrijke archeologische vondst Lot Delfin 18-19 2001")</f>
        <v>0</v>
      </c>
      <c r="D3250" s="1">
        <f>hyperlink("http://dspace.library.uu.nl/handle/1874/245861","Een belangrijke archeologische vondst Lot Delfin 18-19 2001")</f>
        <v>0</v>
      </c>
    </row>
    <row r="3251" spans="2:4">
      <c r="B3251">
        <v>89</v>
      </c>
      <c r="C3251" s="1">
        <f>hyperlink("https://hetutrechtsarchief.nl/collectie/CBFC4BD44C27523F89342009491431E0","Rhenense geslachten de familie de Jong A J de Jong en J de Jong 20-31 2001")</f>
        <v>0</v>
      </c>
      <c r="D3251" s="1">
        <f>hyperlink("http://dspace.library.uu.nl/handle/1874/245862","Rhenense geslachten de familie de Jong J de Jong A J de Jong 20-31 no 3 p 5-22 2001")</f>
        <v>0</v>
      </c>
    </row>
    <row r="3252" spans="2:4">
      <c r="B3252">
        <v>92</v>
      </c>
      <c r="C3252" s="1">
        <f>hyperlink("https://hetutrechtsarchief.nl/collectie/AA9AFD23013E5F9F9A670F8DADD42DA0","De Kruiponder H Dekker en H P Deijs 5-16 2001")</f>
        <v>0</v>
      </c>
      <c r="D3252" s="1">
        <f>hyperlink("http://dspace.library.uu.nl/handle/1874/245863","De Kruiponder H P Dekker H Deijs 5-16 2001")</f>
        <v>0</v>
      </c>
    </row>
    <row r="3253" spans="2:4">
      <c r="B3253">
        <v>97</v>
      </c>
      <c r="C3253" s="1">
        <f>hyperlink("https://hetutrechtsarchief.nl/collectie/81EB03C093595E1ABB59F04D4444F6B8","Raadsels rond de Remmerden Ton van Drunen 17-22 2001")</f>
        <v>0</v>
      </c>
      <c r="D3253" s="1">
        <f>hyperlink("http://dspace.library.uu.nl/handle/1874/245864","Raadsels rond Remmerden Ton van Drunen 17-22 2001")</f>
        <v>0</v>
      </c>
    </row>
    <row r="3254" spans="2:4">
      <c r="B3254">
        <v>96</v>
      </c>
      <c r="C3254" s="1">
        <f>hyperlink("https://hetutrechtsarchief.nl/collectie/BB4B988DA5B353D4BC92AD5EDF675FB4","Een praatje bij een plaatje H P Deys 23-30 2001")</f>
        <v>0</v>
      </c>
      <c r="D3254" s="1">
        <f>hyperlink("http://dspace.library.uu.nl/handle/1874/245865","Een praatje bij een plaatje H P Deys 23-29 2001")</f>
        <v>0</v>
      </c>
    </row>
    <row r="3255" spans="2:4">
      <c r="B3255">
        <v>99</v>
      </c>
      <c r="C3255" s="1">
        <f>hyperlink("https://hetutrechtsarchief.nl/collectie/7690CFF5BB605FF9A9A9B8609094DBEE","De Bank van lening te Rhenen 1292 1611-1853 Willem H Strous 31-66 2001")</f>
        <v>0</v>
      </c>
      <c r="D3255" s="1">
        <f>hyperlink("http://dspace.library.uu.nl/handle/1874/245866","De Bank van lening te Rhenen 1292 1611-1853 Willem H Strous 30-66 2001")</f>
        <v>0</v>
      </c>
    </row>
    <row r="3256" spans="2:4">
      <c r="B3256">
        <v>100</v>
      </c>
      <c r="C3256" s="1">
        <f>hyperlink("https://hetutrechtsarchief.nl/collectie/7889475F28D35F56B6C6A1A3D35417C2","of op de bagijnekamer op de toren Willem H Strous 35-41 2001")</f>
        <v>0</v>
      </c>
      <c r="D3256" s="1">
        <f>hyperlink("http://dspace.library.uu.nl/handle/1874/245867","of op de bagijnekamer op de toren Willem H Strous 35-41 2001")</f>
        <v>0</v>
      </c>
    </row>
    <row r="3257" spans="2:4">
      <c r="B3257">
        <v>100</v>
      </c>
      <c r="C3257" s="1">
        <f>hyperlink("https://hetutrechtsarchief.nl/collectie/A31F56F18DC056E8AB4E0B0F40E00D9E","Herdenkingspenning Beelaerts 1412-1912 gevonden op de Laarse Berg te Rhenen A J de Jong 35-36 2001")</f>
        <v>0</v>
      </c>
      <c r="D3257" s="1">
        <f>hyperlink("http://dspace.library.uu.nl/handle/1874/245868","Herdenkingspenning Beelaerts 1412-1912 gevonden op de Laarse Berg te Rhenen A J de Jong 35-36 2001")</f>
        <v>0</v>
      </c>
    </row>
    <row r="3258" spans="2:4">
      <c r="B3258">
        <v>100</v>
      </c>
      <c r="C3258" s="1">
        <f>hyperlink("https://hetutrechtsarchief.nl/collectie/A7258D627CCB54D784A11C4A99EB5F2C","Het Spoorgat te Rhenen Willem H Strous 23-34 2001")</f>
        <v>0</v>
      </c>
      <c r="D3258" s="1">
        <f>hyperlink("http://dspace.library.uu.nl/handle/1874/245869","Het Spoorgat te Rhenen Willem H Strous 23-34 2001")</f>
        <v>0</v>
      </c>
    </row>
    <row r="3259" spans="2:4">
      <c r="B3259">
        <v>61</v>
      </c>
      <c r="C3259" s="1">
        <f>hyperlink("https://hetutrechtsarchief.nl/collectie/760AAD51846D5FC5840519D07BBF1204","Rhenen en de familie Van Amerongen Ad J de Jong 17-20 2006")</f>
        <v>0</v>
      </c>
      <c r="D3259" s="1">
        <f>hyperlink("http://dspace.library.uu.nl/handle/1874/245870","Hoe nu verder met de Koningstafel A J de Jong 37-38 2001")</f>
        <v>0</v>
      </c>
    </row>
    <row r="3260" spans="2:4">
      <c r="B3260">
        <v>99</v>
      </c>
      <c r="C3260" s="1">
        <f>hyperlink("https://hetutrechtsarchief.nl/collectie/88E77E0513B95CEEB8E137587F1AE003","De camping de Thijmse Berg zestig jaar kamperen in Rhenen H P Deys 5-50 2000")</f>
        <v>0</v>
      </c>
      <c r="D3260" s="1">
        <f>hyperlink("http://dspace.library.uu.nl/handle/1874/248848","De camping de Thijmse Berg zestig jaar kamperen in Rhenen H P Deys 4-50 2000")</f>
        <v>0</v>
      </c>
    </row>
    <row r="3261" spans="2:4">
      <c r="B3261">
        <v>84</v>
      </c>
      <c r="C3261" s="1">
        <f>hyperlink("https://hetutrechtsarchief.nl/collectie/10AFE6DCCA305EE89D841B4216C90B78","Kegelclub Paul Kr ger de geschiedenis van 100 jaar kegelen in Rhenen over de lange plank met breed uiteinde G J Poesse met medew van L M J Kallen et al 5-39")</f>
        <v>0</v>
      </c>
      <c r="D3261" s="1">
        <f>hyperlink("http://dspace.library.uu.nl/handle/1874/248849","Kegelclub Paul Kr ger de geschiedenis van 100 jaar kegelen in Rhenen over de langste plank met breed uiteinde W Poesse G J Kallen L M J Nijenhuis G W Stevens 5-39 2000")</f>
        <v>0</v>
      </c>
    </row>
    <row r="3262" spans="2:4">
      <c r="B3262">
        <v>82</v>
      </c>
      <c r="C3262" s="1">
        <f>hyperlink("https://hetutrechtsarchief.nl/collectie/8E1E90B1B0995F5E8BFFDE57C47B17E9","Wie het kleine niet eert 43-48 2000")</f>
        <v>0</v>
      </c>
      <c r="D3262" s="1">
        <f>hyperlink("http://dspace.library.uu.nl/handle/1874/248850","Wie het kleine niet eert A J van Drunen 43-48 2000")</f>
        <v>0</v>
      </c>
    </row>
    <row r="3263" spans="2:4">
      <c r="B3263">
        <v>77</v>
      </c>
      <c r="C3263" s="1">
        <f>hyperlink("https://hetutrechtsarchief.nl/collectie/2A517BCC1F5755BCABE6604BA93177A2","Twee brieven aan gemeentesecretaris Menso H P Deys 49-54 2000")</f>
        <v>0</v>
      </c>
      <c r="D3263" s="1">
        <f>hyperlink("http://dspace.library.uu.nl/handle/1874/248851","Twee brieven aan gemeentesecretaris Menso J B Deys H P Reuvens C J C Christemeijer 49-54 2000")</f>
        <v>0</v>
      </c>
    </row>
    <row r="3264" spans="2:4">
      <c r="B3264">
        <v>100</v>
      </c>
      <c r="C3264" s="1">
        <f>hyperlink("https://hetutrechtsarchief.nl/collectie/2D66D2ACFD7950F1A1FC0785981DAFEF","Een brief uit Rhenen en het verongelukte vliegtuig De Uiver A J de Jong 40-42 2000")</f>
        <v>0</v>
      </c>
      <c r="D3264" s="1">
        <f>hyperlink("http://dspace.library.uu.nl/handle/1874/248852","Een brief uit Rhenen en het verongelukte vliegtuig De Uiver A J de Jong 40-42 2000")</f>
        <v>0</v>
      </c>
    </row>
    <row r="3265" spans="2:4">
      <c r="B3265">
        <v>92</v>
      </c>
      <c r="C3265" s="1">
        <f>hyperlink("https://hetutrechtsarchief.nl/collectie/9315FCA759F8555886F631343AEBD3AE","De Udo s aan het veer te Rhenen 1862-1925 A A Udo 5-17 ill portr 1999")</f>
        <v>0</v>
      </c>
      <c r="D3265" s="1">
        <f>hyperlink("http://dspace.library.uu.nl/handle/1874/248853","De Udo s aan het veer te Rhenen 1862-1925 A A Udo 5-17 1999")</f>
        <v>0</v>
      </c>
    </row>
    <row r="3266" spans="2:4">
      <c r="B3266">
        <v>100</v>
      </c>
      <c r="C3266" s="1">
        <f>hyperlink("https://hetutrechtsarchief.nl/collectie/C4CD73FD666B5E229A28553D0E6F82CE","Jacob van Manen Adriaanszn Utrecht 1752 - Rhenen 1822 patriot en schrijver opvoedkundige en bestuurder Willem H Strous 5-11 1998")</f>
        <v>0</v>
      </c>
      <c r="D3266" s="1">
        <f>hyperlink("http://dspace.library.uu.nl/handle/1874/248859","Jacob van Manen Adriaanszn Utrecht 1752 - Rhenen 1822 patriot en schrijver opvoedkundige en bestuurder Willem H Strous 5-11 1998")</f>
        <v>0</v>
      </c>
    </row>
    <row r="3267" spans="2:4">
      <c r="B3267">
        <v>96</v>
      </c>
      <c r="C3267" s="1">
        <f>hyperlink("https://hetutrechtsarchief.nl/collectie/EE902F06A84950CD8E873D4825C0BA57","Putten en pompen in Rhenen H P Deys 12-37 ill 1998")</f>
        <v>0</v>
      </c>
      <c r="D3267" s="1">
        <f>hyperlink("http://dspace.library.uu.nl/handle/1874/248860","Putten en pompen in Rhenen H P Deys 12-37 1998")</f>
        <v>0</v>
      </c>
    </row>
    <row r="3268" spans="2:4">
      <c r="B3268">
        <v>98</v>
      </c>
      <c r="C3268" s="1">
        <f>hyperlink("https://hetutrechtsarchief.nl/collectie/067226A857B3511DB53E02FC73689525","De Historische Vereniging Oudheidkamer Rhenen en omstreken 90 jaar H P Deys 22-37 ill 1998")</f>
        <v>0</v>
      </c>
      <c r="D3268" s="1">
        <f>hyperlink("http://dspace.library.uu.nl/handle/1874/248861","De Historische Vereniging Oudheidkamer Rhenen en omstreken 90 jaar H P Deys 22-37 1998")</f>
        <v>0</v>
      </c>
    </row>
    <row r="3269" spans="2:4">
      <c r="B3269">
        <v>90</v>
      </c>
      <c r="C3269" s="1">
        <f>hyperlink("https://hetutrechtsarchief.nl/collectie/8F27DFAE3FA95404BBFEA6564096C588","Drie Rhenense pottenbakkers H Dekker 38-48 ill portr 1998")</f>
        <v>0</v>
      </c>
      <c r="D3269" s="1">
        <f>hyperlink("http://dspace.library.uu.nl/handle/1874/248862","Drie Rhenense pottenbakkers H Dekker 38-48 1998")</f>
        <v>0</v>
      </c>
    </row>
    <row r="3270" spans="2:4">
      <c r="B3270">
        <v>91</v>
      </c>
      <c r="C3270" s="1">
        <f>hyperlink("https://hetutrechtsarchief.nl/collectie/A5A1FFD496A85BAAB6C6AB442B1B216D","Het Sparwoude-fonds en zijn stichtster J F Jacobs 5-19 ill portr 1998")</f>
        <v>0</v>
      </c>
      <c r="D3270" s="1">
        <f>hyperlink("http://dspace.library.uu.nl/handle/1874/248863","Het Sparwoudefonds en zijn stichtster J F Jacobs 5-19 1998")</f>
        <v>0</v>
      </c>
    </row>
    <row r="3271" spans="2:4">
      <c r="B3271">
        <v>85</v>
      </c>
      <c r="C3271" s="1">
        <f>hyperlink("https://hetutrechtsarchief.nl/collectie/C864EFEA8B0F5AEFA6EC8BEDFB2E16AF","De Reformatie in Rhenen H P Deys 21-53 ill portr 1998")</f>
        <v>0</v>
      </c>
      <c r="D3271" s="1">
        <f>hyperlink("http://dspace.library.uu.nl/handle/1874/248864","De Reformatie in Rhenen H P Deys 20-54 1998")</f>
        <v>0</v>
      </c>
    </row>
    <row r="3272" spans="2:4">
      <c r="B3272">
        <v>97</v>
      </c>
      <c r="C3272" s="1">
        <f>hyperlink("https://hetutrechtsarchief.nl/collectie/EEAC070835995AADB99929548AF0903A","Huisnamen in de binnenstad van Rhenen eind 16e eeuw A J de Jong 38-42 ill 1998")</f>
        <v>0</v>
      </c>
      <c r="D3272" s="1">
        <f>hyperlink("http://dspace.library.uu.nl/handle/1874/248865","Huisnamen in de binnenstad van Rhenen eind 16e eeuw A J de Jong 38-42 1998")</f>
        <v>0</v>
      </c>
    </row>
    <row r="3273" spans="2:4">
      <c r="B3273">
        <v>100</v>
      </c>
      <c r="C3273" s="1">
        <f>hyperlink("https://hetutrechtsarchief.nl/collectie/A361E7546CB75FE79B1D4A90BD49C46C","Twee vergeten doden uit de Meidagen van 1940 10-11 1999")</f>
        <v>0</v>
      </c>
      <c r="D3273" s="1">
        <f>hyperlink("http://dspace.library.uu.nl/handle/1874/248866","Twee vergeten doden uit de Meidagen van 1940 10-11 1999")</f>
        <v>0</v>
      </c>
    </row>
    <row r="3274" spans="2:4">
      <c r="B3274">
        <v>100</v>
      </c>
      <c r="C3274" s="1">
        <f>hyperlink("https://hetutrechtsarchief.nl/collectie/F293F83642C55CC897B94AD495227D78","Wanneer kunnen we nu vieren dat Rhenen stadsrecht werd verleend A J de Jong 12-15 1999")</f>
        <v>0</v>
      </c>
      <c r="D3274" s="1">
        <f>hyperlink("http://dspace.library.uu.nl/handle/1874/248867","Wanneer kunnen we nu vieren dat Rhenen stadsrecht werd verleend A J de Jong 12-15 1999")</f>
        <v>0</v>
      </c>
    </row>
    <row r="3275" spans="2:4">
      <c r="B3275">
        <v>100</v>
      </c>
      <c r="C3275" s="1">
        <f>hyperlink("https://hetutrechtsarchief.nl/collectie/7521331482855FDDB4401ECCE8E126C6","Rhenens oude binnenstad H P Deys 16-34 1999")</f>
        <v>0</v>
      </c>
      <c r="D3275" s="1">
        <f>hyperlink("http://dspace.library.uu.nl/handle/1874/248868","Rhenens oude binnenstad H P Deys 16-34 1999")</f>
        <v>0</v>
      </c>
    </row>
    <row r="3276" spans="2:4">
      <c r="B3276">
        <v>100</v>
      </c>
      <c r="C3276" s="1">
        <f>hyperlink("https://hetutrechtsarchief.nl/collectie/0EA87AFEFA4F5632937AFC9D0F46B7F6","Bronstijd in Elst A J van Drunen 28-33 1999")</f>
        <v>0</v>
      </c>
      <c r="D3276" s="1">
        <f>hyperlink("http://dspace.library.uu.nl/handle/1874/248869","Bronstijd in Elst A J van Drunen 28-33 1999")</f>
        <v>0</v>
      </c>
    </row>
    <row r="3277" spans="2:4">
      <c r="B3277">
        <v>100</v>
      </c>
      <c r="C3277" s="1">
        <f>hyperlink("https://hetutrechtsarchief.nl/collectie/02DFB42671FC53778064EDCE2789A39D","De molen Crescendo in Achterberg H P Deys 34-58 1999")</f>
        <v>0</v>
      </c>
      <c r="D3277" s="1">
        <f>hyperlink("http://dspace.library.uu.nl/handle/1874/248870","De molen Crescendo in Achterberg H P Deys 34-58 1999")</f>
        <v>0</v>
      </c>
    </row>
    <row r="3278" spans="2:4">
      <c r="B3278">
        <v>100</v>
      </c>
      <c r="C3278" s="1">
        <f>hyperlink("https://hetutrechtsarchief.nl/collectie/18E35BDD286E59C19AFA6F72E6E1F11C","Rhenen met reden Michel Sijnesael 59-62 1999")</f>
        <v>0</v>
      </c>
      <c r="D3278" s="1">
        <f>hyperlink("http://dspace.library.uu.nl/handle/1874/248871","Rhenen met reden Michel Sijnesael 59-62 1999")</f>
        <v>0</v>
      </c>
    </row>
    <row r="3279" spans="2:4">
      <c r="B3279">
        <v>100</v>
      </c>
      <c r="C3279" s="1">
        <f>hyperlink("https://hetutrechtsarchief.nl/collectie/698DB46A14BB536DA1E63077351551AC","Vier portretten van het geslacht Smissaert Willem H Strous 5-9 1999")</f>
        <v>0</v>
      </c>
      <c r="D3279" s="1">
        <f>hyperlink("http://dspace.library.uu.nl/handle/1874/248872","Vier portretten van het geslacht Smissaert Willem H Strous 5-9 1999")</f>
        <v>0</v>
      </c>
    </row>
    <row r="3280" spans="2:4">
      <c r="B3280">
        <v>63</v>
      </c>
      <c r="C3280" s="1">
        <f>hyperlink("https://hetutrechtsarchief.nl/collectie/EE902F06A84950CD8E873D4825C0BA57","Putten en pompen in Rhenen H P Deys 12-37 ill 1998")</f>
        <v>0</v>
      </c>
      <c r="D3280" s="1">
        <f>hyperlink("http://dspace.library.uu.nl/handle/1874/248873","Jacob van Campen predikant te Rhenen H P Deys 3-21 1997")</f>
        <v>0</v>
      </c>
    </row>
    <row r="3281" spans="2:4">
      <c r="B3281">
        <v>96</v>
      </c>
      <c r="C3281" s="1">
        <f>hyperlink("https://hetutrechtsarchief.nl/collectie/D52B86F9EC245ACF99DA9A0D571D7D3C","De Rhenense ondergrondse Ton van Drunen 26-36 ill 1999")</f>
        <v>0</v>
      </c>
      <c r="D3281" s="1">
        <f>hyperlink("http://dspace.library.uu.nl/handle/1874/248874","De Rhenense ondergrondse Ton van Drunen 26-36 1999")</f>
        <v>0</v>
      </c>
    </row>
    <row r="3282" spans="2:4">
      <c r="B3282">
        <v>96</v>
      </c>
      <c r="C3282" s="1">
        <f>hyperlink("https://hetutrechtsarchief.nl/collectie/AF696FC873D552248FD3F73E205B6641","De burgers van Rhenen Piet Leupen 18-25 ill 1999")</f>
        <v>0</v>
      </c>
      <c r="D3282" s="1">
        <f>hyperlink("http://dspace.library.uu.nl/handle/1874/248875","De burgers van Rhenen Piet Leupen 18-25 1999")</f>
        <v>0</v>
      </c>
    </row>
    <row r="3283" spans="2:4">
      <c r="B3283">
        <v>98</v>
      </c>
      <c r="C3283" s="1">
        <f>hyperlink("https://hetutrechtsarchief.nl/collectie/9398EC1B314255DBBF4984920CE75912","Smissaert en het huis de steeg en de put van de generaal Willem H Strous 37-51 ill 1999")</f>
        <v>0</v>
      </c>
      <c r="D3283" s="1">
        <f>hyperlink("http://dspace.library.uu.nl/handle/1874/248876","Smissaert en het huis de steeg en de put van de generaal Willem H Strous 37-51 1999")</f>
        <v>0</v>
      </c>
    </row>
    <row r="3284" spans="2:4">
      <c r="B3284">
        <v>57</v>
      </c>
      <c r="C3284" s="1">
        <f>hyperlink("https://hetutrechtsarchief.nl/collectie/CC0A082C754359B2920A848E078D6A73","Het gebouw de Utrecht E D Veen 79-80 ill 1971")</f>
        <v>0</v>
      </c>
      <c r="D3284" s="1">
        <f>hyperlink("http://dspace.library.uu.nl/handle/1874/248898","Het oude raadhuis te Rhenen H E Dekhuijzen 95-104 1996")</f>
        <v>0</v>
      </c>
    </row>
    <row r="3285" spans="2:4">
      <c r="B3285">
        <v>57</v>
      </c>
      <c r="C3285" s="1">
        <f>hyperlink("https://hetutrechtsarchief.nl/collectie/B23143D1C72954D7984920BEA37EE9AF","Nog een en ander over het geslacht Freys van Dolre P M van Walchren 168-170 1902")</f>
        <v>0</v>
      </c>
      <c r="D3285" s="1">
        <f>hyperlink("http://dspace.library.uu.nl/handle/1874/248899","Nog eens een gang te Rhenen Ch H Delfin-van Mourik Broekman 68-70 1996")</f>
        <v>0</v>
      </c>
    </row>
    <row r="3286" spans="2:4">
      <c r="B3286">
        <v>62</v>
      </c>
      <c r="C3286" s="1">
        <f>hyperlink("https://hetutrechtsarchief.nl/collectie/D362CB78697354D1A1A40DCB8BC0E7E4","De bestuurders in Rhenen in het midden van 19e eeuw Willem H Strous 30-52 2010")</f>
        <v>0</v>
      </c>
      <c r="D3286" s="1">
        <f>hyperlink("http://dspace.library.uu.nl/handle/1874/248900","De stadsmuur van Rhenen tegen het eind van de 16e eeuw H P Deys 109-122 1996")</f>
        <v>0</v>
      </c>
    </row>
    <row r="3287" spans="2:4">
      <c r="B3287">
        <v>60</v>
      </c>
      <c r="C3287" s="1">
        <f>hyperlink("https://hetutrechtsarchief.nl/collectie/51A1AF049E775965BED8020B2834B89A","Frederik en Elisabeth van de Palts in Rhenen Aleid van de Bunt 51-52 1959")</f>
        <v>0</v>
      </c>
      <c r="D3287" s="1">
        <f>hyperlink("http://dspace.library.uu.nl/handle/1874/248901","Frederik V van de Palts en zijn bezittingen in Rhenen H P Deys 59-87 1997")</f>
        <v>0</v>
      </c>
    </row>
    <row r="3288" spans="2:4">
      <c r="B3288">
        <v>59</v>
      </c>
      <c r="C3288" s="1">
        <f>hyperlink("https://hetutrechtsarchief.nl/collectie/7521331482855FDDB4401ECCE8E126C6","Rhenens oude binnenstad H P Deys 16-34 1999")</f>
        <v>0</v>
      </c>
      <c r="D3288" s="1">
        <f>hyperlink("http://dspace.library.uu.nl/handle/1874/248902","Rhenense torenbrand 100 jaar geleden H P Deys 88-90 1997")</f>
        <v>0</v>
      </c>
    </row>
    <row r="3289" spans="2:4">
      <c r="B3289">
        <v>63</v>
      </c>
      <c r="C3289" s="1">
        <f>hyperlink("https://hetutrechtsarchief.nl/collectie/C973D724991951E78CB8F55FF842D1EF","Graven in het verleden van Baarn werkgroep Archeologie ARWE Jan Laan 38-41 2009")</f>
        <v>0</v>
      </c>
      <c r="D3289" s="1">
        <f>hyperlink("http://dspace.library.uu.nl/handle/1874/248903","Van binnen en buiten kroniek van de Werkgroep Archeologie A J van Drunen 130-131 1996")</f>
        <v>0</v>
      </c>
    </row>
    <row r="3290" spans="2:4">
      <c r="B3290">
        <v>61</v>
      </c>
      <c r="C3290" s="1">
        <f>hyperlink("https://hetutrechtsarchief.nl/collectie/D52B86F9EC245ACF99DA9A0D571D7D3C","De Rhenense ondergrondse Ton van Drunen 26-36 ill 1999")</f>
        <v>0</v>
      </c>
      <c r="D3290" s="1">
        <f>hyperlink("http://dspace.library.uu.nl/handle/1874/248904","Archeologie in Achterberg Ton van Drunen 27-32 1997")</f>
        <v>0</v>
      </c>
    </row>
    <row r="3291" spans="2:4">
      <c r="B3291">
        <v>60</v>
      </c>
      <c r="C3291" s="1">
        <f>hyperlink("https://hetutrechtsarchief.nl/collectie/E613D385AC4A579EA24B8E47803A5B4A","Een kleine zoete geschiedenis Karen Veenland-Heineman 12-17 2017")</f>
        <v>0</v>
      </c>
      <c r="D3291" s="1">
        <f>hyperlink("http://dspace.library.uu.nl/handle/1874/248905","Zomaar een familiegeschiedenis Kobus van Ingen 91-98 1997")</f>
        <v>0</v>
      </c>
    </row>
    <row r="3292" spans="2:4">
      <c r="B3292">
        <v>57</v>
      </c>
      <c r="C3292" s="1">
        <f>hyperlink("https://hetutrechtsarchief.nl/collectie/C7713A12A1205DBE84AED40DBA9A6079","Eerste vrouwelijke studente in Europa Anna Maria van Schurman 1607-1678 kunstenares en geleerde 317 2005")</f>
        <v>0</v>
      </c>
      <c r="D3292" s="1">
        <f>hyperlink("http://dspace.library.uu.nl/handle/1874/248906","De dichteres Anna Maria van Schurman 1606-1678 en Rhenen A J de Jong 105-108 1996")</f>
        <v>0</v>
      </c>
    </row>
    <row r="3293" spans="2:4">
      <c r="B3293">
        <v>54</v>
      </c>
      <c r="C3293" s="1">
        <f>hyperlink("https://hetutrechtsarchief.nl/collectie/BBF56B956D285B0A98CD0C902D392717","Het rijwiel en het wielrijden te Utrecht J D C van Dokkum 89-91 1929")</f>
        <v>0</v>
      </c>
      <c r="D3293" s="1">
        <f>hyperlink("http://dspace.library.uu.nl/handle/1874/248907","Rijwiel belastingplaatjes en Rhenens dialect J Th M Mom 84-92 1996")</f>
        <v>0</v>
      </c>
    </row>
    <row r="3294" spans="2:4">
      <c r="B3294">
        <v>60</v>
      </c>
      <c r="C3294" s="1">
        <f>hyperlink("https://hetutrechtsarchief.nl/collectie/698DB46A14BB536DA1E63077351551AC","Vier portretten van het geslacht Smissaert Willem H Strous 5-9 1999")</f>
        <v>0</v>
      </c>
      <c r="D3294" s="1">
        <f>hyperlink("http://dspace.library.uu.nl/handle/1874/248908","Het prille begin van de joodse gemeenschap in Rhenen Willem H Strous 22-27 1997")</f>
        <v>0</v>
      </c>
    </row>
    <row r="3295" spans="2:4">
      <c r="B3295">
        <v>65</v>
      </c>
      <c r="C3295" s="1">
        <f>hyperlink("https://hetutrechtsarchief.nl/collectie/EE902F06A84950CD8E873D4825C0BA57","Putten en pompen in Rhenen H P Deys 12-37 ill 1998")</f>
        <v>0</v>
      </c>
      <c r="D3295" s="1">
        <f>hyperlink("http://dspace.library.uu.nl/handle/1874/248909","Er is toch pest geweest in Rhenen H P Deys 2-3 1995")</f>
        <v>0</v>
      </c>
    </row>
    <row r="3296" spans="2:4">
      <c r="B3296">
        <v>66</v>
      </c>
      <c r="C3296" s="1">
        <f>hyperlink("https://hetutrechtsarchief.nl/collectie/0FCB4FF7304955AFAB2803CC31B65D7C","De Bataafse Omwenteling in Breukelen Wim van Schaik 47-54 2010")</f>
        <v>0</v>
      </c>
      <c r="D3296" s="1">
        <f>hyperlink("http://dspace.library.uu.nl/handle/1874/248910","De Bataafse omwenteling van 1795 in Rhenen W H Strous 5-14 1995")</f>
        <v>0</v>
      </c>
    </row>
    <row r="3297" spans="2:4">
      <c r="B3297">
        <v>52</v>
      </c>
      <c r="C3297" s="1">
        <f>hyperlink("https://hetutrechtsarchief.nl/collectie/B06AD4ABDC145277B3838A4A69E4436D","Stinkende varkens en een onverzorgd paard Jan Rouwenhorst 48-49 1999")</f>
        <v>0</v>
      </c>
      <c r="D3297" s="1">
        <f>hyperlink("http://dspace.library.uu.nl/handle/1874/248912","Luchtfoto-interpretatie en celtic fields onderzoek J A Brongers 40-41 1995")</f>
        <v>0</v>
      </c>
    </row>
    <row r="3298" spans="2:4">
      <c r="B3298">
        <v>57</v>
      </c>
      <c r="C3298" s="1">
        <f>hyperlink("https://hetutrechtsarchief.nl/collectie/63A869FD0A5D5AB5A7DF76F203B5174F","Maria van Hongarije weduwe tussen dynastie en onderdanen 5-8 ill 1993")</f>
        <v>0</v>
      </c>
      <c r="D3298" s="1">
        <f>hyperlink("http://dspace.library.uu.nl/handle/1874/248913","Jaap van Wijngaarden Redactie Oud Rhenen 52-55 1995")</f>
        <v>0</v>
      </c>
    </row>
    <row r="3299" spans="2:4">
      <c r="B3299">
        <v>66</v>
      </c>
      <c r="C3299" s="1">
        <f>hyperlink("https://hetutrechtsarchief.nl/collectie/CAA0AF7C35215E7F9E732115C8DA0A3D","De geschiedenis van het pontveer te Rhenen W van Iterson 58-109 ill 1953")</f>
        <v>0</v>
      </c>
      <c r="D3299" s="1">
        <f>hyperlink("http://dspace.library.uu.nl/handle/1874/248914","De geschiedenis van de zeepfabriek Rhenus A J de Jong 57-96 1995")</f>
        <v>0</v>
      </c>
    </row>
    <row r="3300" spans="2:4">
      <c r="B3300">
        <v>63</v>
      </c>
      <c r="C3300" s="1">
        <f>hyperlink("https://hetutrechtsarchief.nl/collectie/A8F747520477509D97DA07C0E14005E5","Archeologisch onderzoek in Vathorst van start 5-6 1999")</f>
        <v>0</v>
      </c>
      <c r="D3300" s="1">
        <f>hyperlink("http://dspace.library.uu.nl/handle/1874/248915","Archeologische werkgroep in oprichting Ton van Drunen 97-99 1995")</f>
        <v>0</v>
      </c>
    </row>
    <row r="3301" spans="2:4">
      <c r="B3301">
        <v>65</v>
      </c>
      <c r="C3301" s="1">
        <f>hyperlink("https://hetutrechtsarchief.nl/collectie/3D7ACBB9D8DA51F68251C21E68BD5D4D","Lijsters in Rhenen Henk Dekker 25-27 2013")</f>
        <v>0</v>
      </c>
      <c r="D3301" s="1">
        <f>hyperlink("http://dspace.library.uu.nl/handle/1874/248916","Melkfabrieken in Rhenen H Dekker 115-126 1995")</f>
        <v>0</v>
      </c>
    </row>
    <row r="3302" spans="2:4">
      <c r="B3302">
        <v>56</v>
      </c>
      <c r="C3302" s="1">
        <f>hyperlink("https://hetutrechtsarchief.nl/collectie/1A1F086D0A76558883D07E2A9A5E7A15","De kanselbijbel in de Cunerakerk te Rhenen Willem H Strous 27-29 2014")</f>
        <v>0</v>
      </c>
      <c r="D3302" s="1">
        <f>hyperlink("http://dspace.library.uu.nl/handle/1874/248917","Een vakantietocht in 1783 aangevuld met aantekeningen over Rhenen uit 1624-1630 Willem H Strous 127-132 1995")</f>
        <v>0</v>
      </c>
    </row>
    <row r="3303" spans="2:4">
      <c r="B3303">
        <v>67</v>
      </c>
      <c r="C3303" s="1">
        <f>hyperlink("https://hetutrechtsarchief.nl/collectie/CAA0AF7C35215E7F9E732115C8DA0A3D","De geschiedenis van het pontveer te Rhenen W van Iterson 58-109 ill 1953")</f>
        <v>0</v>
      </c>
      <c r="D3303" s="1">
        <f>hyperlink("http://dspace.library.uu.nl/handle/1874/248918","De geschiedenis van de plantage Willem III te Rhenen H P Deys 3-13 1996")</f>
        <v>0</v>
      </c>
    </row>
    <row r="3304" spans="2:4">
      <c r="B3304">
        <v>60</v>
      </c>
      <c r="C3304" s="1">
        <f>hyperlink("https://hetutrechtsarchief.nl/collectie/6D6F77984EB85A07A1E2590824249B05","De geschiedenis van de Rhenense Radiocentrale Jaap Schouten met medew van Ad J de Jong 12-31 2006")</f>
        <v>0</v>
      </c>
      <c r="D3304" s="1">
        <f>hyperlink("http://dspace.library.uu.nl/handle/1874/248919","Genealogia Klerckiana de geschiedenis van de Rhenense familie Klerck A J de Jong 14-17 1996")</f>
        <v>0</v>
      </c>
    </row>
    <row r="3305" spans="2:4">
      <c r="B3305">
        <v>65</v>
      </c>
      <c r="C3305" s="1">
        <f>hyperlink("https://hetutrechtsarchief.nl/collectie/45AB84B6F7BE51738F1C60B2A32B7DA6","Zwemmen in Rhenen Hens Dekker 35-58 2007")</f>
        <v>0</v>
      </c>
      <c r="D3305" s="1">
        <f>hyperlink("http://dspace.library.uu.nl/handle/1874/248920","Bier brouwerijen in Rhenen H Dekker 43-56 1996")</f>
        <v>0</v>
      </c>
    </row>
    <row r="3306" spans="2:4">
      <c r="B3306">
        <v>58</v>
      </c>
      <c r="C3306" s="1">
        <f>hyperlink("https://hetutrechtsarchief.nl/collectie/996473C422F052609D0BA72F9FBA8742","Jan de Haas en de padvinderij te Rhenen Geerteke de Haas 8-11 2013")</f>
        <v>0</v>
      </c>
      <c r="D3306" s="1">
        <f>hyperlink("http://dspace.library.uu.nl/handle/1874/248921","Mijn grootvader en de Rhenense goudschat Geerteke de Haas 57-67 1996")</f>
        <v>0</v>
      </c>
    </row>
    <row r="3307" spans="2:4">
      <c r="B3307">
        <v>59</v>
      </c>
      <c r="C3307" s="1">
        <f>hyperlink("https://hetutrechtsarchief.nl/collectie/6CBE09E4B7C15EA5BE78CB344B3AB712","Vijftig jaar S S R J Lansen 1-2 1956")</f>
        <v>0</v>
      </c>
      <c r="D3307" s="1">
        <f>hyperlink("http://dspace.library.uu.nl/handle/1874/248922","Rhenen vijftig jaar bevrijd 47-51 1995")</f>
        <v>0</v>
      </c>
    </row>
    <row r="3308" spans="2:4">
      <c r="B3308">
        <v>53</v>
      </c>
      <c r="C3308" s="1">
        <f>hyperlink("https://hetutrechtsarchief.nl/collectie/CFF636395855552DBCEEA58838F733A7","Grepen uit de archieven een geval van dieverij J van der Meulen 76 1979")</f>
        <v>0</v>
      </c>
      <c r="D3308" s="1">
        <f>hyperlink("http://dspace.library.uu.nl/handle/1874/248923","Grepen uit Rhenen s verleden redactiecommissie H P Deys et al H P Deys 1997")</f>
        <v>0</v>
      </c>
    </row>
    <row r="3309" spans="2:4">
      <c r="B3309">
        <v>91</v>
      </c>
      <c r="C3309" s="1">
        <f>hyperlink("https://hetutrechtsarchief.nl/collectie/B1522D4029C6594EAA579C3EDE93A8D9","Van Renen oorsprong en uitsterven van een middeleeuws adellijk geslacht t Rhenen J A Coldeweij en Ph J van Dael 401-411 1994")</f>
        <v>0</v>
      </c>
      <c r="D3309" s="1">
        <f>hyperlink("http://dspace.library.uu.nl/handle/1874/248965","Van Renen oorsprong en uitsterven van een middeleeuws adellijk geslacht te Rhenen Ph J van Coldewij J A Dael 33-48 1994")</f>
        <v>0</v>
      </c>
    </row>
    <row r="3310" spans="2:4">
      <c r="B3310">
        <v>56</v>
      </c>
      <c r="C3310" s="1">
        <f>hyperlink("https://hetutrechtsarchief.nl/collectie/5AA072B4BCFD5A3DB0F87ADF3008D8F9","Mevrouw Ch H Delfin-van Mourik Broekman 90 jaar Marjan G 18-19 2004")</f>
        <v>0</v>
      </c>
      <c r="D3310" s="1">
        <f>hyperlink("http://dspace.library.uu.nl/handle/1874/248966","Spectaculaire vondst op de Koerheuvel A J de Delfin-van Mourik Broekman Lot Jong 9-10 1994")</f>
        <v>0</v>
      </c>
    </row>
    <row r="3311" spans="2:4">
      <c r="B3311">
        <v>57</v>
      </c>
      <c r="C3311" s="1">
        <f>hyperlink("https://hetutrechtsarchief.nl/collectie/EC349239921A5D41B6C93F8AD56C8EDE","Een nieuwe beiaard voor de Onze Lieve Vrouwe-toren te Amersfoort Bob van Wely 10-16 1999")</f>
        <v>0</v>
      </c>
      <c r="D3311" s="1">
        <f>hyperlink("http://dspace.library.uu.nl/handle/1874/248967","Een niet uitgevoerd plan voor de bouw van een Rhenense watertoren H P Deys 3-8 1994")</f>
        <v>0</v>
      </c>
    </row>
    <row r="3312" spans="2:4">
      <c r="B3312">
        <v>57</v>
      </c>
      <c r="C3312" s="1">
        <f>hyperlink("https://hetutrechtsarchief.nl/collectie/21FD13BB69DC587FA3F3706D78DD4ABA","Kunstrondje om de Cunerakerk Ad J de Jong 23- 32 2004")</f>
        <v>0</v>
      </c>
      <c r="D3312" s="1">
        <f>hyperlink("http://dspace.library.uu.nl/handle/1874/248968","Over wapenborden en wapens op het vroegere orgel in de Cunerakerk A J de Jong 29-33 1994")</f>
        <v>0</v>
      </c>
    </row>
    <row r="3313" spans="2:4">
      <c r="B3313">
        <v>67</v>
      </c>
      <c r="C3313" s="1">
        <f>hyperlink("https://hetutrechtsarchief.nl/collectie/760AAD51846D5FC5840519D07BBF1204","Rhenen en de familie Van Amerongen Ad J de Jong 17-20 2006")</f>
        <v>0</v>
      </c>
      <c r="D3313" s="1">
        <f>hyperlink("http://dspace.library.uu.nl/handle/1874/248969","Wapens van de stad en families Van Rhenen A J de Jong 74-75 1994")</f>
        <v>0</v>
      </c>
    </row>
    <row r="3314" spans="2:4">
      <c r="B3314">
        <v>61</v>
      </c>
      <c r="C3314" s="1">
        <f>hyperlink("https://hetutrechtsarchief.nl/collectie/428641B523AE5142806FC6E0A560F34A","Waar komt de naam de Bijleveld vandaan Harm Smit 118 2005")</f>
        <v>0</v>
      </c>
      <c r="D3314" s="1">
        <f>hyperlink("http://dspace.library.uu.nl/handle/1874/248970","Waar komt de naam Palmerswaard vandaan A J de Jong 80-82 1994")</f>
        <v>0</v>
      </c>
    </row>
    <row r="3315" spans="2:4">
      <c r="B3315">
        <v>67</v>
      </c>
      <c r="C3315" s="1">
        <f>hyperlink("https://hetutrechtsarchief.nl/collectie/03049BC079A55B37BAF1079D24CE79A5","Zegel van de Cunerakerk te Rhenen Ad J de Jong 47-52 2008")</f>
        <v>0</v>
      </c>
      <c r="D3315" s="1">
        <f>hyperlink("http://dspace.library.uu.nl/handle/1874/248971","Afbeelding van Cunera in kerk te Amerongen A J de Jong 110 1994")</f>
        <v>0</v>
      </c>
    </row>
    <row r="3316" spans="2:4">
      <c r="B3316">
        <v>53</v>
      </c>
      <c r="C3316" s="1">
        <f>hyperlink("https://hetutrechtsarchief.nl/collectie/90146C6B4EBC5D299450C521C0B32E94","De Cuneratoren te Rhenen W van Iterson 25-44 ill 1964")</f>
        <v>0</v>
      </c>
      <c r="D3316" s="1">
        <f>hyperlink("http://dspace.library.uu.nl/handle/1874/248972","Tinsschuldplichtigen te Rhenen anno 1617 C L van Otterlo 49-50 1994")</f>
        <v>0</v>
      </c>
    </row>
    <row r="3317" spans="2:4">
      <c r="B3317">
        <v>59</v>
      </c>
      <c r="C3317" s="1">
        <f>hyperlink("https://hetutrechtsarchief.nl/collectie/44B10F3AA721569EB42EC19F098E7E6F","Schoolmeesters in Zegveld in de 16e 17e en 18e eeuw Z van Doorn 45-55 ill 1964")</f>
        <v>0</v>
      </c>
      <c r="D3317" s="1">
        <f>hyperlink("http://dspace.library.uu.nl/handle/1874/248973","Schoolse manieren in de 17e eeuw te Rhenen C L van Otterlo 76-79 1994")</f>
        <v>0</v>
      </c>
    </row>
    <row r="3318" spans="2:4">
      <c r="B3318">
        <v>65</v>
      </c>
      <c r="C3318" s="1">
        <f>hyperlink("https://hetutrechtsarchief.nl/collectie/A16551E8DC8C5A9D9B5D7AA263A3965C","Uit de geschiedenis van de Utrechtsche sterrenwacht - Arachis 1-3 1909")</f>
        <v>0</v>
      </c>
      <c r="D3318" s="1">
        <f>hyperlink("http://dspace.library.uu.nl/handle/1874/248974","Uit de geschiedenis van de familie Roghair J K Roghair 51-54 1994")</f>
        <v>0</v>
      </c>
    </row>
    <row r="3319" spans="2:4">
      <c r="B3319">
        <v>50</v>
      </c>
      <c r="C3319" s="1">
        <f>hyperlink("https://hetutrechtsarchief.nl/collectie/9DA9F25B759541E9E0534701000A19E0","Stamhuizen in de Vechtstreek door de ogen van Cornelis van Alkemade en Pieter van der Schelling Alex Bunjes en Jan Willem Gunning 59-94 2019")</f>
        <v>0</v>
      </c>
      <c r="D3319" s="1">
        <f>hyperlink("http://dspace.library.uu.nl/handle/1874/248975","Int Schip Reenen een speurtocht door de archieven van onze oudste multi-national op zoek naar het verhaal van het zeilschip dat de naam van onze stad droeg Willem H Strous 11-28 1994")</f>
        <v>0</v>
      </c>
    </row>
    <row r="3320" spans="2:4">
      <c r="B3320">
        <v>55</v>
      </c>
      <c r="C3320" s="1">
        <f>hyperlink("https://hetutrechtsarchief.nl/collectie/B6493A63A9CF5A3A92D6F9C74D5CB4E6","De Rhenense elite in de eerste helft van de 18e eeuw Willem H Strous 7-31 2009")</f>
        <v>0</v>
      </c>
      <c r="D3320" s="1">
        <f>hyperlink("http://dspace.library.uu.nl/handle/1874/248976","Rhenensch Burgerwacht in 1919 Troelstra s vergissing in Rhenen merkbaar Willem H Strous 83-87 1994")</f>
        <v>0</v>
      </c>
    </row>
    <row r="3321" spans="2:4">
      <c r="B3321">
        <v>59</v>
      </c>
      <c r="C3321" s="1">
        <f>hyperlink("https://hetutrechtsarchief.nl/collectie/AFAB3AB77C84580DAFE7C9FD899AF4C2","Een faillissement in 1741 Willem H Strous 10-114 2014")</f>
        <v>0</v>
      </c>
      <c r="D3321" s="1">
        <f>hyperlink("http://dspace.library.uu.nl/handle/1874/248977","Burgerwacht en Vrijwillige Landstorm Willem H Strous 104-108 1994")</f>
        <v>0</v>
      </c>
    </row>
    <row r="3322" spans="2:4">
      <c r="B3322">
        <v>61</v>
      </c>
      <c r="C3322" s="1">
        <f>hyperlink("https://hetutrechtsarchief.nl/collectie/39B2899C50C459D4BD846D023C4AC8DC","Honderdjarigen in Veenendaal 27 Wim van Elst 99-104 2015")</f>
        <v>0</v>
      </c>
      <c r="D3322" s="1">
        <f>hyperlink("http://dspace.library.uu.nl/handle/1874/248978","Hoe Rhenen Veenendaal kwijt raakte H P Deys 139-149 1995")</f>
        <v>0</v>
      </c>
    </row>
    <row r="3323" spans="2:4">
      <c r="B3323">
        <v>82</v>
      </c>
      <c r="C3323" s="1">
        <f>hyperlink("https://hetutrechtsarchief.nl/collectie/48A65874DDA75794952FFAEADA7F726D","De pelgrimsinsignes van Sinte Cunera te Rhenen H P Deys 34-54 ill tab 1994")</f>
        <v>0</v>
      </c>
      <c r="D3323" s="1">
        <f>hyperlink("http://dspace.library.uu.nl/handle/1874/248979","De pelgrimsinsignes van Sinte Cunera H P Deys 59-73 1994")</f>
        <v>0</v>
      </c>
    </row>
    <row r="3324" spans="2:4">
      <c r="B3324">
        <v>56</v>
      </c>
      <c r="C3324" s="1">
        <f>hyperlink("https://hetutrechtsarchief.nl/collectie/E40903186E015F3B87A498D71149D017","De trein die niet kwam 1 Peter van Oosten de Boer 2-5 2011")</f>
        <v>0</v>
      </c>
      <c r="D3324" s="1">
        <f>hyperlink("http://dspace.library.uu.nl/handle/1874/248980","Hoe de kersen in de Betuwe kwamen H K R de Josselin de Jong 95-97 1994")</f>
        <v>0</v>
      </c>
    </row>
    <row r="3325" spans="2:4">
      <c r="B3325">
        <v>62</v>
      </c>
      <c r="C3325" s="1">
        <f>hyperlink("https://hetutrechtsarchief.nl/collectie/0B870EAE4D175A77A7C5CECBF03AAC8E","De stadsplattegronden van Jacob van Deventer H P Deys 33-47 1998")</f>
        <v>0</v>
      </c>
      <c r="D3325" s="1">
        <f>hyperlink("http://dspace.library.uu.nl/handle/1874/249001","De luchtwachtdienst te Rhenen en enkele andere organisaties H P Deys 36-47 1990")</f>
        <v>0</v>
      </c>
    </row>
    <row r="3326" spans="2:4">
      <c r="B3326">
        <v>61</v>
      </c>
      <c r="C3326" s="1">
        <f>hyperlink("https://hetutrechtsarchief.nl/collectie/A7A888585ABD5920910E1FB49E9C093F","Het Cunerafeest in Rhenen in 1571 H P Deys 75-79 ill 1987")</f>
        <v>0</v>
      </c>
      <c r="D3326" s="1">
        <f>hyperlink("http://dspace.library.uu.nl/handle/1874/249002","Evacuaties van Rhenen 1940 en 1944 H P Deys 48-69 1990")</f>
        <v>0</v>
      </c>
    </row>
    <row r="3327" spans="2:4">
      <c r="B3327">
        <v>57</v>
      </c>
      <c r="C3327" s="1">
        <f>hyperlink("https://hetutrechtsarchief.nl/collectie/051912A7C3C5530A8CD889AAEBD12842","Oorlogsdagboek Marinus Wandel Wandel 5-15 2010")</f>
        <v>0</v>
      </c>
      <c r="D3327" s="1">
        <f>hyperlink("http://dspace.library.uu.nl/handle/1874/249003","Oorlogsdagboek F C H Comerell H P Deys 70-79 1990")</f>
        <v>0</v>
      </c>
    </row>
    <row r="3328" spans="2:4">
      <c r="B3328">
        <v>55</v>
      </c>
      <c r="C3328" s="1">
        <f>hyperlink("https://hetutrechtsarchief.nl/collectie/02DFB42671FC53778064EDCE2789A39D","De molen Crescendo in Achterberg H P Deys 34-58 1999")</f>
        <v>0</v>
      </c>
      <c r="D3328" s="1">
        <f>hyperlink("http://dspace.library.uu.nl/handle/1874/249004","Het nationaal legermonument Grebbeberg H P Deys 80-96 1990")</f>
        <v>0</v>
      </c>
    </row>
    <row r="3329" spans="2:4">
      <c r="B3329">
        <v>62</v>
      </c>
      <c r="C3329" s="1">
        <f>hyperlink("https://hetutrechtsarchief.nl/collectie/760AAD51846D5FC5840519D07BBF1204","Rhenen en de familie Van Amerongen Ad J de Jong 17-20 2006")</f>
        <v>0</v>
      </c>
      <c r="D3329" s="1">
        <f>hyperlink("http://dspace.library.uu.nl/handle/1874/249005","Rhenen en de strenge winters A J de Jong 74-85 1991")</f>
        <v>0</v>
      </c>
    </row>
    <row r="3330" spans="2:4">
      <c r="B3330">
        <v>59</v>
      </c>
      <c r="C3330" s="1">
        <f>hyperlink("https://hetutrechtsarchief.nl/collectie/AF32A0BB52CF5C8195E4B54C2FC20630","De eerste dierentuin in Nederland Soestdijk 1808 - E 66-69 1938")</f>
        <v>0</v>
      </c>
      <c r="D3330" s="1">
        <f>hyperlink("http://dspace.library.uu.nl/handle/1874/249006","De eerste jaren van de Rhenense stadsmolen 1572-1580 H P Deys 86-98 1991")</f>
        <v>0</v>
      </c>
    </row>
    <row r="3331" spans="2:4">
      <c r="B3331">
        <v>60</v>
      </c>
      <c r="C3331" s="1">
        <f>hyperlink("https://hetutrechtsarchief.nl/collectie/AFAB3AB77C84580DAFE7C9FD899AF4C2","Een faillissement in 1741 Willem H Strous 10-114 2014")</f>
        <v>0</v>
      </c>
      <c r="D3331" s="1">
        <f>hyperlink("http://dspace.library.uu.nl/handle/1874/249007","Een oculaere inspectie in 1599 W H Strous 104-109 1991")</f>
        <v>0</v>
      </c>
    </row>
    <row r="3332" spans="2:4">
      <c r="B3332">
        <v>53</v>
      </c>
      <c r="C3332" s="1">
        <f>hyperlink("https://hetutrechtsarchief.nl/collectie/1CA690271F6E58DEB8841BB85FD841A0","Militairen en prentbriefkaarten te Rhenen Ad J de Jong 26-36 2005")</f>
        <v>0</v>
      </c>
      <c r="D3332" s="1">
        <f>hyperlink("http://dspace.library.uu.nl/handle/1874/249008","Een historisch verantwoord alternatief voor de jachthavenplannen te Rhenen A J de Jong 2 - 3 no 3 p 42-43 1990")</f>
        <v>0</v>
      </c>
    </row>
    <row r="3333" spans="2:4">
      <c r="B3333">
        <v>56</v>
      </c>
      <c r="C3333" s="1">
        <f>hyperlink("https://hetutrechtsarchief.nl/collectie/8B1C70EED2EA5E1E92B3CB96D2A0437C","Tertiarissen van het Utrechtsche kapittel P Dalm van Heel 1-382 1939")</f>
        <v>0</v>
      </c>
      <c r="D3333" s="1">
        <f>hyperlink("http://dspace.library.uu.nl/handle/1874/249009","Organisten en hun orgelspel Ph J van Daal 19 - 20 1990")</f>
        <v>0</v>
      </c>
    </row>
    <row r="3334" spans="2:4">
      <c r="B3334">
        <v>60</v>
      </c>
      <c r="C3334" s="1">
        <f>hyperlink("https://hetutrechtsarchief.nl/collectie/4BFCF54F43395A8BB474C39FC8BFE0E0","Rhenen en de Koude Oorlog Ben van Laar 10-17 2013")</f>
        <v>0</v>
      </c>
      <c r="D3334" s="1">
        <f>hyperlink("http://dspace.library.uu.nl/handle/1874/249010","Rhenen en de Romeinen Lot Delfin 21 - 27 1990")</f>
        <v>0</v>
      </c>
    </row>
    <row r="3335" spans="2:4">
      <c r="B3335">
        <v>55</v>
      </c>
      <c r="C3335" s="1">
        <f>hyperlink("https://hetutrechtsarchief.nl/collectie/B63B2CC4767B503BABE68D6FD4A2DE55","Kasteel de Haar J W C van Campen 38-39 1951")</f>
        <v>0</v>
      </c>
      <c r="D3335" s="1">
        <f>hyperlink("http://dspace.library.uu.nl/handle/1874/249011","Kasteel De Horst de stichting J Combrink 1990")</f>
        <v>0</v>
      </c>
    </row>
    <row r="3336" spans="2:4">
      <c r="B3336">
        <v>57</v>
      </c>
      <c r="C3336" s="1">
        <f>hyperlink("https://hetutrechtsarchief.nl/collectie/45A1C1FEA04B5634BDB52FE767236823","De zestien kwartieren van George van Egmond bisschop van Utrecht A J van de Ven 87-100 ill 1959")</f>
        <v>0</v>
      </c>
      <c r="D3336" s="1">
        <f>hyperlink("http://dspace.library.uu.nl/handle/1874/249012","Het goed Remmerten met de Weerd leengoed van de bisschop van Utrecht borchleen van Ter Horst Ph J van Daal 8-14 1990")</f>
        <v>0</v>
      </c>
    </row>
    <row r="3337" spans="2:4">
      <c r="B3337">
        <v>61</v>
      </c>
      <c r="C3337" s="1">
        <f>hyperlink("https://hetutrechtsarchief.nl/collectie/6646F469777E5A188CBA35572E08B34B","Restauratie van de Janskerk 51-52 1949")</f>
        <v>0</v>
      </c>
      <c r="D3337" s="1">
        <f>hyperlink("http://dspace.library.uu.nl/handle/1874/249013","Restauratie van de schaapskooi op Remmerden J Roosenbeek 15-19 1990")</f>
        <v>0</v>
      </c>
    </row>
    <row r="3338" spans="2:4">
      <c r="B3338">
        <v>62</v>
      </c>
      <c r="C3338" s="1">
        <f>hyperlink("https://hetutrechtsarchief.nl/collectie/48533FF37D7F5A7D83FCFC7033B85D8C","Toen er nog geen militair hospitaal bestond - P H D 92-94 1966")</f>
        <v>0</v>
      </c>
      <c r="D3338" s="1">
        <f>hyperlink("http://dspace.library.uu.nl/handle/1874/249014","Het Koningshuis als militair hospitaal H P Deys 20-29 1990")</f>
        <v>0</v>
      </c>
    </row>
    <row r="3339" spans="2:4">
      <c r="B3339">
        <v>64</v>
      </c>
      <c r="C3339" s="1">
        <f>hyperlink("https://hetutrechtsarchief.nl/collectie/545631EC25FB5C90A9A6801C20B902A4","Oude waterput aan het Achterpad Jan van der Laan 2-3 2003")</f>
        <v>0</v>
      </c>
      <c r="D3339" s="1">
        <f>hyperlink("http://dspace.library.uu.nl/handle/1874/249015","Oude waterput aan het Spitsbergerpad J Mom 37-41 1990")</f>
        <v>0</v>
      </c>
    </row>
    <row r="3340" spans="2:4">
      <c r="B3340">
        <v>61</v>
      </c>
      <c r="C3340" s="1">
        <f>hyperlink("https://hetutrechtsarchief.nl/collectie/A45586DB04515BA0BB3F613A0EA1A21C","De ligging van kasteel Valkenburg te Achterberg Ad J de Jong 35-38 2004")</f>
        <v>0</v>
      </c>
      <c r="D3340" s="1">
        <f>hyperlink("http://dspace.library.uu.nl/handle/1874/249016","Verbouwing c q restauratie van Stuivenes t te Achterberg A J de Jong 34-36 1990")</f>
        <v>0</v>
      </c>
    </row>
    <row r="3341" spans="2:4">
      <c r="B3341">
        <v>60</v>
      </c>
      <c r="C3341" s="1">
        <f>hyperlink("https://hetutrechtsarchief.nl/collectie/03049BC079A55B37BAF1079D24CE79A5","Zegel van de Cunerakerk te Rhenen Ad J de Jong 47-52 2008")</f>
        <v>0</v>
      </c>
      <c r="D3341" s="1">
        <f>hyperlink("http://dspace.library.uu.nl/handle/1874/249017","Het Agnietenconvent te Rhenen A J de Jong 2 - 14 1991")</f>
        <v>0</v>
      </c>
    </row>
    <row r="3342" spans="2:4">
      <c r="B3342">
        <v>63</v>
      </c>
      <c r="C3342" s="1">
        <f>hyperlink("https://hetutrechtsarchief.nl/collectie/03049BC079A55B37BAF1079D24CE79A5","Zegel van de Cunerakerk te Rhenen Ad J de Jong 47-52 2008")</f>
        <v>0</v>
      </c>
      <c r="D3342" s="1">
        <f>hyperlink("http://dspace.library.uu.nl/handle/1874/249018","De Cuneralegende en de Duitse ridders te Rhenen A J de Jong 41-47 1991")</f>
        <v>0</v>
      </c>
    </row>
    <row r="3343" spans="2:4">
      <c r="B3343">
        <v>57</v>
      </c>
      <c r="C3343" s="1">
        <f>hyperlink("https://hetutrechtsarchief.nl/collectie/02DFB42671FC53778064EDCE2789A39D","De molen Crescendo in Achterberg H P Deys 34-58 1999")</f>
        <v>0</v>
      </c>
      <c r="D3343" s="1">
        <f>hyperlink("http://dspace.library.uu.nl/handle/1874/249019","De electriciteitsmaatschappij Rhenen H P Deys 48-60 1991")</f>
        <v>0</v>
      </c>
    </row>
    <row r="3344" spans="2:4">
      <c r="B3344">
        <v>59</v>
      </c>
      <c r="C3344" s="1">
        <f>hyperlink("https://hetutrechtsarchief.nl/collectie/A45586DB04515BA0BB3F613A0EA1A21C","De ligging van kasteel Valkenburg te Achterberg Ad J de Jong 35-38 2004")</f>
        <v>0</v>
      </c>
      <c r="D3344" s="1">
        <f>hyperlink("http://dspace.library.uu.nl/handle/1874/249020","Hoe oud is Stuivenes te Achterberg A J de Jong 61-64 1991")</f>
        <v>0</v>
      </c>
    </row>
    <row r="3345" spans="2:4">
      <c r="B3345">
        <v>62</v>
      </c>
      <c r="C3345" s="1">
        <f>hyperlink("https://hetutrechtsarchief.nl/collectie/698DB46A14BB536DA1E63077351551AC","Vier portretten van het geslacht Smissaert Willem H Strous 5-9 1999")</f>
        <v>0</v>
      </c>
      <c r="D3345" s="1">
        <f>hyperlink("http://dspace.library.uu.nl/handle/1874/249021","Verenigingendossiers Willem H Strous 3-23 1993")</f>
        <v>0</v>
      </c>
    </row>
    <row r="3346" spans="2:4">
      <c r="B3346">
        <v>64</v>
      </c>
      <c r="C3346" s="1">
        <f>hyperlink("https://hetutrechtsarchief.nl/collectie/7D330477DD8C583B9B47909282FF9224","Rhenen en de nieuwe kaart van den Lande van Utrecht Ad J de Jong 21-34 2007")</f>
        <v>0</v>
      </c>
      <c r="D3346" s="1">
        <f>hyperlink("http://dspace.library.uu.nl/handle/1874/249022","Rhenen en de strenge winters - de winter van 1940 A J de Jong 24-30 1993")</f>
        <v>0</v>
      </c>
    </row>
    <row r="3347" spans="2:4">
      <c r="B3347">
        <v>60</v>
      </c>
      <c r="C3347" s="1">
        <f>hyperlink("https://hetutrechtsarchief.nl/collectie/CAA0AF7C35215E7F9E732115C8DA0A3D","De geschiedenis van het pontveer te Rhenen W van Iterson 58-109 ill 1953")</f>
        <v>0</v>
      </c>
      <c r="D3347" s="1">
        <f>hyperlink("http://dspace.library.uu.nl/handle/1874/249023","De orgelgeschiedenis van de Cunerakerk te Rhenen D W Meinen 31-47 no 2 p 81-93 no 3 p 167-172 1993")</f>
        <v>0</v>
      </c>
    </row>
    <row r="3348" spans="2:4">
      <c r="B3348">
        <v>60</v>
      </c>
      <c r="C3348" s="1">
        <f>hyperlink("https://hetutrechtsarchief.nl/collectie/4ED28A5A200051FCA372600BC6F6CA05","De familie van Laar te Rhenen genealogie en heraldiek A J de Jong 7-27 1999")</f>
        <v>0</v>
      </c>
      <c r="D3348" s="1">
        <f>hyperlink("http://dspace.library.uu.nl/handle/1874/249024","De familie Roghair vertrok uit Rhenen naar Alkmaar J Belonje 52 1993")</f>
        <v>0</v>
      </c>
    </row>
    <row r="3349" spans="2:4">
      <c r="B3349">
        <v>71</v>
      </c>
      <c r="C3349" s="1">
        <f>hyperlink("https://hetutrechtsarchief.nl/collectie/EEAC070835995AADB99929548AF0903A","Huisnamen in de binnenstad van Rhenen eind 16e eeuw A J de Jong 38-42 ill 1998")</f>
        <v>0</v>
      </c>
      <c r="D3349" s="1">
        <f>hyperlink("http://dspace.library.uu.nl/handle/1874/249025","Opgravingen in de binnenstad van Rhenen A J de Jong 55-71 1993")</f>
        <v>0</v>
      </c>
    </row>
    <row r="3350" spans="2:4">
      <c r="B3350">
        <v>61</v>
      </c>
      <c r="C3350" s="1">
        <f>hyperlink("https://hetutrechtsarchief.nl/collectie/CC0A082C754359B2920A848E078D6A73","Het gebouw de Utrecht E D Veen 79-80 ill 1971")</f>
        <v>0</v>
      </c>
      <c r="D3350" s="1">
        <f>hyperlink("http://dspace.library.uu.nl/handle/1874/249026","Het V V V -gebouw te Rhenen H P Deys 72-80 1993")</f>
        <v>0</v>
      </c>
    </row>
    <row r="3351" spans="2:4">
      <c r="B3351">
        <v>69</v>
      </c>
      <c r="C3351" s="1">
        <f>hyperlink("https://hetutrechtsarchief.nl/collectie/A7258D627CCB54D784A11C4A99EB5F2C","Het Spoorgat te Rhenen Willem H Strous 23-34 2001")</f>
        <v>0</v>
      </c>
      <c r="D3351" s="1">
        <f>hyperlink("http://dspace.library.uu.nl/handle/1874/249027","Nescio in Rhenen Willem H Strous 94-101 1993")</f>
        <v>0</v>
      </c>
    </row>
    <row r="3352" spans="2:4">
      <c r="B3352">
        <v>57</v>
      </c>
      <c r="C3352" s="1">
        <f>hyperlink("https://hetutrechtsarchief.nl/collectie/31FEC3B4C5685A1D92B3C32178AC8176","Kerkepaarden te Utrecht M H de Vries 10-11 1990")</f>
        <v>0</v>
      </c>
      <c r="D3352" s="1">
        <f>hyperlink("http://dspace.library.uu.nl/handle/1874/249028","Begraafplaatsen als cultuurbezit H P Deys 102-103 1993")</f>
        <v>0</v>
      </c>
    </row>
    <row r="3353" spans="2:4">
      <c r="B3353">
        <v>65</v>
      </c>
      <c r="C3353" s="1">
        <f>hyperlink("https://hetutrechtsarchief.nl/collectie/CAA0AF7C35215E7F9E732115C8DA0A3D","De geschiedenis van het pontveer te Rhenen W van Iterson 58-109 ill 1953")</f>
        <v>0</v>
      </c>
      <c r="D3353" s="1">
        <f>hyperlink("http://dspace.library.uu.nl/handle/1874/249029","De geschiedenis van het gehucht Grebbe A J de Jong 107-128 1993")</f>
        <v>0</v>
      </c>
    </row>
    <row r="3354" spans="2:4">
      <c r="B3354">
        <v>70</v>
      </c>
      <c r="C3354" s="1">
        <f>hyperlink("https://hetutrechtsarchief.nl/collectie/A7258D627CCB54D784A11C4A99EB5F2C","Het Spoorgat te Rhenen Willem H Strous 23-34 2001")</f>
        <v>0</v>
      </c>
      <c r="D3354" s="1">
        <f>hyperlink("http://dspace.library.uu.nl/handle/1874/249030","De Servetstraat in Rhenen Willem H Strous 129-143 1993")</f>
        <v>0</v>
      </c>
    </row>
    <row r="3355" spans="2:4">
      <c r="B3355">
        <v>64</v>
      </c>
      <c r="C3355" s="1">
        <f>hyperlink("https://hetutrechtsarchief.nl/collectie/EE902F06A84950CD8E873D4825C0BA57","Putten en pompen in Rhenen H P Deys 12-37 ill 1998")</f>
        <v>0</v>
      </c>
      <c r="D3355" s="1">
        <f>hyperlink("http://dspace.library.uu.nl/handle/1874/249031","Het wapen en de vlag van Rhenen H P Deys 144-160 1993")</f>
        <v>0</v>
      </c>
    </row>
    <row r="3356" spans="2:4">
      <c r="B3356">
        <v>56</v>
      </c>
      <c r="C3356" s="1">
        <f>hyperlink("https://hetutrechtsarchief.nl/collectie/5AA072B4BCFD5A3DB0F87ADF3008D8F9","Mevrouw Ch H Delfin-van Mourik Broekman 90 jaar Marjan G 18-19 2004")</f>
        <v>0</v>
      </c>
      <c r="D3356" s="1">
        <f>hyperlink("http://dspace.library.uu.nl/handle/1874/249032","De kristallen bol uit Elst U Lot Delfin-van Mourik Broekman 161-162 1993")</f>
        <v>0</v>
      </c>
    </row>
    <row r="3357" spans="2:4">
      <c r="B3357">
        <v>66</v>
      </c>
      <c r="C3357" s="1">
        <f>hyperlink("https://hetutrechtsarchief.nl/collectie/545631EC25FB5C90A9A6801C20B902A4","Oude waterput aan het Achterpad Jan van der Laan 2-3 2003")</f>
        <v>0</v>
      </c>
      <c r="D3357" s="1">
        <f>hyperlink("http://dspace.library.uu.nl/handle/1874/249033","De waterput aan het Spitsbergerpad A J de Jong 163-164 1993")</f>
        <v>0</v>
      </c>
    </row>
    <row r="3358" spans="2:4">
      <c r="B3358">
        <v>64</v>
      </c>
      <c r="C3358" s="1">
        <f>hyperlink("https://hetutrechtsarchief.nl/collectie/F205EC34D3FE5025B913C12A35B7E7FB","Korte geschiedenis van de familie Van der Pol Henk van Hees 7-19 2007")</f>
        <v>0</v>
      </c>
      <c r="D3358" s="1">
        <f>hyperlink("http://dspace.library.uu.nl/handle/1874/249034","Van Leefdael de geschiedenis van de familie en het huis Ph J van Dael 3-52 1992")</f>
        <v>0</v>
      </c>
    </row>
    <row r="3359" spans="2:4">
      <c r="B3359">
        <v>50</v>
      </c>
      <c r="C3359" s="1">
        <f>hyperlink("https://hetutrechtsarchief.nl/collectie/8793E516B7C85D4C890CAB3FFBDC0B92","De militaire werken aan de Kromme Rijn J Belonje 180 - 181 1982")</f>
        <v>0</v>
      </c>
      <c r="D3359" s="1">
        <f>hyperlink("http://dspace.library.uu.nl/handle/1874/249035","De Tarthorst Wageningen A G Combrink J Steenbergen 15 - 23 jg 11 1992 no 2 p 4 1991-1992")</f>
        <v>0</v>
      </c>
    </row>
    <row r="3360" spans="2:4">
      <c r="B3360">
        <v>55</v>
      </c>
      <c r="C3360" s="1">
        <f>hyperlink("https://hetutrechtsarchief.nl/collectie/4ED28A5A200051FCA372600BC6F6CA05","De familie van Laar te Rhenen genealogie en heraldiek A J de Jong 7-27 1999")</f>
        <v>0</v>
      </c>
      <c r="D3360" s="1">
        <f>hyperlink("http://dspace.library.uu.nl/handle/1874/249036","Tenslotte nogmaals de Tarthorst te Wageningen A J de Jong 5-7 1992")</f>
        <v>0</v>
      </c>
    </row>
    <row r="3361" spans="2:4">
      <c r="B3361">
        <v>54</v>
      </c>
      <c r="C3361" s="1">
        <f>hyperlink("https://hetutrechtsarchief.nl/collectie/EFE13AF6BB215BDB8C7F79420ACB70C0","Oude ansichten II De Biltse Fanfare Jan van der Heijden 60 1999")</f>
        <v>0</v>
      </c>
      <c r="D3361" s="1">
        <f>hyperlink("http://dspace.library.uu.nl/handle/1874/249037","Hoe oud is het jachtslot bij de Koningstafel A J de Jong 8-19 1992")</f>
        <v>0</v>
      </c>
    </row>
    <row r="3362" spans="2:4">
      <c r="B3362">
        <v>53</v>
      </c>
      <c r="C3362" s="1">
        <f>hyperlink("https://hetutrechtsarchief.nl/collectie/759D747951855F96B0BD4B43A2A19693","Herdenkingsmonument Rhijnauwen Arie van der Gaag 10-14 ill 1995")</f>
        <v>0</v>
      </c>
      <c r="D3362" s="1">
        <f>hyperlink("http://dspace.library.uu.nl/handle/1874/249038","1392-1992 herdenking Stichting St Cuneragilde A J de Jong 20-21 1992")</f>
        <v>0</v>
      </c>
    </row>
    <row r="3363" spans="2:4">
      <c r="B3363">
        <v>58</v>
      </c>
      <c r="C3363" s="1">
        <f>hyperlink("https://hetutrechtsarchief.nl/collectie/03049BC079A55B37BAF1079D24CE79A5","Zegel van de Cunerakerk te Rhenen Ad J de Jong 47-52 2008")</f>
        <v>0</v>
      </c>
      <c r="D3363" s="1">
        <f>hyperlink("http://dspace.library.uu.nl/handle/1874/249039","Confraterniteit van St Cunera te Rhenen J Belonje 22-31 1992")</f>
        <v>0</v>
      </c>
    </row>
    <row r="3364" spans="2:4">
      <c r="B3364">
        <v>73</v>
      </c>
      <c r="C3364" s="1">
        <f>hyperlink("https://hetutrechtsarchief.nl/collectie/A7258D627CCB54D784A11C4A99EB5F2C","Het Spoorgat te Rhenen Willem H Strous 23-34 2001")</f>
        <v>0</v>
      </c>
      <c r="D3364" s="1">
        <f>hyperlink("http://dspace.library.uu.nl/handle/1874/249040","Synagoge te Rhenen Willem H Strous 32 1992")</f>
        <v>0</v>
      </c>
    </row>
    <row r="3365" spans="2:4">
      <c r="B3365">
        <v>56</v>
      </c>
      <c r="C3365" s="1">
        <f>hyperlink("https://hetutrechtsarchief.nl/collectie/98006A5EB0415AF591387C89AEDB8334","Het contract betreffende de bouw van het Koningshuis H P Deys 5-8 2007")</f>
        <v>0</v>
      </c>
      <c r="D3365" s="1">
        <f>hyperlink("http://dspace.library.uu.nl/handle/1874/249041","Over de bouw van de Brakken van 1787 H P Deys 2-8 1992")</f>
        <v>0</v>
      </c>
    </row>
    <row r="3366" spans="2:4">
      <c r="B3366">
        <v>55</v>
      </c>
      <c r="C3366" s="1">
        <f>hyperlink("https://hetutrechtsarchief.nl/collectie/41D7AD2FB09F5F27AAB496E7255D7E76","Bewoning in de oudheid Mieke van der Ploeg 22-24 1998")</f>
        <v>0</v>
      </c>
      <c r="D3366" s="1">
        <f>hyperlink("http://dspace.library.uu.nl/handle/1874/249042","Waar bevindt zich de oude put bij de Koningstafel A J de Jong 9-14 1992")</f>
        <v>0</v>
      </c>
    </row>
    <row r="3367" spans="2:4">
      <c r="B3367">
        <v>59</v>
      </c>
      <c r="C3367" s="1">
        <f>hyperlink("https://hetutrechtsarchief.nl/collectie/500510AACD5C57EBB7FD56B6F19416D2","Ontmoetingen op de begraafplaats Teus van Beek 39-51 2004")</f>
        <v>0</v>
      </c>
      <c r="D3367" s="1">
        <f>hyperlink("http://dspace.library.uu.nl/handle/1874/249043","Oude grafstenen op de oude begraafplaats te Rhenen in 1957 J Belonje 15-21 1992")</f>
        <v>0</v>
      </c>
    </row>
    <row r="3368" spans="2:4">
      <c r="B3368">
        <v>54</v>
      </c>
      <c r="C3368" s="1">
        <f>hyperlink("https://hetutrechtsarchief.nl/collectie/AE165288798A5078B87DC3A3BF2EA6CA","Een krijgsgevangenkamp in Elst Rhenen in 1945 H P Deys 32-38 2006")</f>
        <v>0</v>
      </c>
      <c r="D3368" s="1">
        <f>hyperlink("http://dspace.library.uu.nl/handle/1874/249044","Oude grafstenen op de oude begraafplaats te Rhenen in 1992 H P Deys 22-31 jg 12 1993 no 1 p 51 1992")</f>
        <v>0</v>
      </c>
    </row>
    <row r="3369" spans="2:4">
      <c r="B3369">
        <v>59</v>
      </c>
      <c r="C3369" s="1">
        <f>hyperlink("https://hetutrechtsarchief.nl/collectie/BBC335EB68F5543BA096DEA910DDAA31","De oude stad aan de Eem H Molendijk 26-27 1950")</f>
        <v>0</v>
      </c>
      <c r="D3369" s="1">
        <f>hyperlink("http://dspace.library.uu.nl/handle/1874/249045","De oude Steentijd van Rhenen en de heer Lieuwen Lot Delfin 65-72 1991")</f>
        <v>0</v>
      </c>
    </row>
    <row r="3370" spans="2:4">
      <c r="B3370">
        <v>61</v>
      </c>
      <c r="C3370" s="1">
        <f>hyperlink("https://hetutrechtsarchief.nl/collectie/996473C422F052609D0BA72F9FBA8742","Jan de Haas en de padvinderij te Rhenen Geerteke de Haas 8-11 2013")</f>
        <v>0</v>
      </c>
      <c r="D3370" s="1">
        <f>hyperlink("http://dspace.library.uu.nl/handle/1874/249046","De geschiedenis van de markante watertoren De Koerheuvel te Rhenen Geerteke de Haas 4 - 18 1990")</f>
        <v>0</v>
      </c>
    </row>
    <row r="3371" spans="2:4">
      <c r="B3371">
        <v>54</v>
      </c>
      <c r="C3371" s="1">
        <f>hyperlink("https://hetutrechtsarchief.nl/collectie/F1394CCE5C26560FBEAECEE43EB7AD71","In memoriam Johannes Gerard van Dillen 1883-1969 J H Kernkamp 9-13 portr 1969")</f>
        <v>0</v>
      </c>
      <c r="D3371" s="1">
        <f>hyperlink("http://dspace.library.uu.nl/handle/1874/249047","Bekende Rhenenaren Gerrit Jan Dijkerman 1885-1929 J Mom 26 - 32 1991")</f>
        <v>0</v>
      </c>
    </row>
    <row r="3372" spans="2:4">
      <c r="B3372">
        <v>61</v>
      </c>
      <c r="C3372" s="1">
        <f>hyperlink("https://hetutrechtsarchief.nl/collectie/CAA0AF7C35215E7F9E732115C8DA0A3D","De geschiedenis van het pontveer te Rhenen W van Iterson 58-109 ill 1953")</f>
        <v>0</v>
      </c>
      <c r="D3372" s="1">
        <f>hyperlink("http://dspace.library.uu.nl/handle/1874/249048","Het goed Schooneveld in het kerspel Rhenen C L van Otterlo 99-100 1991")</f>
        <v>0</v>
      </c>
    </row>
    <row r="3373" spans="2:4">
      <c r="B3373">
        <v>56</v>
      </c>
      <c r="C3373" s="1">
        <f>hyperlink("https://hetutrechtsarchief.nl/collectie/6EB8A09B3B1C5714BC5C4ED044EC5214","Rechtsverhoudingen bij tabaksbouw onder Rhenen W van Iterson 126-136 1949")</f>
        <v>0</v>
      </c>
      <c r="D3373" s="1">
        <f>hyperlink("http://dspace.library.uu.nl/handle/1874/249049","Van Brinckhouwer blijkt Van Brinck brouwer C L van Otterlo 100-103 1991")</f>
        <v>0</v>
      </c>
    </row>
    <row r="3374" spans="2:4">
      <c r="B3374">
        <v>60</v>
      </c>
      <c r="C3374" s="1">
        <f>hyperlink("https://hetutrechtsarchief.nl/collectie/DBD2738FE6A5595FA06B67A8C370FFA5","De Nederlandse archieven en de oorlog W S Unger 101-134 1948")</f>
        <v>0</v>
      </c>
      <c r="D3374" s="1">
        <f>hyperlink("http://dspace.library.uu.nl/handle/1874/249050","Duitse correspondentie vanuit Rhenen in de oorlogsjaren A J de Jong 101-104 1990")</f>
        <v>0</v>
      </c>
    </row>
    <row r="3375" spans="2:4">
      <c r="B3375">
        <v>53</v>
      </c>
      <c r="C3375" s="1">
        <f>hyperlink("https://hetutrechtsarchief.nl/collectie/A31F56F18DC056E8AB4E0B0F40E00D9E","Herdenkingspenning Beelaerts 1412-1912 gevonden op de Laarse Berg te Rhenen A J de Jong 35-36 2001")</f>
        <v>0</v>
      </c>
      <c r="D3375" s="1">
        <f>hyperlink("http://dspace.library.uu.nl/handle/1874/249051","Herdenkingsnummer 1940-1990 A J de Combrink J Deys H P Jong 33-104 1990")</f>
        <v>0</v>
      </c>
    </row>
    <row r="3376" spans="2:4">
      <c r="B3376">
        <v>58</v>
      </c>
      <c r="C3376" s="1">
        <f>hyperlink("https://hetutrechtsarchief.nl/collectie/4D3E5C5EF2755B779A8505E58803C0B4","Een boek van belang Daan H Werner 15-19 1999")</f>
        <v>0</v>
      </c>
      <c r="D3376" s="1">
        <f>hyperlink("http://dspace.library.uu.nl/handle/1874/249052","Een brief van een Engelse soldaat te Rhenen uit 1795 30-33 1990")</f>
        <v>0</v>
      </c>
    </row>
    <row r="3377" spans="2:4">
      <c r="B3377">
        <v>52</v>
      </c>
      <c r="C3377" s="1">
        <f>hyperlink("https://hetutrechtsarchief.nl/collectie/5D9E1551238256A28959B8F679ACA24C","De bouwer van de Rode Poort in Utrecht M W J de Bruijn 96-99 ill 1989")</f>
        <v>0</v>
      </c>
      <c r="D3377" s="1">
        <f>hyperlink("http://dspace.library.uu.nl/handle/1874/249084","De Blauwe Kamer en een onbekende kaart door H Ruijsch 1636 H P Deys 21 - 32 1986")</f>
        <v>0</v>
      </c>
    </row>
    <row r="3378" spans="2:4">
      <c r="B3378">
        <v>63</v>
      </c>
      <c r="C3378" s="1">
        <f>hyperlink("https://hetutrechtsarchief.nl/collectie/C864EFEA8B0F5AEFA6EC8BEDFB2E16AF","De Reformatie in Rhenen H P Deys 21-53 ill portr 1998")</f>
        <v>0</v>
      </c>
      <c r="D3378" s="1">
        <f>hyperlink("http://dspace.library.uu.nl/handle/1874/249085","De Bruine Eng H P Deys 2 - 5 1986")</f>
        <v>0</v>
      </c>
    </row>
    <row r="3379" spans="2:4">
      <c r="B3379">
        <v>67</v>
      </c>
      <c r="C3379" s="1">
        <f>hyperlink("https://hetutrechtsarchief.nl/collectie/EE902F06A84950CD8E873D4825C0BA57","Putten en pompen in Rhenen H P Deys 12-37 ill 1998")</f>
        <v>0</v>
      </c>
      <c r="D3379" s="1">
        <f>hyperlink("http://dspace.library.uu.nl/handle/1874/249086","De waag en de wip van Rhenen H P Deys 2 - 13 1986")</f>
        <v>0</v>
      </c>
    </row>
    <row r="3380" spans="2:4">
      <c r="B3380">
        <v>55</v>
      </c>
      <c r="C3380" s="1">
        <f>hyperlink("https://hetutrechtsarchief.nl/collectie/93D6920B72965230BD555DDA2906E190","150 jaar huwelijken voor het gerecht van Houten en t Goy Gerard van Woudenberg 14-16 2004")</f>
        <v>0</v>
      </c>
      <c r="D3380" s="1">
        <f>hyperlink("http://dspace.library.uu.nl/handle/1874/249087","100 jaar huisvesting en verzorging van bejaarden in Rhenen A Deys H P Valkenburg 1-48 1986")</f>
        <v>0</v>
      </c>
    </row>
    <row r="3381" spans="2:4">
      <c r="B3381">
        <v>61</v>
      </c>
      <c r="C3381" s="1">
        <f>hyperlink("https://hetutrechtsarchief.nl/collectie/ACE2ACC7415459998C6E6F2F349981B8","Een brug te veel Marijke Brunt 2008")</f>
        <v>0</v>
      </c>
      <c r="D3381" s="1">
        <f>hyperlink("http://dspace.library.uu.nl/handle/1874/249088","Rhenen n brug te veel G A Russer 3 - 24 1986")</f>
        <v>0</v>
      </c>
    </row>
    <row r="3382" spans="2:4">
      <c r="B3382">
        <v>62</v>
      </c>
      <c r="C3382" s="1">
        <f>hyperlink("https://hetutrechtsarchief.nl/collectie/30CC9196D6DC58D1B7C3ACBDC8AEE6CC","De grens tussen Amerongen en Rhenen H P Deys 6-13 2006")</f>
        <v>0</v>
      </c>
      <c r="D3382" s="1">
        <f>hyperlink("http://dspace.library.uu.nl/handle/1874/249090","Drie generaties stadsomroepers te Rhenen H P Deys 15 - 25 1987")</f>
        <v>0</v>
      </c>
    </row>
    <row r="3383" spans="2:4">
      <c r="B3383">
        <v>56</v>
      </c>
      <c r="C3383" s="1">
        <f>hyperlink("https://hetutrechtsarchief.nl/collectie/D9DF2CE5EF85AC1CE0538F04000A4A78","De geschiedenis en het ontstaan van de Joodse begraafplaats aan de Parallelweg in Veenendaal Door Jaap Krock 15-18 2022")</f>
        <v>0</v>
      </c>
      <c r="D3383" s="1">
        <f>hyperlink("http://dspace.library.uu.nl/handle/1874/249091","Geschiedenis en ontstaan van de Koningsboomgaard of Kuechengarten nabij de Westerpoort van Rhenen A J de Jong 4 - 14 1987")</f>
        <v>0</v>
      </c>
    </row>
    <row r="3384" spans="2:4">
      <c r="B3384">
        <v>57</v>
      </c>
      <c r="C3384" s="1">
        <f>hyperlink("https://hetutrechtsarchief.nl/collectie/F293F83642C55CC897B94AD495227D78","Wanneer kunnen we nu vieren dat Rhenen stadsrecht werd verleend A J de Jong 12-15 1999")</f>
        <v>0</v>
      </c>
      <c r="D3384" s="1">
        <f>hyperlink("http://dspace.library.uu.nl/handle/1874/249092","Zes eeuwen eigenaren pachters en veerlieden van het Rhenense veer periode 1350-1958 A J de Jong 2 - 12 1987")</f>
        <v>0</v>
      </c>
    </row>
    <row r="3385" spans="2:4">
      <c r="B3385">
        <v>56</v>
      </c>
      <c r="C3385" s="1">
        <f>hyperlink("https://hetutrechtsarchief.nl/collectie/CC180A28EB8BCA1CE0538F04000A281B","De Kuyperkaartjes van De Ronde Venen Kees Floor 124-128 2021")</f>
        <v>0</v>
      </c>
      <c r="D3385" s="1">
        <f>hyperlink("http://dspace.library.uu.nl/handle/1874/249093","Het bunkertje van Kruiponder verdwenen I C Rauws 20 - 22 1987")</f>
        <v>0</v>
      </c>
    </row>
    <row r="3386" spans="2:4">
      <c r="B3386">
        <v>55</v>
      </c>
      <c r="C3386" s="1">
        <f>hyperlink("https://hetutrechtsarchief.nl/collectie/F624ADB71E545EE788BDED45E0E818E6","Prentbriefkaart met onbekende afbeelding van het trein- tramstation te Rhenen Ad J de Jong 17-21 2010")</f>
        <v>0</v>
      </c>
      <c r="D3386" s="1">
        <f>hyperlink("http://dspace.library.uu.nl/handle/1874/249094","Drie eeuwen broeders en zusters leden van het St Cunera gilde te Rhenen 1392-1683 A J de Jong 3 - 16 1987")</f>
        <v>0</v>
      </c>
    </row>
    <row r="3387" spans="2:4">
      <c r="B3387">
        <v>96</v>
      </c>
      <c r="C3387" s="1">
        <f>hyperlink("https://hetutrechtsarchief.nl/collectie/B923303F8CED590B9B6F967D16ABC95A","De joodse gemeenschap in Zeist tijdens de donkere dagen Bal Annemiek Bal 35-40 1999")</f>
        <v>0</v>
      </c>
      <c r="D3387" s="1">
        <f>hyperlink("http://dspace.library.uu.nl/handle/1874/249095","De joodse gemeenschap in Zeist tijdens de donkere dagen Annemiek Bal 35-41 1999")</f>
        <v>0</v>
      </c>
    </row>
    <row r="3388" spans="2:4">
      <c r="B3388">
        <v>65</v>
      </c>
      <c r="C3388" s="1">
        <f>hyperlink("https://hetutrechtsarchief.nl/collectie/03049BC079A55B37BAF1079D24CE79A5","Zegel van de Cunerakerk te Rhenen Ad J de Jong 47-52 2008")</f>
        <v>0</v>
      </c>
      <c r="D3388" s="1">
        <f>hyperlink("http://dspace.library.uu.nl/handle/1874/249096","De Melaten- en de Sint Anthoniskapel te Rhenen A J de Jong 4 - 10 1988")</f>
        <v>0</v>
      </c>
    </row>
    <row r="3389" spans="2:4">
      <c r="B3389">
        <v>60</v>
      </c>
      <c r="C3389" s="1">
        <f>hyperlink("https://hetutrechtsarchief.nl/collectie/EEAC070835995AADB99929548AF0903A","Huisnamen in de binnenstad van Rhenen eind 16e eeuw A J de Jong 38-42 ill 1998")</f>
        <v>0</v>
      </c>
      <c r="D3389" s="1">
        <f>hyperlink("http://dspace.library.uu.nl/handle/1874/249097","Achtergrond en ontstaan van het Agnietenconvent te Rhenen A J de Jong 34 - 42 1988")</f>
        <v>0</v>
      </c>
    </row>
    <row r="3390" spans="2:4">
      <c r="B3390">
        <v>59</v>
      </c>
      <c r="C3390" s="1">
        <f>hyperlink("https://hetutrechtsarchief.nl/collectie/8C1E818C79445DC989A0241D20E56E1C","De laatste dagen van de Duitse Keizer Cees Jansen 10-11 2015")</f>
        <v>0</v>
      </c>
      <c r="D3390" s="1">
        <f>hyperlink("http://dspace.library.uu.nl/handle/1874/249098","De laatste levensjaren van de Gasthuiskapel A G Steenbergen 14 - 16 1988")</f>
        <v>0</v>
      </c>
    </row>
    <row r="3391" spans="2:4">
      <c r="B3391">
        <v>60</v>
      </c>
      <c r="C3391" s="1">
        <f>hyperlink("https://hetutrechtsarchief.nl/collectie/9B002C5E41F853D2806937C30633F63F","Historische verenigingen en de 21ste eeuw Jo Jamar 58-60 ill 1998")</f>
        <v>0</v>
      </c>
      <c r="D3391" s="1">
        <f>hyperlink("http://dspace.library.uu.nl/handle/1874/249099","Het onderwijs in Rhenen in de 19e eeuw J Combrink 15 - 21 1988")</f>
        <v>0</v>
      </c>
    </row>
    <row r="3392" spans="2:4">
      <c r="B3392">
        <v>64</v>
      </c>
      <c r="C3392" s="1">
        <f>hyperlink("https://hetutrechtsarchief.nl/collectie/21FD13BB69DC587FA3F3706D78DD4ABA","Kunstrondje om de Cunerakerk Ad J de Jong 23- 32 2004")</f>
        <v>0</v>
      </c>
      <c r="D3392" s="1">
        <f>hyperlink("http://dspace.library.uu.nl/handle/1874/249100","St Willibrord en de Cuneralegende A J de Jong 3 - 12 1989")</f>
        <v>0</v>
      </c>
    </row>
    <row r="3393" spans="2:4">
      <c r="B3393">
        <v>60</v>
      </c>
      <c r="C3393" s="1">
        <f>hyperlink("https://hetutrechtsarchief.nl/collectie/665AFB4643BF50CA814A8E9B4EC52F21","Perkament in de middeleeuwen J P Gumbert 13-16 1987")</f>
        <v>0</v>
      </c>
      <c r="D3393" s="1">
        <f>hyperlink("http://dspace.library.uu.nl/handle/1874/249101","Remmerden en zijn vroeg-middeleeuwse muntschat J Mom 13 - 18 1989")</f>
        <v>0</v>
      </c>
    </row>
    <row r="3394" spans="2:4">
      <c r="B3394">
        <v>64</v>
      </c>
      <c r="C3394" s="1">
        <f>hyperlink("https://hetutrechtsarchief.nl/collectie/4ED28A5A200051FCA372600BC6F6CA05","De familie van Laar te Rhenen genealogie en heraldiek A J de Jong 7-27 1999")</f>
        <v>0</v>
      </c>
      <c r="D3394" s="1">
        <f>hyperlink("http://dspace.library.uu.nl/handle/1874/249102","De omnibusdienst tussen Rhenen en Veenendaal-De Klomp A J de Jong 4 - 8 1989")</f>
        <v>0</v>
      </c>
    </row>
    <row r="3395" spans="2:4">
      <c r="B3395">
        <v>56</v>
      </c>
      <c r="C3395" s="1">
        <f>hyperlink("https://hetutrechtsarchief.nl/collectie/1FCDD0EE24C053CBA5B7B9E9A8E6C522","Archeologische vondsten uit de Baarnsche bodem J W A A van der Laan en Rien Romijn 21-23 2004")</f>
        <v>0</v>
      </c>
      <c r="D3395" s="1">
        <f>hyperlink("http://dspace.library.uu.nl/handle/1874/249103","Archeologisch-bouwhistorisch onderzoek in de tuinen van de villa van tandarts Van der Spoel aan t Hof te Rhenen J Mom 12 - 20 1989")</f>
        <v>0</v>
      </c>
    </row>
    <row r="3396" spans="2:4">
      <c r="B3396">
        <v>57</v>
      </c>
      <c r="C3396" s="1">
        <f>hyperlink("https://hetutrechtsarchief.nl/collectie/81DFC858A5F05CEE90542D29CCF8FA49","Vrijheid Gelijkheid Broederschap of de Dood Wijkse revolutionaire omwentelingen gedurende de periode 1795-1798 Edwin Maes 144-158 2011")</f>
        <v>0</v>
      </c>
      <c r="D3396" s="1">
        <f>hyperlink("http://dspace.library.uu.nl/handle/1874/249104","Vrijheid gelijkheid en broederschap over oude Rhenense namen en nog wat J Combrink 1 - 2 1989")</f>
        <v>0</v>
      </c>
    </row>
    <row r="3397" spans="2:4">
      <c r="B3397">
        <v>64</v>
      </c>
      <c r="C3397" s="1">
        <f>hyperlink("https://hetutrechtsarchief.nl/collectie/9E4FADE6D2B55744AFF9953C86AEBA41","Beelden in de Dom kunst en kerk P C J van Dael 8-11 ill 1997")</f>
        <v>0</v>
      </c>
      <c r="D3397" s="1">
        <f>hyperlink("http://dspace.library.uu.nl/handle/1874/249105","Graven in de Cunerakerk Ph J van Daal 14 - 17 1989")</f>
        <v>0</v>
      </c>
    </row>
    <row r="3398" spans="2:4">
      <c r="B3398">
        <v>58</v>
      </c>
      <c r="C3398" s="1">
        <f>hyperlink("https://hetutrechtsarchief.nl/collectie/A45586DB04515BA0BB3F613A0EA1A21C","De ligging van kasteel Valkenburg te Achterberg Ad J de Jong 35-38 2004")</f>
        <v>0</v>
      </c>
      <c r="D3398" s="1">
        <f>hyperlink("http://dspace.library.uu.nl/handle/1874/249106","De oudste geschiedenis van Stuivenes t een eeuwenoude boerderij te Achterberg A J de Jong 19 - 25 1989")</f>
        <v>0</v>
      </c>
    </row>
    <row r="3399" spans="2:4">
      <c r="B3399">
        <v>59</v>
      </c>
      <c r="C3399" s="1">
        <f>hyperlink("https://hetutrechtsarchief.nl/collectie/A9366FC287BA5DC198CEB582C2B83176","De Neude historische herinneringen 211-260 1866")</f>
        <v>0</v>
      </c>
      <c r="D3399" s="1">
        <f>hyperlink("http://dspace.library.uu.nl/handle/1874/249107","Een onbekende historische plek te Achterberg A J de Jong 26 - 27 1989")</f>
        <v>0</v>
      </c>
    </row>
    <row r="3400" spans="2:4">
      <c r="B3400">
        <v>59</v>
      </c>
      <c r="C3400" s="1">
        <f>hyperlink("https://hetutrechtsarchief.nl/collectie/A04335161578540BB3C60BAB0210A54A","De geest van de Dom - G 370-373 1917")</f>
        <v>0</v>
      </c>
      <c r="D3400" s="1">
        <f>hyperlink("http://dspace.library.uu.nl/handle/1874/249108","De worgdoek van Cunera J Combrink 30 - 33 1987")</f>
        <v>0</v>
      </c>
    </row>
    <row r="3401" spans="2:4">
      <c r="B3401">
        <v>59</v>
      </c>
      <c r="C3401" s="1">
        <f>hyperlink("https://hetutrechtsarchief.nl/collectie/0CCD8656D4865B5D9DA89BDB444EB38A","Wie is eigenlijk de Baas - Manfred - Marion en - Marianne 14-15 1984")</f>
        <v>0</v>
      </c>
      <c r="D3401" s="1">
        <f>hyperlink("http://dspace.library.uu.nl/handle/1874/249109","Hoe oud is eigenlijk De Koning van Denemarken J Combrink 11 24 1988")</f>
        <v>0</v>
      </c>
    </row>
    <row r="3402" spans="2:4">
      <c r="B3402">
        <v>62</v>
      </c>
      <c r="C3402" s="1">
        <f>hyperlink("https://hetutrechtsarchief.nl/collectie/75A15E4B5F6C51F7B6B1D28C4575CD2D","Vianen in de patriottentijd H J Smit 189-221 ill 1987")</f>
        <v>0</v>
      </c>
      <c r="D3402" s="1">
        <f>hyperlink("http://dspace.library.uu.nl/handle/1874/249110","Regeringsplan in 1794 na de Patriottentijd J Combrink 17 - 20 1988")</f>
        <v>0</v>
      </c>
    </row>
    <row r="3403" spans="2:4">
      <c r="B3403">
        <v>56</v>
      </c>
      <c r="C3403" s="1">
        <f>hyperlink("https://hetutrechtsarchief.nl/collectie/F74DF1EA1B2758FD9257840866D4E3CA","De eigennamen van de huizen in de Lijnmarkt 20-23 1930")</f>
        <v>0</v>
      </c>
      <c r="D3403" s="1">
        <f>hyperlink("http://dspace.library.uu.nl/handle/1874/249111","Een prentenalbum van de Winterkoning J Combrink 22 - 26 1988")</f>
        <v>0</v>
      </c>
    </row>
    <row r="3404" spans="2:4">
      <c r="B3404">
        <v>58</v>
      </c>
      <c r="C3404" s="1">
        <f>hyperlink("https://hetutrechtsarchief.nl/collectie/758290A916A559C086D8C0C36A7AC494","Een muntvondst te De Meern C A Kalee 25 1968")</f>
        <v>0</v>
      </c>
      <c r="D3404" s="1">
        <f>hyperlink("http://dspace.library.uu.nl/handle/1874/249112","De goudvondst en Kunera J Combrink 1 - 2 1989")</f>
        <v>0</v>
      </c>
    </row>
    <row r="3405" spans="2:4">
      <c r="B3405">
        <v>55</v>
      </c>
      <c r="C3405" s="1">
        <f>hyperlink("https://hetutrechtsarchief.nl/collectie/513E20DCCDFC5A789C3FFA97041160C1","Amersfoort of Rhenen - H de J 4-6 ill 1966")</f>
        <v>0</v>
      </c>
      <c r="D3405" s="1">
        <f>hyperlink("http://dspace.library.uu.nl/handle/1874/249113","Geertesteeg 18 Rhenen H E Dekhuijzen 34 - 36 1987")</f>
        <v>0</v>
      </c>
    </row>
    <row r="3406" spans="2:4">
      <c r="B3406">
        <v>58</v>
      </c>
      <c r="C3406" s="1">
        <f>hyperlink("https://hetutrechtsarchief.nl/collectie/EA1C23092FF853BC99D6C2EDD0C734FD","Nog eens de Familie van Berck en Rijsenburg Wim Harzing 15-16 1962")</f>
        <v>0</v>
      </c>
      <c r="D3406" s="1">
        <f>hyperlink("http://dspace.library.uu.nl/handle/1874/249114","Nog eens de wegen bij het veerhuis Lot Delfin 15 - 16 1986")</f>
        <v>0</v>
      </c>
    </row>
    <row r="3407" spans="2:4">
      <c r="B3407">
        <v>53</v>
      </c>
      <c r="C3407" s="1">
        <f>hyperlink("https://hetutrechtsarchief.nl/collectie/9F28966726BE54F0A4BCAE9FB3334CA3","De aanleg van de Groeperkade Jan de Vries 7-18 2007")</f>
        <v>0</v>
      </c>
      <c r="D3407" s="1">
        <f>hyperlink("http://dspace.library.uu.nl/handle/1874/249115","De aanleg van een nieuw sportveld te Elst Lot Delfin-van Mourik Broekman 22 1987")</f>
        <v>0</v>
      </c>
    </row>
    <row r="3408" spans="2:4">
      <c r="B3408">
        <v>57</v>
      </c>
      <c r="C3408" s="1">
        <f>hyperlink("https://hetutrechtsarchief.nl/collectie/9713C594D5075507A4F7DB75D60E650D","Ons monument op het Frederik van de Paltshof Willem H Strous 2-5 2015")</f>
        <v>0</v>
      </c>
      <c r="D3408" s="1">
        <f>hyperlink("http://dspace.library.uu.nl/handle/1874/249116","n Kijkje onder de Frederik van de Palzhof Lot Delfin 37 1987")</f>
        <v>0</v>
      </c>
    </row>
    <row r="3409" spans="2:4">
      <c r="B3409">
        <v>55</v>
      </c>
      <c r="C3409" s="1">
        <f>hyperlink("https://hetutrechtsarchief.nl/collectie/27B513DC305851178409ED62CD6646A7","De Kalkulator telt mee - Stannie - Jaco en - Inez 13 1984")</f>
        <v>0</v>
      </c>
      <c r="D3409" s="1">
        <f>hyperlink("http://dspace.library.uu.nl/handle/1874/249117","De Kamperfoelie- of Strontsteeg Lot Delfin 12 - 13 1988")</f>
        <v>0</v>
      </c>
    </row>
    <row r="3410" spans="2:4">
      <c r="B3410">
        <v>54</v>
      </c>
      <c r="C3410" s="1">
        <f>hyperlink("https://hetutrechtsarchief.nl/collectie/E24560EA736D55EEA386CF7D3D9608CC","60 jaar stadsverwarming 5-6 1983")</f>
        <v>0</v>
      </c>
      <c r="D3410" s="1">
        <f>hyperlink("http://dspace.library.uu.nl/handle/1874/249118","60 400 jaar jaar Heimerstein H P Deys 1988")</f>
        <v>0</v>
      </c>
    </row>
    <row r="3411" spans="2:4">
      <c r="B3411">
        <v>58</v>
      </c>
      <c r="C3411" s="1">
        <f>hyperlink("https://hetutrechtsarchief.nl/collectie/48A65874DDA75794952FFAEADA7F726D","De pelgrimsinsignes van Sinte Cunera te Rhenen H P Deys 34-54 ill tab 1994")</f>
        <v>0</v>
      </c>
      <c r="D3411" s="1">
        <f>hyperlink("http://dspace.library.uu.nl/handle/1874/249119","Martinus Wilhelmus van de Waal een honderdjarige in Rhenen H P Deys 3 - 13 1989")</f>
        <v>0</v>
      </c>
    </row>
    <row r="3412" spans="2:4">
      <c r="B3412">
        <v>56</v>
      </c>
      <c r="C3412" s="1">
        <f>hyperlink("https://hetutrechtsarchief.nl/collectie/9868D674D88754C689DC971E1E3BB71D","Dagelijks leven op de Willem Arntsz Hoeve in het begin van de 20e eeuw Hans Gooszen 12-15 2016")</f>
        <v>0</v>
      </c>
      <c r="D3412" s="1">
        <f>hyperlink("http://dspace.library.uu.nl/handle/1874/249120","Waar men nog lang over sprak een geruchtmakend voorval uit het begin van deze eeuw K van Ingen 27 - 29 1988")</f>
        <v>0</v>
      </c>
    </row>
    <row r="3413" spans="2:4">
      <c r="B3413">
        <v>56</v>
      </c>
      <c r="C3413" s="1">
        <f>hyperlink("https://hetutrechtsarchief.nl/collectie/8FEB1A6BE1F034C5E0534701000AFD82","Soesters in het leger van Napoleon Jan de Mos 8-16 2019")</f>
        <v>0</v>
      </c>
      <c r="D3413" s="1">
        <f>hyperlink("http://dspace.library.uu.nl/handle/1874/249121","Kostumes in het Cunera-lekespel Robert Jan Jansen 34 - 36 1987")</f>
        <v>0</v>
      </c>
    </row>
    <row r="3414" spans="2:4">
      <c r="B3414">
        <v>54</v>
      </c>
      <c r="C3414" s="1">
        <f>hyperlink("https://hetutrechtsarchief.nl/collectie/884B249EED445301BCCB04AE001D2959","De nieuwe Stadsbrief van Rhenen uit 1403 Ad J de Jong 13-15 2016")</f>
        <v>0</v>
      </c>
      <c r="D3414" s="1">
        <f>hyperlink("http://dspace.library.uu.nl/handle/1874/249122","Bekende Rhenenaren Ds Huibert Jacobus Budding 1810-1870 A J de Jong 13 - 16 1986")</f>
        <v>0</v>
      </c>
    </row>
    <row r="3415" spans="2:4">
      <c r="B3415">
        <v>57</v>
      </c>
      <c r="C3415" s="1">
        <f>hyperlink("https://hetutrechtsarchief.nl/collectie/430215EBC1C75A318E623319F67EA9E1","Een Utrechtse bouwmeester van de St Victorkerk te Xanten C Catharina van de Graft 50-57 1957")</f>
        <v>0</v>
      </c>
      <c r="D3415" s="1">
        <f>hyperlink("http://dspace.library.uu.nl/handle/1874/249123","Over de Duitse Orde en de bouwmeester s van de Rhenense Cunerakerk met haar toren A J de Jong 1 - 9 1988")</f>
        <v>0</v>
      </c>
    </row>
    <row r="3416" spans="2:4">
      <c r="B3416">
        <v>56</v>
      </c>
      <c r="C3416" s="1">
        <f>hyperlink("https://hetutrechtsarchief.nl/collectie/884B249EED445301BCCB04AE001D2959","De nieuwe Stadsbrief van Rhenen uit 1403 Ad J de Jong 13-15 2016")</f>
        <v>0</v>
      </c>
      <c r="D3416" s="1">
        <f>hyperlink("http://dspace.library.uu.nl/handle/1874/249124","Er wordt weer een stukje oud Rhenen gesloopt A J de Jong 19 - 21 1989")</f>
        <v>0</v>
      </c>
    </row>
    <row r="3417" spans="2:4">
      <c r="B3417">
        <v>60</v>
      </c>
      <c r="C3417" s="1">
        <f>hyperlink("https://hetutrechtsarchief.nl/collectie/174D34B93417543AB44F5082E81BCD52","De geschiedenis van deken Roes 10 - 11 1982")</f>
        <v>0</v>
      </c>
      <c r="D3417" s="1">
        <f>hyperlink("http://dspace.library.uu.nl/handle/1874/249125","De Koning van Denemarken J Mom 30 - 33 1988")</f>
        <v>0</v>
      </c>
    </row>
    <row r="3418" spans="2:4">
      <c r="B3418">
        <v>58</v>
      </c>
      <c r="C3418" s="1">
        <f>hyperlink("https://hetutrechtsarchief.nl/collectie/15A3228466495401A6C8D0A1E14138B8","De sneltram - G J R 23 1978")</f>
        <v>0</v>
      </c>
      <c r="D3418" s="1">
        <f>hyperlink("http://dspace.library.uu.nl/handle/1874/249126","Raadselachtig J Mom 21 - 23 1989")</f>
        <v>0</v>
      </c>
    </row>
    <row r="3419" spans="2:4">
      <c r="B3419">
        <v>58</v>
      </c>
      <c r="C3419" s="1">
        <f>hyperlink("https://hetutrechtsarchief.nl/collectie/D83A862A86E457F28CD7E8610ECD8A91","De Witte Vrouwen te Utrecht J H Hofman 117-230 1907")</f>
        <v>0</v>
      </c>
      <c r="D3419" s="1">
        <f>hyperlink("http://dspace.library.uu.nl/handle/1874/249127","De put uit de mevrouwenbuurt J Mom 18 1989")</f>
        <v>0</v>
      </c>
    </row>
    <row r="3420" spans="2:4">
      <c r="B3420">
        <v>91</v>
      </c>
      <c r="C3420" s="1">
        <f>hyperlink("https://hetutrechtsarchief.nl/collectie/A7A888585ABD5920910E1FB49E9C093F","Het Cunerafeest in Rhenen in 1571 H P Deys 75-79 ill 1987")</f>
        <v>0</v>
      </c>
      <c r="D3420" s="1">
        <f>hyperlink("http://dspace.library.uu.nl/handle/1874/249128","Het Cunerafeest in Rhenen in 1571 H P Deys 17 - 29 1987")</f>
        <v>0</v>
      </c>
    </row>
    <row r="3421" spans="2:4">
      <c r="B3421">
        <v>51</v>
      </c>
      <c r="C3421" s="1">
        <f>hyperlink("https://hetutrechtsarchief.nl/collectie/F780BE1BDFAE5641B784AABE34A87712","Feestrede uitgesproken door den Praeses van Olympia den Heer H B verLoren van Themaat ter gelegenheid van het 65-jarig bestaan op 12 Dec 1905 1-2 1905")</f>
        <v>0</v>
      </c>
      <c r="D3421" s="1">
        <f>hyperlink("http://dspace.library.uu.nl/handle/1874/249129","Feestlied gezongen door de schoolkinderen der gemeente Rhenen bij gelegenheid van de feestelijke opening der spoorlijn Amersfoort-Kesteren op den 17 Februari 1886 C J V 9 - 10 1989")</f>
        <v>0</v>
      </c>
    </row>
    <row r="3422" spans="2:4">
      <c r="B3422">
        <v>66</v>
      </c>
      <c r="C3422" s="1">
        <f>hyperlink("https://hetutrechtsarchief.nl/collectie/0E874BF70DFA5EE4B949CA0329A1E125","Historische vereniging in Baarn bloeiend begin in 1975 - L v T 63-64 1975")</f>
        <v>0</v>
      </c>
      <c r="D3422" s="1">
        <f>hyperlink("http://dspace.library.uu.nl/handle/1874/249130","De Historische Vereniging 80 jaar Redactie Oud-Rhenen 2 - 3 1987")</f>
        <v>0</v>
      </c>
    </row>
    <row r="3423" spans="2:4">
      <c r="B3423">
        <v>54</v>
      </c>
      <c r="C3423" s="1">
        <f>hyperlink("https://hetutrechtsarchief.nl/collectie/DDE23F7A54F353B6B5E7CB0AF5C8CD2B","Het Domplein - K 2-3 1937")</f>
        <v>0</v>
      </c>
      <c r="D3423" s="1">
        <f>hyperlink("http://dspace.library.uu.nl/handle/1874/249131","Het Spijk L Delfin 1987")</f>
        <v>0</v>
      </c>
    </row>
    <row r="3424" spans="2:4">
      <c r="B3424">
        <v>100</v>
      </c>
      <c r="C3424" s="1">
        <f>hyperlink("https://hetutrechtsarchief.nl/collectie/EA1C23092FF853BC99D6C2EDD0C734FD","Nog eens de Familie van Berck en Rijsenburg Wim Harzing 15-16 1962")</f>
        <v>0</v>
      </c>
      <c r="D3424" s="1">
        <f>hyperlink("http://dspace.library.uu.nl/handle/1874/250472","Nog eens de familie Van Berck en Rijsenburg Wim Harzing 15-16 1962")</f>
        <v>0</v>
      </c>
    </row>
    <row r="3425" spans="2:4">
      <c r="B3425">
        <v>92</v>
      </c>
      <c r="C3425" s="1">
        <f>hyperlink("https://hetutrechtsarchief.nl/collectie/E6701C92596E5118963EBD2601474A37","De riddermatige ambachts heerlykheid Rijsenburg een kaart uit 1797 Wim Harzing 67-68 1 uitvouwb krt 1960")</f>
        <v>0</v>
      </c>
      <c r="D3425" s="1">
        <f>hyperlink("http://dspace.library.uu.nl/handle/1874/250502","De riddermatige ambachts heerlykheid Rijsenburg een kaart uit 1797 Wim Harzing 67-68 1960")</f>
        <v>0</v>
      </c>
    </row>
    <row r="3426" spans="2:4">
      <c r="B3426">
        <v>100</v>
      </c>
      <c r="C3426" s="1">
        <f>hyperlink("https://hetutrechtsarchief.nl/collectie/82D35D4DC9BE59DE9B4FCBC0DF443632","Een Middelburgse natuurkundige in Zeist de stichting van een optica-fabriek Nico Vlak 42-44 1999")</f>
        <v>0</v>
      </c>
      <c r="D3426" s="1">
        <f>hyperlink("http://dspace.library.uu.nl/handle/1874/251899","Een Middelburgse natuurkundige in Zeist de stichting van een optica-fabriek Nico Vlak 42-44 1999")</f>
        <v>0</v>
      </c>
    </row>
    <row r="3427" spans="2:4">
      <c r="B3427">
        <v>96</v>
      </c>
      <c r="C3427" s="1">
        <f>hyperlink("https://hetutrechtsarchief.nl/collectie/E150B032AA775E0C84D9D2BF57B2D3E3","Een vergeten cabaretliedje Jack v d Dikkenberg 44-45 1999")</f>
        <v>0</v>
      </c>
      <c r="D3427" s="1">
        <f>hyperlink("http://dspace.library.uu.nl/handle/1874/251900","Een vergeten cabaretliedje Jacky van den Dikkenberg 44-45 1999")</f>
        <v>0</v>
      </c>
    </row>
    <row r="3428" spans="2:4">
      <c r="B3428">
        <v>100</v>
      </c>
      <c r="C3428" s="1">
        <f>hyperlink("https://hetutrechtsarchief.nl/collectie/1D5696DE15015AE8B91EA47FF9FEE2C2","Voor God en Oranje op zoek naar Huize Schoonoord als zetel van het Nationaal Centrum Olivier Heimel 67-76 1999")</f>
        <v>0</v>
      </c>
      <c r="D3428" s="1">
        <f>hyperlink("http://dspace.library.uu.nl/handle/1874/251901","Voor God en Oranje op zoek naar Huize Schoonoord als zetel van het Nationaal Centrum Olivier Heimel 67-76 1999")</f>
        <v>0</v>
      </c>
    </row>
    <row r="3429" spans="2:4">
      <c r="B3429">
        <v>100</v>
      </c>
      <c r="C3429" s="1">
        <f>hyperlink("https://hetutrechtsarchief.nl/collectie/CE52E626FCA45593B2A7181075468FE6","De twee modellen van Jan Veth Nellerieke Boucher 58-66 1999")</f>
        <v>0</v>
      </c>
      <c r="D3429" s="1">
        <f>hyperlink("http://dspace.library.uu.nl/handle/1874/251902","De twee modellen van Jan Veth Nellerieke Boucher 58-66 1999")</f>
        <v>0</v>
      </c>
    </row>
    <row r="3430" spans="2:4">
      <c r="B3430">
        <v>96</v>
      </c>
      <c r="C3430" s="1">
        <f>hyperlink("https://hetutrechtsarchief.nl/collectie/E31AD4C4882854529D6436F45AED7797","Het Slot te Zeist R P M Rhoen 3-30 1999")</f>
        <v>0</v>
      </c>
      <c r="D3430" s="1">
        <f>hyperlink("http://dspace.library.uu.nl/handle/1874/251903","Het Slot te Zeist R P M Rhoen 1 -30 1999")</f>
        <v>0</v>
      </c>
    </row>
    <row r="3431" spans="2:4">
      <c r="B3431">
        <v>99</v>
      </c>
      <c r="C3431" s="1">
        <f>hyperlink("https://hetutrechtsarchief.nl/collectie/CF77683FD59C5030B63C3D89A18A675F","Toekomstverkenning uit het verleden biedt stof tot nadenken Marc Wortman 79-83 1999")</f>
        <v>0</v>
      </c>
      <c r="D3431" s="1">
        <f>hyperlink("http://dspace.library.uu.nl/handle/1874/251904","Toekomstverkenning uit het verleden biedt stof tot nadenken Marc Wortmann 79-83 1999")</f>
        <v>0</v>
      </c>
    </row>
    <row r="3432" spans="2:4">
      <c r="B3432">
        <v>95</v>
      </c>
      <c r="C3432" s="1">
        <f>hyperlink("https://hetutrechtsarchief.nl/collectie/01152A242E8F5A51A2066C9851CCD19D","Twee zeepziederijen in Zeist R H C van Maanen 84-95 1999")</f>
        <v>0</v>
      </c>
      <c r="D3432" s="1">
        <f>hyperlink("http://dspace.library.uu.nl/handle/1874/251905","Twee zeepziederijen in Zeist Ron van Maanen 84-95 1999")</f>
        <v>0</v>
      </c>
    </row>
    <row r="3433" spans="2:4">
      <c r="B3433">
        <v>99</v>
      </c>
      <c r="C3433" s="1">
        <f>hyperlink("https://hetutrechtsarchief.nl/collectie/39688A36689454BBAA719A57AD28E0A6","Archeologische vondsten uit Zeist in perspectief Thomas J Cleij 3-11 2000")</f>
        <v>0</v>
      </c>
      <c r="D3433" s="1">
        <f>hyperlink("http://dspace.library.uu.nl/handle/1874/251906","Archeologische vondsten uit Zeist in perspectief Thomas Cleij 3-11 2000")</f>
        <v>0</v>
      </c>
    </row>
    <row r="3434" spans="2:4">
      <c r="B3434">
        <v>77</v>
      </c>
      <c r="C3434" s="1">
        <f>hyperlink("https://hetutrechtsarchief.nl/collectie/D9FEF7E2CCB958AFB747460DC71D90FC","Voorgeschiedenis van de Oranjevereniging te Zeist V A M van der Burg en R P M Rhoen 39-65 2000")</f>
        <v>0</v>
      </c>
      <c r="D3434" s="1">
        <f>hyperlink("http://dspace.library.uu.nl/handle/1874/251907","Voorgeschiedenis van de Oranjevereniging te Zeist R P M Burg V A M van der Rhoen 39-65 nr 3 p 97 rectificatie 2000")</f>
        <v>0</v>
      </c>
    </row>
    <row r="3435" spans="2:4">
      <c r="B3435">
        <v>100</v>
      </c>
      <c r="C3435" s="1">
        <f>hyperlink("https://hetutrechtsarchief.nl/collectie/570C2CBCB4EF5D9FB4B9D41F3881C305","De nieuwste straten van Zeist Leo Visser 33-36 2000")</f>
        <v>0</v>
      </c>
      <c r="D3435" s="1">
        <f>hyperlink("http://dspace.library.uu.nl/handle/1874/251908","De nieuwste straten van Zeist Leo Visser 33-36 2000")</f>
        <v>0</v>
      </c>
    </row>
    <row r="3436" spans="2:4">
      <c r="B3436">
        <v>98</v>
      </c>
      <c r="C3436" s="1">
        <f>hyperlink("https://hetutrechtsarchief.nl/collectie/84D6D1B77AF35A6AA6DE34C197D6D73F","De Zeisterse bierbrouwerij De Leeuw R P M Rhoen 71-80 2000")</f>
        <v>0</v>
      </c>
      <c r="D3436" s="1">
        <f>hyperlink("http://dspace.library.uu.nl/handle/1874/251909","De Zeister bierbrouwerij De Leeuw R P M Rhoen 71-80 2000")</f>
        <v>0</v>
      </c>
    </row>
    <row r="3437" spans="2:4">
      <c r="B3437">
        <v>100</v>
      </c>
      <c r="C3437" s="1">
        <f>hyperlink("https://hetutrechtsarchief.nl/collectie/EDF6D992D9D151F48F91C336B96D0A92","De geschiedenis van het vogelpark Casarca N J Dijkdrenth-Duijzend 85-92 2000")</f>
        <v>0</v>
      </c>
      <c r="D3437" s="1">
        <f>hyperlink("http://dspace.library.uu.nl/handle/1874/251910","De geschiedenis van het vogelpark Casarca N J Dijkdrenth-Duijzend 85-92 2000")</f>
        <v>0</v>
      </c>
    </row>
    <row r="3438" spans="2:4">
      <c r="B3438">
        <v>100</v>
      </c>
      <c r="C3438" s="1">
        <f>hyperlink("https://hetutrechtsarchief.nl/collectie/F26962AF98C95409AE49E24D3E3AD0EF","Instituut voor Veeteeltkundig Onderzoek Schoonoord dertig jaar in Zeist W Sybesma 93-96 2000")</f>
        <v>0</v>
      </c>
      <c r="D3438" s="1">
        <f>hyperlink("http://dspace.library.uu.nl/handle/1874/251911","Instituut voor Veeteeltkundig Onderzoek Schoonoord dertig jaar in Zeist W Sybesma 93-96 2000")</f>
        <v>0</v>
      </c>
    </row>
    <row r="3439" spans="2:4">
      <c r="B3439">
        <v>83</v>
      </c>
      <c r="C3439" s="1">
        <f>hyperlink("https://hetutrechtsarchief.nl/collectie/22F7E5B714C75FE6878D3C61A19154FE","De theatergeschiedenis van Figi Theo en Fr d rik Ruijs 99-129 2000")</f>
        <v>0</v>
      </c>
      <c r="D3439" s="1">
        <f>hyperlink("http://dspace.library.uu.nl/handle/1874/251912","De theatergeschiedenis van Figi Fr d rik Ruijs Theo Ruijs 99-131 2000")</f>
        <v>0</v>
      </c>
    </row>
    <row r="3440" spans="2:4">
      <c r="B3440">
        <v>56</v>
      </c>
      <c r="C3440" s="1">
        <f>hyperlink("https://hetutrechtsarchief.nl/collectie/E31AD4C4882854529D6436F45AED7797","Het Slot te Zeist R P M Rhoen 3-30 1999")</f>
        <v>0</v>
      </c>
      <c r="D3440" s="1">
        <f>hyperlink("http://dspace.library.uu.nl/handle/1874/251913","Griftesteijn ridderhofstad of boerehofstede R P M Rhoen 4-8 1999")</f>
        <v>0</v>
      </c>
    </row>
    <row r="3441" spans="2:4">
      <c r="B3441">
        <v>63</v>
      </c>
      <c r="C3441" s="1">
        <f>hyperlink("https://hetutrechtsarchief.nl/collectie/E31AD4C4882854529D6436F45AED7797","Het Slot te Zeist R P M Rhoen 3-30 1999")</f>
        <v>0</v>
      </c>
      <c r="D3441" s="1">
        <f>hyperlink("http://dspace.library.uu.nl/handle/1874/251914","Drie erfpachten uit het Slot R P M Rhoen 9-12 1999")</f>
        <v>0</v>
      </c>
    </row>
    <row r="3442" spans="2:4">
      <c r="B3442">
        <v>59</v>
      </c>
      <c r="C3442" s="1">
        <f>hyperlink("https://hetutrechtsarchief.nl/collectie/916C04CC5B5B5C0C939668FAB891C302","Zeist tijdens de crisis van de jaren dertig R P M Rhoen 133-137 2009")</f>
        <v>0</v>
      </c>
      <c r="D3442" s="1">
        <f>hyperlink("http://dspace.library.uu.nl/handle/1874/251915","De tuinlieden en de kasteleins op het Hof van de Nassaus in Zeist R P M Rhoen 13-21 1999")</f>
        <v>0</v>
      </c>
    </row>
    <row r="3443" spans="2:4">
      <c r="B3443">
        <v>65</v>
      </c>
      <c r="C3443" s="1">
        <f>hyperlink("https://hetutrechtsarchief.nl/collectie/E31AD4C4882854529D6436F45AED7797","Het Slot te Zeist R P M Rhoen 3-30 1999")</f>
        <v>0</v>
      </c>
      <c r="D3443" s="1">
        <f>hyperlink("http://dspace.library.uu.nl/handle/1874/251916","De aanleg van de Koelaan R P M Rhoen 22-30 1999")</f>
        <v>0</v>
      </c>
    </row>
    <row r="3444" spans="2:4">
      <c r="B3444">
        <v>99</v>
      </c>
      <c r="C3444" s="1">
        <f>hyperlink("https://hetutrechtsarchief.nl/collectie/1FA4C2B22B71503BB734CAC51D4A4879","Villa Jongerius huis van honderd verhalen Marceline Dolfin 8-9 2012")</f>
        <v>0</v>
      </c>
      <c r="D3444" s="1">
        <f>hyperlink("http://dspace.library.uu.nl/handle/1874/251917","Villa Jongerius huis van honderd verhalen Marceline Dolfijn 8-9 2012")</f>
        <v>0</v>
      </c>
    </row>
    <row r="3445" spans="2:4">
      <c r="B3445">
        <v>65</v>
      </c>
      <c r="C3445" s="1">
        <f>hyperlink("https://hetutrechtsarchief.nl/collectie/66F1EAFE36495EF8B119123359568403","Zeister sport in beeld 1 F Vogelzang en R P M Rhoen 3-19 2001")</f>
        <v>0</v>
      </c>
      <c r="D3445" s="1">
        <f>hyperlink("http://dspace.library.uu.nl/handle/1874/252232","Zeister sport in beeld R P M Vogelzang F Rhoen 3-19 nr 2 p 35-47 50-52 nr 3 p 59- 71 nr 4 p 87-103 2001")</f>
        <v>0</v>
      </c>
    </row>
    <row r="3446" spans="2:4">
      <c r="B3446">
        <v>100</v>
      </c>
      <c r="C3446" s="1">
        <f>hyperlink("https://hetutrechtsarchief.nl/collectie/87813290E8E25D079525F96BA7852761","De gemeentelijke herindeling van Zeist R P M Rhoen 24-29 2001")</f>
        <v>0</v>
      </c>
      <c r="D3446" s="1">
        <f>hyperlink("http://dspace.library.uu.nl/handle/1874/252233","De gemeentelijke herindeling van Zeist R P M Rhoen 24-29 2001")</f>
        <v>0</v>
      </c>
    </row>
    <row r="3447" spans="2:4">
      <c r="B3447">
        <v>100</v>
      </c>
      <c r="C3447" s="1">
        <f>hyperlink("https://hetutrechtsarchief.nl/collectie/E3A5456BEAD35595AE2EB4051A62C210","Een reclamecampagne in de lente van 1940 J A van den Dikkenberg 54-56 2001")</f>
        <v>0</v>
      </c>
      <c r="D3447" s="1">
        <f>hyperlink("http://dspace.library.uu.nl/handle/1874/252234","Een reclamecampagne in de lente van 1940 J A van den Dikkenberg 54-56 2001")</f>
        <v>0</v>
      </c>
    </row>
    <row r="3448" spans="2:4">
      <c r="B3448">
        <v>77</v>
      </c>
      <c r="C3448" s="1">
        <f>hyperlink("https://hetutrechtsarchief.nl/collectie/95EF4557B5DE55AC9E4780008CE5547A","Freule Jo verhuist 1951 4-6 2001")</f>
        <v>0</v>
      </c>
      <c r="D3448" s="1">
        <f>hyperlink("http://dspace.library.uu.nl/handle/1874/252235","Freule Jo verhuist 1951 V A M van der Burg 4-6 2001")</f>
        <v>0</v>
      </c>
    </row>
    <row r="3449" spans="2:4">
      <c r="B3449">
        <v>85</v>
      </c>
      <c r="C3449" s="1">
        <f>hyperlink("https://hetutrechtsarchief.nl/collectie/CF9C39661EED597BAA32FC54CD6EBCD1","Oprichting van de Van de Poll Stichting 1951 7-11 2001")</f>
        <v>0</v>
      </c>
      <c r="D3449" s="1">
        <f>hyperlink("http://dspace.library.uu.nl/handle/1874/252236","Oprichting van de Van de Poll Stichting 1951 V A M van der Burg 7-11 2001")</f>
        <v>0</v>
      </c>
    </row>
    <row r="3450" spans="2:4">
      <c r="B3450">
        <v>80</v>
      </c>
      <c r="C3450" s="1">
        <f>hyperlink("https://hetutrechtsarchief.nl/collectie/D0084316F23E58BC954EA8F0C8F1ED48","Het zilveren jubileum 1976 12-14 2001")</f>
        <v>0</v>
      </c>
      <c r="D3450" s="1">
        <f>hyperlink("http://dspace.library.uu.nl/handle/1874/252237","Het zilveren jubileum 1976 V A M van der Burg 12-14 2001")</f>
        <v>0</v>
      </c>
    </row>
    <row r="3451" spans="2:4">
      <c r="B3451">
        <v>79</v>
      </c>
      <c r="C3451" s="1">
        <f>hyperlink("https://hetutrechtsarchief.nl/collectie/A42ADE07672D5384A1D791813C17273E","Markante Zeistenaren 1991 15-17 2001")</f>
        <v>0</v>
      </c>
      <c r="D3451" s="1">
        <f>hyperlink("http://dspace.library.uu.nl/handle/1874/252238","Markante Zeistenaren 1991 V A M van der Burg 15-17 2001")</f>
        <v>0</v>
      </c>
    </row>
    <row r="3452" spans="2:4">
      <c r="B3452">
        <v>99</v>
      </c>
      <c r="C3452" s="1">
        <f>hyperlink("https://hetutrechtsarchief.nl/collectie/A94CF337EED653B6966893588E620B2A","Zeister Historisch Genootschap Van de Poll Stichting V A M van der Burg 18-21 2001")</f>
        <v>0</v>
      </c>
      <c r="D3452" s="1">
        <f>hyperlink("http://dspace.library.uu.nl/handle/1874/252239","Zeister Historisch Genootschap Van de Poll Stichting V A M van der Burg 18-20 2001")</f>
        <v>0</v>
      </c>
    </row>
    <row r="3453" spans="2:4">
      <c r="B3453">
        <v>100</v>
      </c>
      <c r="C3453" s="1">
        <f>hyperlink("https://hetutrechtsarchief.nl/collectie/45F9EF5E14675C0B80269C1424FCC4BE","De paardenstoeterij van de gebroeders Van der Haar L Visser 72-77 2001")</f>
        <v>0</v>
      </c>
      <c r="D3453" s="1">
        <f>hyperlink("http://dspace.library.uu.nl/handle/1874/252240","De paardenstoeterij van de gebroeders Van der Haar L Visser 72-77 2001")</f>
        <v>0</v>
      </c>
    </row>
    <row r="3454" spans="2:4">
      <c r="B3454">
        <v>100</v>
      </c>
      <c r="C3454" s="1">
        <f>hyperlink("https://hetutrechtsarchief.nl/collectie/702DCF0F1D49558F88B228E7E86C8E2B","Wie ontwierp de tuinen van Schoonoord J H Heimel 78-82 2001")</f>
        <v>0</v>
      </c>
      <c r="D3454" s="1">
        <f>hyperlink("http://dspace.library.uu.nl/handle/1874/252241","Wie ontwierp de tuinen van Schoonoord J H Heimel 78-82 2001")</f>
        <v>0</v>
      </c>
    </row>
    <row r="3455" spans="2:4">
      <c r="B3455">
        <v>60</v>
      </c>
      <c r="C3455" s="1">
        <f>hyperlink("https://hetutrechtsarchief.nl/collectie/8E7EA78786B6C648E0534701000AD082","Een oorkonde opmaat voor geschiedschrijving Herman Docter 17-24 2019")</f>
        <v>0</v>
      </c>
      <c r="D3455" s="1">
        <f>hyperlink("http://dspace.library.uu.nl/handle/1874/252242","50 jaar plaatselijke geschiedschrijving V A M van der Burg 2001")</f>
        <v>0</v>
      </c>
    </row>
    <row r="3456" spans="2:4">
      <c r="B3456">
        <v>100</v>
      </c>
      <c r="C3456" s="1">
        <f>hyperlink("https://hetutrechtsarchief.nl/collectie/1115CDF1C98554958159E9268EA789C1","Zeister tramrails als daterings-instrument JanHein Heimel 5-8 2002")</f>
        <v>0</v>
      </c>
      <c r="D3456" s="1">
        <f>hyperlink("http://dspace.library.uu.nl/handle/1874/252243","Zeister tramrails als daterings-instrument JanHein Heimel 5-8 2002")</f>
        <v>0</v>
      </c>
    </row>
    <row r="3457" spans="2:4">
      <c r="B3457">
        <v>100</v>
      </c>
      <c r="C3457" s="1">
        <f>hyperlink("https://hetutrechtsarchief.nl/collectie/484E99C1930C5726B9BC30618E5AE453","Zeist-West apart W de Jong 9-11 2002")</f>
        <v>0</v>
      </c>
      <c r="D3457" s="1">
        <f>hyperlink("http://dspace.library.uu.nl/handle/1874/252244","Zeist-West apart W de Jong 9-11 2002")</f>
        <v>0</v>
      </c>
    </row>
    <row r="3458" spans="2:4">
      <c r="B3458">
        <v>100</v>
      </c>
      <c r="C3458" s="1">
        <f>hyperlink("https://hetutrechtsarchief.nl/collectie/F74EF7C97ED856FDB96E0E89E1339D68","Voorjaarsvoorstelling Figi wederom groot succes Jaap van Zoonen 22-25 2002")</f>
        <v>0</v>
      </c>
      <c r="D3458" s="1">
        <f>hyperlink("http://dspace.library.uu.nl/handle/1874/252245","Voorjaarsvoorstelling Figi wederom groot succes Jaap van Zoonen 22-25 2002")</f>
        <v>0</v>
      </c>
    </row>
    <row r="3459" spans="2:4">
      <c r="B3459">
        <v>99</v>
      </c>
      <c r="C3459" s="1">
        <f>hyperlink("https://hetutrechtsarchief.nl/collectie/DF379886233E52A3AB735E208149F6A7","Klein Schoonoord voorheen Driebergseweg 6 Jan Hein Heimel 27-30 2002")</f>
        <v>0</v>
      </c>
      <c r="D3459" s="1">
        <f>hyperlink("http://dspace.library.uu.nl/handle/1874/252246","Klein Schoonoord voorheen Driebergseweg 6 JanHein Heimel 27-30 2002")</f>
        <v>0</v>
      </c>
    </row>
    <row r="3460" spans="2:4">
      <c r="B3460">
        <v>100</v>
      </c>
      <c r="C3460" s="1">
        <f>hyperlink("https://hetutrechtsarchief.nl/collectie/9C3F283E9C5154268E003E6ADF09302D","Badhuizen in Zeist Leo Visser 35- 47 2002")</f>
        <v>0</v>
      </c>
      <c r="D3460" s="1">
        <f>hyperlink("http://dspace.library.uu.nl/handle/1874/252247","Badhuizen in Zeist Leo Visser 35- 47 2002")</f>
        <v>0</v>
      </c>
    </row>
    <row r="3461" spans="2:4">
      <c r="B3461">
        <v>100</v>
      </c>
      <c r="C3461" s="1">
        <f>hyperlink("https://hetutrechtsarchief.nl/collectie/A4D4EF1AA89F5926BB0076D72DA6F85F","Bouw verval en restauratie van de Pyramide van Austerlitz A F M Reichgelt 49-63 2002")</f>
        <v>0</v>
      </c>
      <c r="D3461" s="1">
        <f>hyperlink("http://dspace.library.uu.nl/handle/1874/252248","Bouw verval en restauratie van de Pyramide van Austerlitz A F M Reichgelt 49-63 2002")</f>
        <v>0</v>
      </c>
    </row>
    <row r="3462" spans="2:4">
      <c r="B3462">
        <v>91</v>
      </c>
      <c r="C3462" s="1">
        <f>hyperlink("https://hetutrechtsarchief.nl/collectie/ECA1065FA60253D88C59193AEA14FBF1","Zeister bedrijven Koninklijk onderscheiden de nijverheid te Zeist in kaart gebracht 1830-1930 V A M van der Burg en R P M Rhoen 67-128 2002")</f>
        <v>0</v>
      </c>
      <c r="D3462" s="1">
        <f>hyperlink("http://dspace.library.uu.nl/handle/1874/252249","Zeister bedrijven Koninklijk onderscheiden de nijverheid te Zeist in kaart gebracht 1830-1930 R P M Burg V A M van der Rhoen 67-128 2002")</f>
        <v>0</v>
      </c>
    </row>
    <row r="3463" spans="2:4">
      <c r="B3463">
        <v>57</v>
      </c>
      <c r="C3463" s="1">
        <f>hyperlink("https://hetutrechtsarchief.nl/collectie/A9FF8E6FCB6A9DD8E0534701000A26DC","Het Sint-Martinuskoor 1920-2020 de geschiedenis van een 100-jarige Cees van Loen 4-48 2020")</f>
        <v>0</v>
      </c>
      <c r="D3463" s="1">
        <f>hyperlink("http://dspace.library.uu.nl/handle/1874/252250","Hoe Zeist zijn glans verloor de geschiedenis van een eeuw vol zilver P J Prins 105-115 2001")</f>
        <v>0</v>
      </c>
    </row>
    <row r="3464" spans="2:4">
      <c r="B3464">
        <v>95</v>
      </c>
      <c r="C3464" s="1">
        <f>hyperlink("https://hetutrechtsarchief.nl/collectie/47C9256E150A5607B2BEDF0F54D0D69E","In memoriam Cor Schilp 1892-1990 Casper H Staal 79-80 portr 1990")</f>
        <v>0</v>
      </c>
      <c r="D3464" s="1">
        <f>hyperlink("http://dspace.library.uu.nl/handle/1874/252251","In memoriam Cor Schilp 1892-1990 Casper H Staal 79-80 1990")</f>
        <v>0</v>
      </c>
    </row>
    <row r="3465" spans="2:4">
      <c r="B3465">
        <v>57</v>
      </c>
      <c r="C3465" s="1">
        <f>hyperlink("https://hetutrechtsarchief.nl/collectie/8B9584AD24876B62E0534701000A1ABA","Het Landgoed Bredius en de Hofstede Batestein Ed van Keimpema 33-47 2019")</f>
        <v>0</v>
      </c>
      <c r="D3465" s="1">
        <f>hyperlink("http://dspace.library.uu.nl/handle/1874/252390","Het landgoed Ryplikerwaard onder IJselstein J J de Geer van Oudegein 307 -314 1902")</f>
        <v>0</v>
      </c>
    </row>
    <row r="3466" spans="2:4">
      <c r="B3466">
        <v>66</v>
      </c>
      <c r="C3466" s="1">
        <f>hyperlink("https://hetutrechtsarchief.nl/collectie/32AACF1FCF7E5F97B91700B872943980","Missive en verdere deductie door eenige leden van de Vroedschap der stad Utrecht overgegeven aan Z H den Heere Prince van Oranje en Nassau etc medeged door J L A Martens 404-424 1877")</f>
        <v>0</v>
      </c>
      <c r="D3466" s="1">
        <f>hyperlink("http://dspace.library.uu.nl/handle/1874/252391","Missive en verdere deductie door eenige leden van de Vroedschap der stad Utrecht overgegeven aan Zijne Hoogh den Heere Prince van Oranje en Nassau etc etc etc concernerende de sessie en presidie van den Hoofdofficier in de vergadering van de vroedschap en van desselfs substituut in het geregt Bij absentie van den principalen schout J L A Martens 404-424 1877")</f>
        <v>0</v>
      </c>
    </row>
    <row r="3467" spans="2:4">
      <c r="B3467">
        <v>95</v>
      </c>
      <c r="C3467" s="1">
        <f>hyperlink("https://hetutrechtsarchief.nl/collectie/679B9B813D0C5852861CA3DB61A17C93","Advies der Utrechtsche Gedeputeerden ter Generaliteit betreffende den toestand des lands in den aanvang van het jaar 1747 medeged door J L A Martens 374-376 1877")</f>
        <v>0</v>
      </c>
      <c r="D3467" s="1">
        <f>hyperlink("http://dspace.library.uu.nl/handle/1874/252392","Advies der Utrechtsche Gedeputeerden der Generaliteit betreffende de toestand des Lands in den aanvang van het jaar 1747 J L A Martens 374-376 1877")</f>
        <v>0</v>
      </c>
    </row>
    <row r="3468" spans="2:4">
      <c r="B3468">
        <v>92</v>
      </c>
      <c r="C3468" s="1">
        <f>hyperlink("https://hetutrechtsarchief.nl/collectie/41016D16E4D25E668265B61532BF5798","Bericht uit s Hage aan de regenten van Utrecht medeged door J L A Martens 367-368 1877")</f>
        <v>0</v>
      </c>
      <c r="D3468" s="1">
        <f>hyperlink("http://dspace.library.uu.nl/handle/1874/252393","Bericht uit s Hage aan de Regenten van Utrecht J L A Martens 367-368 1877")</f>
        <v>0</v>
      </c>
    </row>
    <row r="3469" spans="2:4">
      <c r="B3469">
        <v>95</v>
      </c>
      <c r="C3469" s="1">
        <f>hyperlink("https://hetutrechtsarchief.nl/collectie/0570ED252CC15554A8966AC5FE4B37E9","Deductie van de regeering der stad Utrecht betreffende haar recht om eigenmachtig belastingen te heffen medeged door J L A Martens 391-403 1877")</f>
        <v>0</v>
      </c>
      <c r="D3469" s="1">
        <f>hyperlink("http://dspace.library.uu.nl/handle/1874/252394","Decuctie van de regeering der stad Utrecht betreffende haar recht om eigenmachtig belastingen te heffen J L A Martens 391-403 1877")</f>
        <v>0</v>
      </c>
    </row>
    <row r="3470" spans="2:4">
      <c r="B3470">
        <v>96</v>
      </c>
      <c r="C3470" s="1">
        <f>hyperlink("https://hetutrechtsarchief.nl/collectie/1E328F995A785703AFFDC38C472787FF","Deductie van de regeering der stad Utrecht gericht aan de Staten s Lands van Utrecht ter handhaving harer nominatie ter verkiezing van een lid der ge ligeerden medeged door J L A Martens 346-367 1877")</f>
        <v>0</v>
      </c>
      <c r="D3470" s="1">
        <f>hyperlink("http://dspace.library.uu.nl/handle/1874/252395","Decuctie van de regeering der stad Utrecht gericht aan de Staten s Lands van Utrecht ter handhaving harer nominatie ter verkiezing van een lid der Ge ligeerden J L A Martens 346-367 1877")</f>
        <v>0</v>
      </c>
    </row>
    <row r="3471" spans="2:4">
      <c r="B3471">
        <v>95</v>
      </c>
      <c r="C3471" s="1">
        <f>hyperlink("https://hetutrechtsarchief.nl/collectie/F89B48429B8F5CF0A659CC48E89651AA","Copie van t origineele request gepresenteerd November 1673 gevolgd door de qualificatie van de requestranten medeged door J L A Martens 342-346 1877")</f>
        <v>0</v>
      </c>
      <c r="D3471" s="1">
        <f>hyperlink("http://dspace.library.uu.nl/handle/1874/252396","Copie van t origineele request gepresenteerd November 1673 gevolgd door de qualificatie van de requestranten J L A Martens 342-346 1877")</f>
        <v>0</v>
      </c>
    </row>
    <row r="3472" spans="2:4">
      <c r="B3472">
        <v>100</v>
      </c>
      <c r="C3472" s="1">
        <f>hyperlink("https://hetutrechtsarchief.nl/collectie/04C2D6F318E75500834C3391C0BDD686","De castellani van Utrecht hoofdzakelijk in de 12de eeuw C Pijnacker Hordijk 1-25 1902")</f>
        <v>0</v>
      </c>
      <c r="D3472" s="1">
        <f>hyperlink("http://dspace.library.uu.nl/handle/1874/252397","De Castellani van Utrecht hoofdzakelijk in de 12de eeuw C Pijnacker Hordijk 1-25 1902")</f>
        <v>0</v>
      </c>
    </row>
    <row r="3473" spans="2:4">
      <c r="B3473">
        <v>100</v>
      </c>
      <c r="C3473" s="1">
        <f>hyperlink("https://hetutrechtsarchief.nl/collectie/FEB0DAD88CEA52928ACB914007967498","Hollandsche en Fransche Utrechtsche couranten W P Sautijn Kluit 26-168 1877")</f>
        <v>0</v>
      </c>
      <c r="D3473" s="1">
        <f>hyperlink("http://dspace.library.uu.nl/handle/1874/252398","Hollandsche en Fransche Utrechtsche couranten W P Sautijn Kluit 26-168 1877")</f>
        <v>0</v>
      </c>
    </row>
    <row r="3474" spans="2:4">
      <c r="B3474">
        <v>96</v>
      </c>
      <c r="C3474" s="1">
        <f>hyperlink("https://hetutrechtsarchief.nl/collectie/973F3B0EED3F5C668549F329011288CB","Beklag uitgebracht in de vroedschap der stad Utrecht deswegens dat vier leden dier vroedschap bij de herbenoeming door Z H in 1749 waren voorbijgegaan medeged door J L A Martens 377-390 1877")</f>
        <v>0</v>
      </c>
      <c r="D3474" s="1">
        <f>hyperlink("http://dspace.library.uu.nl/handle/1874/252399","Beklag uitgebracht in de vroedschap der stad Utrecht deswegens dat vier leden dier vroedschap bij de herbenoeming door Z HGH in 1749 waren voorbijgegaan J L A Martens 377-390 1877")</f>
        <v>0</v>
      </c>
    </row>
    <row r="3475" spans="2:4">
      <c r="B3475">
        <v>100</v>
      </c>
      <c r="C3475" s="1">
        <f>hyperlink("https://hetutrechtsarchief.nl/collectie/77B248DED4F25534BBA334D84E1D07E2","1 februari 1953 Zeist in actie bij de watersnoodramp Ria Efd e 4 -14 2003")</f>
        <v>0</v>
      </c>
      <c r="D3475" s="1">
        <f>hyperlink("http://dspace.library.uu.nl/handle/1874/252400","1 februari 1953 Zeist in actie bij de watersnoodramp Ria Efd e 4 -14 2003")</f>
        <v>0</v>
      </c>
    </row>
    <row r="3476" spans="2:4">
      <c r="B3476">
        <v>100</v>
      </c>
      <c r="C3476" s="1">
        <f>hyperlink("https://hetutrechtsarchief.nl/collectie/0E64E98FAB905271B043F2767C263CEA","Het Gerodorp alleen nog te zien op foto en film C J E Schuller tot Peursum 22-24 2003")</f>
        <v>0</v>
      </c>
      <c r="D3476" s="1">
        <f>hyperlink("http://dspace.library.uu.nl/handle/1874/252401","Het Gerodorp alleen nog te zien op foto en film C J E Schuller tot Peursum 22-24 2003")</f>
        <v>0</v>
      </c>
    </row>
    <row r="3477" spans="2:4">
      <c r="B3477">
        <v>79</v>
      </c>
      <c r="C3477" s="1">
        <f>hyperlink("https://hetutrechtsarchief.nl/collectie/F2528767A0065D09A18E39E361C072A0","Een logeerpartij te Zeist in 1877 Nellerieke Boucher 25-32 2003")</f>
        <v>0</v>
      </c>
      <c r="D3477" s="1">
        <f>hyperlink("http://dspace.library.uu.nl/handle/1874/252402","Een logeerpartij te Zeist in 1877 Ada Geertruide Boucher Nellerieke Beets 25-32 2003")</f>
        <v>0</v>
      </c>
    </row>
    <row r="3478" spans="2:4">
      <c r="B3478">
        <v>100</v>
      </c>
      <c r="C3478" s="1">
        <f>hyperlink("https://hetutrechtsarchief.nl/collectie/67C9B3A9F98A5018A80A414BF54F7FA5","Poging tot vermaak van Canadese militairen in 1945 Entertainment Committee of the Netherlands afdeling Zeist R P M Rhoen 37-56 2003")</f>
        <v>0</v>
      </c>
      <c r="D3478" s="1">
        <f>hyperlink("http://dspace.library.uu.nl/handle/1874/252403","Poging tot vermaak van Canadese militairen in 1945 Entertainment Committee of the Netherlands afdeling Zeist R P M Rhoen 37-56 2003")</f>
        <v>0</v>
      </c>
    </row>
    <row r="3479" spans="2:4">
      <c r="B3479">
        <v>97</v>
      </c>
      <c r="C3479" s="1">
        <f>hyperlink("https://hetutrechtsarchief.nl/collectie/CA5DE194364054EFA2C3D8FA517F193B","Prentbriefkaarten van de oostelijke entree van Zeist J H Heimel 58- 57 -59 2003")</f>
        <v>0</v>
      </c>
      <c r="D3479" s="1">
        <f>hyperlink("http://dspace.library.uu.nl/handle/1874/252404","Prentbriefkaarten van de oostelijke entree van Zeist J H Heimel 57 -59 2003")</f>
        <v>0</v>
      </c>
    </row>
    <row r="3480" spans="2:4">
      <c r="B3480">
        <v>58</v>
      </c>
      <c r="C3480" s="1">
        <f>hyperlink("https://hetutrechtsarchief.nl/collectie/85E270FBF3F657AD8BD5BDC00D958C2A","De Bilt toen en nu 70-71 2013")</f>
        <v>0</v>
      </c>
      <c r="D3480" s="1">
        <f>hyperlink("http://dspace.library.uu.nl/handle/1874/252405","Boerenbouw 70- 103 2003")</f>
        <v>0</v>
      </c>
    </row>
    <row r="3481" spans="2:4">
      <c r="B3481">
        <v>64</v>
      </c>
      <c r="C3481" s="1">
        <f>hyperlink("https://hetutrechtsarchief.nl/collectie/AC10BB526F74598A9271722039F3CAAA","Van Christelijk Sanatorium tot Altrecht Flora de Vrijer 33-42 2003")</f>
        <v>0</v>
      </c>
      <c r="D3481" s="1">
        <f>hyperlink("http://dspace.library.uu.nl/handle/1874/252406","Het Christelijk Sanatorium 1903-2003 Flora de Mens Noor Rhoen R P M Vrijer 1 - 43 2003")</f>
        <v>0</v>
      </c>
    </row>
    <row r="3482" spans="2:4">
      <c r="B3482">
        <v>100</v>
      </c>
      <c r="C3482" s="1">
        <f>hyperlink("https://hetutrechtsarchief.nl/collectie/37E10A68342355F19489600CF881724A","De bouwgeschiedenis Noor Mens 4-11 2003")</f>
        <v>0</v>
      </c>
      <c r="D3482" s="1">
        <f>hyperlink("http://dspace.library.uu.nl/handle/1874/252407","De bouwgeschiedenis Noor Mens 4-11 2003")</f>
        <v>0</v>
      </c>
    </row>
    <row r="3483" spans="2:4">
      <c r="B3483">
        <v>100</v>
      </c>
      <c r="C3483" s="1">
        <f>hyperlink("https://hetutrechtsarchief.nl/collectie/AD0CDA75E41D5B99802615F1A59C95F8","Meer h tel dan hospitaal een beeld van de oprichting en de bouw van het Christelijk Sanatorium in Zeist R P M Rhoen 12 -32 2003")</f>
        <v>0</v>
      </c>
      <c r="D3483" s="1">
        <f>hyperlink("http://dspace.library.uu.nl/handle/1874/252408","Meer h tel dan hospitaal een beeld van de oprichting en de bouw van het Christelijk Sanatorium in Zeist R P M Rhoen 12 -32 2003")</f>
        <v>0</v>
      </c>
    </row>
    <row r="3484" spans="2:4">
      <c r="B3484">
        <v>100</v>
      </c>
      <c r="C3484" s="1">
        <f>hyperlink("https://hetutrechtsarchief.nl/collectie/CD64FA0425E4536FB8DA8483B2E3BF07","De particuliere begraafplaats van de familie Nepveu op Dijnselburg R P M Rhoen 60-68 2003")</f>
        <v>0</v>
      </c>
      <c r="D3484" s="1">
        <f>hyperlink("http://dspace.library.uu.nl/handle/1874/252409","De particuliere begraafplaats van de familie Nepveu op Dijnselburg R P M Rhoen 60-68 2003")</f>
        <v>0</v>
      </c>
    </row>
    <row r="3485" spans="2:4">
      <c r="B3485">
        <v>100</v>
      </c>
      <c r="C3485" s="1">
        <f>hyperlink("https://hetutrechtsarchief.nl/collectie/AC10BB526F74598A9271722039F3CAAA","Van Christelijk Sanatorium tot Altrecht Flora de Vrijer 33-42 2003")</f>
        <v>0</v>
      </c>
      <c r="D3485" s="1">
        <f>hyperlink("http://dspace.library.uu.nl/handle/1874/252410","Van Christelijk Sanatorium tot Altrecht Flora de Vrijer 33-42 2003")</f>
        <v>0</v>
      </c>
    </row>
    <row r="3486" spans="2:4">
      <c r="B3486">
        <v>98</v>
      </c>
      <c r="C3486" s="1">
        <f>hyperlink("https://hetutrechtsarchief.nl/collectie/150D1A98039659F5919D85065B0DE8E0","Beelden uit Zeist Leo Visser 105-111 2003")</f>
        <v>0</v>
      </c>
      <c r="D3486" s="1">
        <f>hyperlink("http://dspace.library.uu.nl/handle/1874/252411","Beelden uit Zeist L Visser 105-111 2003")</f>
        <v>0</v>
      </c>
    </row>
    <row r="3487" spans="2:4">
      <c r="B3487">
        <v>100</v>
      </c>
      <c r="C3487" s="1">
        <f>hyperlink("https://hetutrechtsarchief.nl/collectie/6E26AAF5ED395472A5E85DB7ED91B39D","Tot te eeniger tijd ook bij het volk de wetenschap der hygi ne meer zal zijn doorgedrongen R P M Rhoen 112-118 2003")</f>
        <v>0</v>
      </c>
      <c r="D3487" s="1">
        <f>hyperlink("http://dspace.library.uu.nl/handle/1874/252412","Tot te eeniger tijd ook bij het volk de wetenschap der hygi ne meer zal zijn doorgedrongen R P M Rhoen 112-118 2003")</f>
        <v>0</v>
      </c>
    </row>
    <row r="3488" spans="2:4">
      <c r="B3488">
        <v>100</v>
      </c>
      <c r="C3488" s="1">
        <f>hyperlink("https://hetutrechtsarchief.nl/collectie/A07DE221FBB452A8B68D41B12F4F35A7","De verwarring rond het Kamp van Zeist R P M Rhoen 126- 132 2003")</f>
        <v>0</v>
      </c>
      <c r="D3488" s="1">
        <f>hyperlink("http://dspace.library.uu.nl/handle/1874/252413","De verwarring rond het Kamp van Zeist R P M Rhoen 126- 132 2003")</f>
        <v>0</v>
      </c>
    </row>
    <row r="3489" spans="2:4">
      <c r="B3489">
        <v>100</v>
      </c>
      <c r="C3489" s="1">
        <f>hyperlink("https://hetutrechtsarchief.nl/collectie/52DB4B6D80435A598C55EB91817B3337","Het landschap rondom Slot Zeist R P M Rhoen 3-12 2004")</f>
        <v>0</v>
      </c>
      <c r="D3489" s="1">
        <f>hyperlink("http://dspace.library.uu.nl/handle/1874/252414","Het landschap rondom Slot Zeist R P M Rhoen 3-12 2004")</f>
        <v>0</v>
      </c>
    </row>
    <row r="3490" spans="2:4">
      <c r="B3490">
        <v>100</v>
      </c>
      <c r="C3490" s="1">
        <f>hyperlink("https://hetutrechtsarchief.nl/collectie/94DA7AB484775EF684AA1B0DCCED1ABC","Historische raamwerken als dragers van de bouwgeschiedenis van Zeist H Dekker 20-24 2004")</f>
        <v>0</v>
      </c>
      <c r="D3490" s="1">
        <f>hyperlink("http://dspace.library.uu.nl/handle/1874/252415","Historische raamwerken als dragers van de bouwgeschiedenis van Zeist H Dekker 20-24 2004")</f>
        <v>0</v>
      </c>
    </row>
    <row r="3491" spans="2:4">
      <c r="B3491">
        <v>100</v>
      </c>
      <c r="C3491" s="1">
        <f>hyperlink("https://hetutrechtsarchief.nl/collectie/55F36A8C6E925ADCB124D2F419930B72","Dr Guido Verbeek 1830-1898 een in Japan ge erd Zeistenaar R P M Rhoen 25-27 2004")</f>
        <v>0</v>
      </c>
      <c r="D3491" s="1">
        <f>hyperlink("http://dspace.library.uu.nl/handle/1874/252416","Dr Guido Verbeek 1830-1898 een in Japan ge erd Zeistenaar R P M Rhoen 25-27 2004")</f>
        <v>0</v>
      </c>
    </row>
    <row r="3492" spans="2:4">
      <c r="B3492">
        <v>100</v>
      </c>
      <c r="C3492" s="1">
        <f>hyperlink("https://hetutrechtsarchief.nl/collectie/1B401CAA3E3B5F2A8EAECB1B4BC46FED","Austerlitz het kamp en het dorp Ria Efd e 77-100 2004")</f>
        <v>0</v>
      </c>
      <c r="D3492" s="1">
        <f>hyperlink("http://dspace.library.uu.nl/handle/1874/252417","Austerlitz het kamp en het dorp Ria Efd e 77-100 2004")</f>
        <v>0</v>
      </c>
    </row>
    <row r="3493" spans="2:4">
      <c r="B3493">
        <v>100</v>
      </c>
      <c r="C3493" s="1">
        <f>hyperlink("https://hetutrechtsarchief.nl/collectie/9F55DF8A79D2549C9065D1DD47244CCA","Vorstelijke avond in de Gouden Eeuw Monumentennacht in Slot Zeist 101-103 2004")</f>
        <v>0</v>
      </c>
      <c r="D3493" s="1">
        <f>hyperlink("http://dspace.library.uu.nl/handle/1874/252418","Vorstelijke avond in de Gouden Eeuw Monumentennacht in Slot Zeist 101-103 2004")</f>
        <v>0</v>
      </c>
    </row>
    <row r="3494" spans="2:4">
      <c r="B3494">
        <v>100</v>
      </c>
      <c r="C3494" s="1">
        <f>hyperlink("https://hetutrechtsarchief.nl/collectie/B47CAC6816125082B8B5D3C7DF77537F","Over de heide die ooit tussen Zeist Driebergen en Woudenberg lag R Loenen 119-125 2003")</f>
        <v>0</v>
      </c>
      <c r="D3494" s="1">
        <f>hyperlink("http://dspace.library.uu.nl/handle/1874/252419","Over de heide die ooit tussen Zeist Driebergen en Woudenberg lag R Loenen 119-125 2003")</f>
        <v>0</v>
      </c>
    </row>
    <row r="3495" spans="2:4">
      <c r="B3495">
        <v>85</v>
      </c>
      <c r="C3495" s="1">
        <f>hyperlink("https://hetutrechtsarchief.nl/collectie/5739E2154B1E5CCABE6CB773ED3117D6","80 jaar ADO speelgoed met een doel Herman uit de Bosch en W van den Broeke 107-123 2004")</f>
        <v>0</v>
      </c>
      <c r="D3495" s="1">
        <f>hyperlink("http://dspace.library.uu.nl/handle/1874/252420","80 jaar ADO speelgoed met een doel Willem van den Bosch Herman uit de Broeke 107-123 2004")</f>
        <v>0</v>
      </c>
    </row>
    <row r="3496" spans="2:4">
      <c r="B3496">
        <v>100</v>
      </c>
      <c r="C3496" s="1">
        <f>hyperlink("https://hetutrechtsarchief.nl/collectie/C2AF87D91B10529E8DE4EE4D401797FC","Lou Bandy op Nieuw Beerschoten R P M Rhoen 131-133 2004")</f>
        <v>0</v>
      </c>
      <c r="D3496" s="1">
        <f>hyperlink("http://dspace.library.uu.nl/handle/1874/252421","Lou Bandy op Nieuw Beerschoten R P M Rhoen 131-133 2004")</f>
        <v>0</v>
      </c>
    </row>
    <row r="3497" spans="2:4">
      <c r="B3497">
        <v>82</v>
      </c>
      <c r="C3497" s="1">
        <f>hyperlink("https://hetutrechtsarchief.nl/collectie/79BC2E97D2315D449A51C9D4B0D4CFB3","De oorlogsmonumenten in Zeist R P M Rhoen 3-51 2005")</f>
        <v>0</v>
      </c>
      <c r="D3497" s="1">
        <f>hyperlink("http://dspace.library.uu.nl/handle/1874/252422","De oorlogsmonumenten in Zeist J Rhoen R P M Gillebaard 3-51 2005")</f>
        <v>0</v>
      </c>
    </row>
    <row r="3498" spans="2:4">
      <c r="B3498">
        <v>100</v>
      </c>
      <c r="C3498" s="1">
        <f>hyperlink("https://hetutrechtsarchief.nl/collectie/DB50E2C122FE57AEBC423E5EBB4D2F13","Uit de collectie gelicht 1 schilderij landhuis Pavia Nelleriek Boucher 58-60 2005")</f>
        <v>0</v>
      </c>
      <c r="D3498" s="1">
        <f>hyperlink("http://dspace.library.uu.nl/handle/1874/252423","Uit de collectie gelicht 1 schilderij landhuis Pavia Nelleriek Boucher 58-60 2005")</f>
        <v>0</v>
      </c>
    </row>
    <row r="3499" spans="2:4">
      <c r="B3499">
        <v>100</v>
      </c>
      <c r="C3499" s="1">
        <f>hyperlink("https://hetutrechtsarchief.nl/collectie/A95B4A79F0E35C4CBC00FEC72382D68F","Uit de collectie gelicht 2 de voorzittershamer Fred Steensma 61-63 2005")</f>
        <v>0</v>
      </c>
      <c r="D3499" s="1">
        <f>hyperlink("http://dspace.library.uu.nl/handle/1874/252424","Uit de collectie gelicht 2 de voorzittershamer Fred Steensma 61-63 2005")</f>
        <v>0</v>
      </c>
    </row>
    <row r="3500" spans="2:4">
      <c r="B3500">
        <v>99</v>
      </c>
      <c r="C3500" s="1">
        <f>hyperlink("https://hetutrechtsarchief.nl/collectie/5FFCBB5CD29A5D268CBCF6E881F107E6","Monumenten van Zeist overzicht van deelnemende kerkgebouwen en gebouwen voor geloofsbijeenkomsten 69-100 2005")</f>
        <v>0</v>
      </c>
      <c r="D3500" s="1">
        <f>hyperlink("http://dspace.library.uu.nl/handle/1874/252425","Monumenten van Zeist overzicht van deelnemende kerkgebouwen en gebouwen voor geloofsbijeenkomsten 67 -100 2005")</f>
        <v>0</v>
      </c>
    </row>
    <row r="3501" spans="2:4">
      <c r="B3501">
        <v>86</v>
      </c>
      <c r="C3501" s="1">
        <f>hyperlink("https://hetutrechtsarchief.nl/collectie/DF5D3A1E50195A66AF462B2CDDBD3439","Een rondgang door het dorp Zeist 1805-1850 V A M van der Burg en R P M Rhoen 103-122 2005")</f>
        <v>0</v>
      </c>
      <c r="D3501" s="1">
        <f>hyperlink("http://dspace.library.uu.nl/handle/1874/252426","Een rondgang door het dorp Zeist 1805-1850 R P M Burg V A M van der Rhoen 103-122 2005")</f>
        <v>0</v>
      </c>
    </row>
    <row r="3502" spans="2:4">
      <c r="B3502">
        <v>100</v>
      </c>
      <c r="C3502" s="1">
        <f>hyperlink("https://hetutrechtsarchief.nl/collectie/74E70387C59B5EBBBD329AEFDFDC8792","Het Interneringskamp Zeist Leo Visser 123-130 2005")</f>
        <v>0</v>
      </c>
      <c r="D3502" s="1">
        <f>hyperlink("http://dspace.library.uu.nl/handle/1874/252427","Het Interneringskamp Zeist Leo Visser 123-130 2005")</f>
        <v>0</v>
      </c>
    </row>
    <row r="3503" spans="2:4">
      <c r="B3503">
        <v>100</v>
      </c>
      <c r="C3503" s="1">
        <f>hyperlink("https://hetutrechtsarchief.nl/collectie/23594143756151F2AAC958C4C8163024","Uit de collectie gelicht 3 een andere ambtsketen Jan Hein Heimel 131 2005")</f>
        <v>0</v>
      </c>
      <c r="D3503" s="1">
        <f>hyperlink("http://dspace.library.uu.nl/handle/1874/252428","Uit de collectie gelicht 3 een andere ambtsketen Jan Hein Heimel 131 2005")</f>
        <v>0</v>
      </c>
    </row>
    <row r="3504" spans="2:4">
      <c r="B3504">
        <v>98</v>
      </c>
      <c r="C3504" s="1">
        <f>hyperlink("https://hetutrechtsarchief.nl/collectie/8951C4795A3F5C2C9635FD0FB280DFED","Beelden Zeist uit L Visser 124-130 2004")</f>
        <v>0</v>
      </c>
      <c r="D3504" s="1">
        <f>hyperlink("http://dspace.library.uu.nl/handle/1874/252429","Beelden Zeist uit Leo Visser 124-130 2004")</f>
        <v>0</v>
      </c>
    </row>
    <row r="3505" spans="2:4">
      <c r="B3505">
        <v>62</v>
      </c>
      <c r="C3505" s="1">
        <f>hyperlink("https://hetutrechtsarchief.nl/collectie/A07DE221FBB452A8B68D41B12F4F35A7","De verwarring rond het Kamp van Zeist R P M Rhoen 126- 132 2003")</f>
        <v>0</v>
      </c>
      <c r="D3505" s="1">
        <f>hyperlink("http://dspace.library.uu.nl/handle/1874/252430","De Indische Martha van Zeijst alias Passie R P M Rhoen 134 2004")</f>
        <v>0</v>
      </c>
    </row>
    <row r="3506" spans="2:4">
      <c r="B3506">
        <v>95</v>
      </c>
      <c r="C3506" s="1">
        <f>hyperlink("https://hetutrechtsarchief.nl/collectie/9071B187A6FE5FB9802CC286D00D867A","Rekest van eenige aanzienlijke inwoners van Utrecht naar aanleiding van de gewelddadige inbreuk op de vrijheid der stadsregeering in Maart 1785 medeged door J L A Martens 425-429 1877")</f>
        <v>0</v>
      </c>
      <c r="D3506" s="1">
        <f>hyperlink("http://dspace.library.uu.nl/handle/1874/252516","Rekest van eenige aanzienlijke inwoners van Utrecht naar aanleiding van de gewelddadige inbreuk op de vrijheid der stadsregeering in maart 1785 J L A Martens 425-436 1877")</f>
        <v>0</v>
      </c>
    </row>
    <row r="3507" spans="2:4">
      <c r="B3507">
        <v>64</v>
      </c>
      <c r="C3507" s="1">
        <f>hyperlink("https://hetutrechtsarchief.nl/collectie/3ACA5A9FEC5C52FE90CE42C421E1B5C9","Het archief der bisschoppen van Utrecht S Muller Fz 1-30 17 1888")</f>
        <v>0</v>
      </c>
      <c r="D3507" s="1">
        <f>hyperlink("http://dspace.library.uu.nl/handle/1874/252517","Het oprichten eener vroedschap te Utrecht S Muller 73-94 1879")</f>
        <v>0</v>
      </c>
    </row>
    <row r="3508" spans="2:4">
      <c r="B3508">
        <v>60</v>
      </c>
      <c r="C3508" s="1">
        <f>hyperlink("https://hetutrechtsarchief.nl/collectie/065965A97DF85E209B3DC30608FFADFC","Berijmd verhaal van het beleg van IJsselstein door Gelder en Utrecht in 1511 uitg door J H Gall e en S Muller Fz 665 -703 en In XLIV C 11 - Vol 1 1 - 23 1875-1883 p 1-39 12 - Overdr van BMGH - 4 1881 - In convoluut - Collectie Muller Pl 3 No 11 1881")</f>
        <v>0</v>
      </c>
      <c r="D3508" s="1">
        <f>hyperlink("http://dspace.library.uu.nl/handle/1874/252617","Berijmd verhaal van het beleg van IJsselstein door Gelder en Utrecht in 1511 S Gall e J H Muller 665 -703 1881")</f>
        <v>0</v>
      </c>
    </row>
    <row r="3509" spans="2:4">
      <c r="B3509">
        <v>63</v>
      </c>
      <c r="C3509" s="1">
        <f>hyperlink("https://hetutrechtsarchief.nl/collectie/7D8255D9AC805706ADE766C1CD6D0905","Fragment eener kroniek van het voorgevallene te Utrecht in 1524-1548 door Jhr Herbaren van Aemstel van Mijnden Heer van Ruwiel medeged door S Muller Fz 328 -352 en In XLIV C 11 - Vol 1 1 - 23 1875-1883 p 2-26 17 - Overdr van BMHG - 5 1882 - Met aantek in handschrift - In convoluut - Collectie Muller Pl 3 No 11 1882")</f>
        <v>0</v>
      </c>
      <c r="D3509" s="1">
        <f>hyperlink("http://dspace.library.uu.nl/handle/1874/252618","Fragment eener kroniek van het voorgevallene in Utrecht in 1524-1548 door Jhr Herbaren van Aemstel van Mijnden heer van Ruwiel S Muller 328 -352 1882")</f>
        <v>0</v>
      </c>
    </row>
    <row r="3510" spans="2:4">
      <c r="B3510">
        <v>100</v>
      </c>
      <c r="C3510" s="1">
        <f>hyperlink("https://hetutrechtsarchief.nl/collectie/A945DD052850532BA2889FE5DDE911C3","De rekeningen van de kerkmeesters der Buurkerk te Utrecht in de 15e eeuw F A L van Rappard 25 -224 1880")</f>
        <v>0</v>
      </c>
      <c r="D3510" s="1">
        <f>hyperlink("http://dspace.library.uu.nl/handle/1874/252619","De rekeningen van de kerkmeesters der Buurkerk te Utrecht in de 15e eeuw F A L van Rappard 25-224 1880")</f>
        <v>0</v>
      </c>
    </row>
    <row r="3511" spans="2:4">
      <c r="B3511">
        <v>89</v>
      </c>
      <c r="C3511" s="1">
        <f>hyperlink("https://hetutrechtsarchief.nl/collectie/53F9AB3B8EB65FF882E257F6605D684B","Stukken rakende de HH Edelen en Ridderschappen s Lands van Utrecht die beschreven plachten te worden van den jare 1375 tot 1630 25 -39 1882")</f>
        <v>0</v>
      </c>
      <c r="D3511" s="1">
        <f>hyperlink("http://dspace.library.uu.nl/handle/1874/252620","Stukken rakende de HH Edelen en Ridderschappen s Lands van Utrecht die beschreven plachten te worden van den jare 1375 tot 1630 uit het Archief van Hilten J Ridder 25 -39 1882")</f>
        <v>0</v>
      </c>
    </row>
    <row r="3512" spans="2:4">
      <c r="B3512">
        <v>96</v>
      </c>
      <c r="C3512" s="1">
        <f>hyperlink("https://hetutrechtsarchief.nl/collectie/B2802FF200795A2AB845C27C329B8DF0","Notitie van t voorgevallene bij den doorbraek van den Leckendijck Bovendams in de Wijckerweert bij Wijck op den 28 Febr 1747 genoteert in de stad Utrecht 40 -66 1882")</f>
        <v>0</v>
      </c>
      <c r="D3512" s="1">
        <f>hyperlink("http://dspace.library.uu.nl/handle/1874/252621","Notitie van t voorgevallene bij den doorbraek van den Leckendijk Bovendams in de Wijckerweert bij Wijck op den 28 Febr 1747 genoteert in de stad Utrecht Dirk Woertman 40 -66 1882")</f>
        <v>0</v>
      </c>
    </row>
    <row r="3513" spans="2:4">
      <c r="B3513">
        <v>93</v>
      </c>
      <c r="C3513" s="1">
        <f>hyperlink("https://hetutrechtsarchief.nl/collectie/0D5ED6DC82285E84858C4BDE404C2591","Geschiedenis der vicari n in de provincie Utrecht en der geestelijke en gebeneficieerde goederen in het algemeen na de Reformatie medeged door H Verloren van Themaat 98 -664 1881")</f>
        <v>0</v>
      </c>
      <c r="D3513" s="1">
        <f>hyperlink("http://dspace.library.uu.nl/handle/1874/252622","Geschiedenis der vicarien in de provincie Utrecht en der geestelijke- of gebenificeerde goederen in het algemeen na de Reformatie H Verloren van Themaat 98 -664 1881")</f>
        <v>0</v>
      </c>
    </row>
    <row r="3514" spans="2:4">
      <c r="B3514">
        <v>100</v>
      </c>
      <c r="C3514" s="1">
        <f>hyperlink("https://hetutrechtsarchief.nl/collectie/737B9477958253DFA6640E5613588D79","Stukken rakende de lichting der waardgelders te Utrecht 307 -327 1882")</f>
        <v>0</v>
      </c>
      <c r="D3514" s="1">
        <f>hyperlink("http://dspace.library.uu.nl/handle/1874/252623","Stukken rakende de lichting der Waardgelders te Utrecht 307 -327 1882")</f>
        <v>0</v>
      </c>
    </row>
    <row r="3515" spans="2:4">
      <c r="B3515">
        <v>97</v>
      </c>
      <c r="C3515" s="1">
        <f>hyperlink("https://hetutrechtsarchief.nl/collectie/D6F25502F0BA547598015232C5F74A48","Korte notitie van t geene gebeurt is bij occasie van t afsterven van de Heer Boudaen raad in de Vroedschap der stad Utrecht en mijne bevordering in desselfs plaats met het geene van tijd tot tijd daerop gevolgt is 251 -306 1882")</f>
        <v>0</v>
      </c>
      <c r="D3515" s="1">
        <f>hyperlink("http://dspace.library.uu.nl/handle/1874/252624","Korte notitie van t geene gebeurt is bij occasie van t afsterven van de Heer Boudaen Raad in de Vroedschap der stad Utrecht en mijne bevordering in desselfs plaats met het geene van tijd tot tijd daerop gevolgt is Dirk Woertman 251 -306 1882")</f>
        <v>0</v>
      </c>
    </row>
    <row r="3516" spans="2:4">
      <c r="B3516">
        <v>74</v>
      </c>
      <c r="C3516" s="1">
        <f>hyperlink("https://hetutrechtsarchief.nl/collectie/0DD212DD7BBF5B58A257FC77AFB453C8","Memorie van tgeene mij is voorgekoome in het besolliciteren van de vroedschaps-plaats van de stad Utrecht gevaceert door de doot van den heer ontfanger Mansveldt 421 -422 en In XLIV C 11 - Vol 1 1 - 23 1875-1883 p 1-2 18 - Overdr van BMHG - 5 1882 - In convoluut - Collectie Muller Pl 3 No 11 1882")</f>
        <v>0</v>
      </c>
      <c r="D3516" s="1">
        <f>hyperlink("http://dspace.library.uu.nl/handle/1874/252625","Memorie van tgeene mij is voorgekoome in het besolliciteren van de Vroedschaps-plaats van de stad Utrecht gevaceert door de doot van den heer ontvanger Mansveldt 421 -422 1882")</f>
        <v>0</v>
      </c>
    </row>
    <row r="3517" spans="2:4">
      <c r="B3517">
        <v>99</v>
      </c>
      <c r="C3517" s="1">
        <f>hyperlink("https://hetutrechtsarchief.nl/collectie/B29F02BB216057299A1B8AFEA52F7C69","Werk- en tuchthuis te Utrecht in 1615 opgericht uit de goederen der broederschappen en remonstrantie van den Hr van Moersbergen daartegen 388 -422 1882")</f>
        <v>0</v>
      </c>
      <c r="D3517" s="1">
        <f>hyperlink("http://dspace.library.uu.nl/handle/1874/252626","Werk- en tuchthuis te Utrecht in 1615 opgericht uit de goederen der broederschappen en remonstrantie van den Hr van Moersbergen daartegen 388 -420 1882")</f>
        <v>0</v>
      </c>
    </row>
    <row r="3518" spans="2:4">
      <c r="B3518">
        <v>89</v>
      </c>
      <c r="C3518" s="1">
        <f>hyperlink("https://hetutrechtsarchief.nl/collectie/648FEE02820F50BFA633AA6E4D64CA21","Rekening van het oudschildgeld 1585 86 medeged door W F N van Rootselaar 23 -97 1881")</f>
        <v>0</v>
      </c>
      <c r="D3518" s="1">
        <f>hyperlink("http://dspace.library.uu.nl/handle/1874/252627","Rekening van het oudschildgeld 1585 86 W F N Rootselaar 23 -97 1881")</f>
        <v>0</v>
      </c>
    </row>
    <row r="3519" spans="2:4">
      <c r="B3519">
        <v>57</v>
      </c>
      <c r="C3519" s="1">
        <f>hyperlink("https://hetutrechtsarchief.nl/collectie/E7AB11BD74435BE7A936DD8EDC82F963","De priester-broederschap in de vijf hoofdkerken te Utrecht J H Hofman 1-45 161-200 351-394 1879")</f>
        <v>0</v>
      </c>
      <c r="D3519" s="1">
        <f>hyperlink("http://dspace.library.uu.nl/handle/1874/252760","Acte van resignatie eener vicarie in de Domkerk te Utrecht 31 Juli 1591 357 -359 1884")</f>
        <v>0</v>
      </c>
    </row>
    <row r="3520" spans="2:4">
      <c r="B3520">
        <v>95</v>
      </c>
      <c r="C3520" s="1">
        <f>hyperlink("https://hetutrechtsarchief.nl/collectie/B9AAC1AD78785E7F98230FDA06625FF9","Het necrologium van het Karthuizer-klooster Nieuwlicht of Bloemendaal buiten Utrecht medeged door L van Hasselt 126 -392 1886")</f>
        <v>0</v>
      </c>
      <c r="D3520" s="1">
        <f>hyperlink("http://dspace.library.uu.nl/handle/1874/252761","Het Necrologium van het Karthuizer-klooster Nieuwlicht of Bloemendaal buiten Utrecht L van Hasselt 126 -392 1886")</f>
        <v>0</v>
      </c>
    </row>
    <row r="3521" spans="2:4">
      <c r="B3521">
        <v>96</v>
      </c>
      <c r="C3521" s="1">
        <f>hyperlink("https://hetutrechtsarchief.nl/collectie/F89B4A325FA9509FB4E559EF3E298E0B","Stukken over den tegenstand der Utrechtsche katholieken onder leiding van den scholaster van Oudmunster Jacob Cuynretorff tegen de Unie van Utrecht medeged door P L Muller 393 -472 1886")</f>
        <v>0</v>
      </c>
      <c r="D3521" s="1">
        <f>hyperlink("http://dspace.library.uu.nl/handle/1874/252762","Stukken over den tegenstand der Utrechtsche Katholieken onder leiding van den scholaster van Oudmunster Jacob Cuynretorff tegen de Unie van Utrecht P L Muller 393 -472 1886")</f>
        <v>0</v>
      </c>
    </row>
    <row r="3522" spans="2:4">
      <c r="B3522">
        <v>60</v>
      </c>
      <c r="C3522" s="1">
        <f>hyperlink("https://hetutrechtsarchief.nl/collectie/737B9477958253DFA6640E5613588D79","Stukken rakende de lichting der waardgelders te Utrecht 307 -327 1882")</f>
        <v>0</v>
      </c>
      <c r="D3522" s="1">
        <f>hyperlink("http://dspace.library.uu.nl/handle/1874/252763","Stukken betreffende de groote en kleine kalende-broederschappen te Utrecht S Muller 117 -153 1885")</f>
        <v>0</v>
      </c>
    </row>
    <row r="3523" spans="2:4">
      <c r="B3523">
        <v>83</v>
      </c>
      <c r="C3523" s="1">
        <f>hyperlink("https://hetutrechtsarchief.nl/collectie/5028298EB6D45BCD9987F60FA6AEF447","Nog eenige stukken betreffende den strijd der bisschoppen van Utrecht met de stad Utrecht over het bezit van heerlijke rechten S Muller Fz 227 -266 en In XLIV C 15 - Vol 5 1 - 20 1893-1896 p 227-266 2 1893")</f>
        <v>0</v>
      </c>
      <c r="D3523" s="1">
        <f>hyperlink("http://dspace.library.uu.nl/handle/1874/252764","Stukken betreffende den strijd der bisschoppen van Utrecht met de stad Utrecht over het bezit van heerlijke rechten S Muller 31 -125 dl 14 1893 p 227 -266 1886-1893")</f>
        <v>0</v>
      </c>
    </row>
    <row r="3524" spans="2:4">
      <c r="B3524">
        <v>99</v>
      </c>
      <c r="C3524" s="1">
        <f>hyperlink("https://hetutrechtsarchief.nl/collectie/D25B3111D98F538B9114A062240C0E43","Visitatie der kerken ten platten lande in het sticht van Utrecht ten jare 1593 186 -267 1884")</f>
        <v>0</v>
      </c>
      <c r="D3524" s="1">
        <f>hyperlink("http://dspace.library.uu.nl/handle/1874/252765","Visitatie der kerken ten platte lande in het Sticht van Utrecht ten jare 1593 186 -267 1884")</f>
        <v>0</v>
      </c>
    </row>
    <row r="3525" spans="2:4">
      <c r="B3525">
        <v>55</v>
      </c>
      <c r="C3525" s="1">
        <f>hyperlink("https://hetutrechtsarchief.nl/collectie/B3FAC59D4D2755B5B9C1ADEB86DF97CF","Oorkonden betrekkelijk de oprigting van het Koningrijk Holland in 1806 3 -126 1856")</f>
        <v>0</v>
      </c>
      <c r="D3525" s="1">
        <f>hyperlink("http://dspace.library.uu.nl/handle/1874/252766","Audientie eener deputatie van Oudewater bij koning Lodewijk Dec 1807 272 -276 1885")</f>
        <v>0</v>
      </c>
    </row>
    <row r="3526" spans="2:4">
      <c r="B3526">
        <v>55</v>
      </c>
      <c r="C3526" s="1">
        <f>hyperlink("https://hetutrechtsarchief.nl/collectie/737B9477958253DFA6640E5613588D79","Stukken rakende de lichting der waardgelders te Utrecht 307 -327 1882")</f>
        <v>0</v>
      </c>
      <c r="D3526" s="1">
        <f>hyperlink("http://dspace.library.uu.nl/handle/1874/252767","Stukken uit het archief van Oudewater 360 -388 1884")</f>
        <v>0</v>
      </c>
    </row>
    <row r="3527" spans="2:4">
      <c r="B3527">
        <v>58</v>
      </c>
      <c r="C3527" s="1">
        <f>hyperlink("https://hetutrechtsarchief.nl/collectie/BD5F034278115319A58127CF9025338C","Hernhutters in vijf continenten H L Ph Leeuwenberg 80-82 ill 1974")</f>
        <v>0</v>
      </c>
      <c r="D3527" s="1">
        <f>hyperlink("http://dspace.library.uu.nl/handle/1874/253233","Aanwinst belangrijke Viaanse munt H L Ph Leeuwenberg 57-58 1990")</f>
        <v>0</v>
      </c>
    </row>
    <row r="3528" spans="2:4">
      <c r="B3528">
        <v>55</v>
      </c>
      <c r="C3528" s="1">
        <f>hyperlink("https://hetutrechtsarchief.nl/collectie/36C083DAB26C587FA9858272078D7E16","De werkgroep Archeologie en haar werkzaamheden R van der Mark 54-57 1999")</f>
        <v>0</v>
      </c>
      <c r="D3528" s="1">
        <f>hyperlink("http://dspace.library.uu.nl/handle/1874/253234","De N H kerk te Hagestein archeologisch nader bekeken H Sarfatij 60-61 1990")</f>
        <v>0</v>
      </c>
    </row>
    <row r="3529" spans="2:4">
      <c r="B3529">
        <v>59</v>
      </c>
      <c r="C3529" s="1">
        <f>hyperlink("https://hetutrechtsarchief.nl/collectie/7900441B87A35AC1BC5AA647644AB27A","De Stichtse Rijnlanden Joop Alberts 10-14 2005")</f>
        <v>0</v>
      </c>
      <c r="D3529" s="1">
        <f>hyperlink("http://dspace.library.uu.nl/handle/1874/253313","De Vijfheerenlanden J Smits 1-3 1980")</f>
        <v>0</v>
      </c>
    </row>
    <row r="3530" spans="2:4">
      <c r="B3530">
        <v>99</v>
      </c>
      <c r="C3530" s="1">
        <f>hyperlink("https://hetutrechtsarchief.nl/collectie/644A2AD28DDC5BE598433C2A02DA6F35","Roelof Jesse 1858 Zaltbommel - 1939 Rhenen Willem H Strous 7-33 2003")</f>
        <v>0</v>
      </c>
      <c r="D3530" s="1">
        <f>hyperlink("http://dspace.library.uu.nl/handle/1874/253690","Roelof Jesse 1858 Zaltbommel - 1939 Rhenen Willem H Strous 6-33 2003")</f>
        <v>0</v>
      </c>
    </row>
    <row r="3531" spans="2:4">
      <c r="B3531">
        <v>98</v>
      </c>
      <c r="C3531" s="1">
        <f>hyperlink("https://hetutrechtsarchief.nl/collectie/112D107A3B5F570E8EF832F46BABF74B","Vissen in de Rijn bij Rhenen Hans Dekker 39-49 2003")</f>
        <v>0</v>
      </c>
      <c r="D3531" s="1">
        <f>hyperlink("http://dspace.library.uu.nl/handle/1874/253691","Vissen in de Rijn bij Rhenen Hens Dekker 39-49 2003")</f>
        <v>0</v>
      </c>
    </row>
    <row r="3532" spans="2:4">
      <c r="B3532">
        <v>100</v>
      </c>
      <c r="C3532" s="1">
        <f>hyperlink("https://hetutrechtsarchief.nl/collectie/692182CE615A548490E24415E95F7F0F","Op stap met Jet Jan jong in 1910 leerlingen van de basisschool gaan terug in de tijd Edwin Maes 6-13 2003")</f>
        <v>0</v>
      </c>
      <c r="D3532" s="1">
        <f>hyperlink("http://dspace.library.uu.nl/handle/1874/253780","Op stap met Jet Jan jong in 1910 leerlingen van de basisschool gaan terug in de tijd Edwin Maes 6-13 2003")</f>
        <v>0</v>
      </c>
    </row>
    <row r="3533" spans="2:4">
      <c r="B3533">
        <v>100</v>
      </c>
      <c r="C3533" s="1">
        <f>hyperlink("https://hetutrechtsarchief.nl/collectie/043AFF375A1B54E0A02579C0358FD482","Vuursteen het staal der steentijd Hans Smulders 14-25 2003")</f>
        <v>0</v>
      </c>
      <c r="D3533" s="1">
        <f>hyperlink("http://dspace.library.uu.nl/handle/1874/253781","Vuursteen het staal der steentijd Hans Smulders 14-25 2003")</f>
        <v>0</v>
      </c>
    </row>
    <row r="3534" spans="2:4">
      <c r="B3534">
        <v>100</v>
      </c>
      <c r="C3534" s="1">
        <f>hyperlink("https://hetutrechtsarchief.nl/collectie/A23BD1B249715B0798F5754C46722839","Het Rhenense dialect J P Menting 28-44 2003")</f>
        <v>0</v>
      </c>
      <c r="D3534" s="1">
        <f>hyperlink("http://dspace.library.uu.nl/handle/1874/253782","Het Rhenense dialect J P Menting 28-44 2003")</f>
        <v>0</v>
      </c>
    </row>
    <row r="3535" spans="2:4">
      <c r="B3535">
        <v>97</v>
      </c>
      <c r="C3535" s="1">
        <f>hyperlink("https://hetutrechtsarchief.nl/collectie/8EED19CD2FE15FC2BBBCA701458DDEA8","Rhenen of Reenen H P Deys 49-53 2003")</f>
        <v>0</v>
      </c>
      <c r="D3535" s="1">
        <f>hyperlink("http://dspace.library.uu.nl/handle/1874/253783","Rhenen of Reenen H P Deys 48-53 2003")</f>
        <v>0</v>
      </c>
    </row>
    <row r="3536" spans="2:4">
      <c r="B3536">
        <v>100</v>
      </c>
      <c r="C3536" s="1">
        <f>hyperlink("https://hetutrechtsarchief.nl/collectie/580FB81A0F555B62BEA3C8C29DBD9C5C","Rijksstraatweg 234 Elst U H E Dekhuijzen 10-16 2003")</f>
        <v>0</v>
      </c>
      <c r="D3536" s="1">
        <f>hyperlink("http://dspace.library.uu.nl/handle/1874/253784","Rijksstraatweg 234 Elst U H E Dekhuijzen 10-16 2003")</f>
        <v>0</v>
      </c>
    </row>
    <row r="3537" spans="2:4">
      <c r="B3537">
        <v>100</v>
      </c>
      <c r="C3537" s="1">
        <f>hyperlink("https://hetutrechtsarchief.nl/collectie/7B8EFA1235355D9081C5FA13C3F4704D","De Nederlandse Hervormde Gemeente te Elst U haar kerk en de restauratie van 2002 N G van den Oosterkamp 17-40 2003")</f>
        <v>0</v>
      </c>
      <c r="D3537" s="1">
        <f>hyperlink("http://dspace.library.uu.nl/handle/1874/253785","De Nederlandse Hervormde Gemeente te Elst U haar kerk en de restauratie van 2002 N G van den Oosterkamp 17-40 2003")</f>
        <v>0</v>
      </c>
    </row>
    <row r="3538" spans="2:4">
      <c r="B3538">
        <v>100</v>
      </c>
      <c r="C3538" s="1">
        <f>hyperlink("https://hetutrechtsarchief.nl/collectie/835CC723E1585823BA6E462C5578120D","Vuursteen en het Egelmeer Ad J de Jong 41-44 2003")</f>
        <v>0</v>
      </c>
      <c r="D3538" s="1">
        <f>hyperlink("http://dspace.library.uu.nl/handle/1874/253786","Vuursteen en het Egelmeer Ad J de Jong 41-44 2003")</f>
        <v>0</v>
      </c>
    </row>
    <row r="3539" spans="2:4">
      <c r="B3539">
        <v>88</v>
      </c>
      <c r="C3539" s="1">
        <f>hyperlink("https://hetutrechtsarchief.nl/collectie/17AD6227A97D58DC8C3379EB0E0F7E1D","De nieuwe stadsbrief van Rhenen uit 1403 A J de Jong en Ph J van Dael 45-54 2003")</f>
        <v>0</v>
      </c>
      <c r="D3539" s="1">
        <f>hyperlink("http://dspace.library.uu.nl/handle/1874/253787","De nieuwe stadsbrief van Rhenen uit 1403 Ph J van Jong A J de Dael 45-54 2003")</f>
        <v>0</v>
      </c>
    </row>
    <row r="3540" spans="2:4">
      <c r="B3540">
        <v>100</v>
      </c>
      <c r="C3540" s="1">
        <f>hyperlink("https://hetutrechtsarchief.nl/collectie/D10F54DF40EC57A9B5FBD1254B73A47A","De geschiedenis van het voetbal in Rhenen na WO II H C Boelhouwer 5-17 2004")</f>
        <v>0</v>
      </c>
      <c r="D3540" s="1">
        <f>hyperlink("http://dspace.library.uu.nl/handle/1874/253788","De geschiedenis van het voetbal in Rhenen na WO II H C Boelhouwer 5-17 2004")</f>
        <v>0</v>
      </c>
    </row>
    <row r="3541" spans="2:4">
      <c r="B3541">
        <v>78</v>
      </c>
      <c r="C3541" s="1">
        <f>hyperlink("https://hetutrechtsarchief.nl/collectie/3D7ACBB9D8DA51F68251C21E68BD5D4D","Lijsters in Rhenen Henk Dekker 25-27 2013")</f>
        <v>0</v>
      </c>
      <c r="D3541" s="1">
        <f>hyperlink("http://dspace.library.uu.nl/handle/1874/253789","De Zusters van Rhenen Hens Dekker 54-57 2003")</f>
        <v>0</v>
      </c>
    </row>
    <row r="3542" spans="2:4">
      <c r="B3542">
        <v>100</v>
      </c>
      <c r="C3542" s="1">
        <f>hyperlink("https://hetutrechtsarchief.nl/collectie/27620705C1F3506CAA07438E3D923A61","De prentbriefkaarten in de gidsjes van Willem van Nas H P Deys 33-43 2004")</f>
        <v>0</v>
      </c>
      <c r="D3542" s="1">
        <f>hyperlink("http://dspace.library.uu.nl/handle/1874/253790","De prentbriefkaarten in de gidsjes van Willem van Nas H P Deys 33-43 2004")</f>
        <v>0</v>
      </c>
    </row>
    <row r="3543" spans="2:4">
      <c r="B3543">
        <v>92</v>
      </c>
      <c r="C3543" s="1">
        <f>hyperlink("https://hetutrechtsarchief.nl/collectie/5E28DFC5047E5D2DA7E7FA69F447EE07","Schoneveld het goed te Achterberg en de familienaam Ad J de Jong 6-25 vervolg op p 35-41 2004")</f>
        <v>0</v>
      </c>
      <c r="D3543" s="1">
        <f>hyperlink("http://dspace.library.uu.nl/handle/1874/253791","Schoneveld het goed te Achterberg en de familienaam Ad J de Jong 6-25 35-41 2004")</f>
        <v>0</v>
      </c>
    </row>
    <row r="3544" spans="2:4">
      <c r="B3544">
        <v>100</v>
      </c>
      <c r="C3544" s="1">
        <f>hyperlink("https://hetutrechtsarchief.nl/collectie/21FD13BB69DC587FA3F3706D78DD4ABA","Kunstrondje om de Cunerakerk Ad J de Jong 23- 32 2004")</f>
        <v>0</v>
      </c>
      <c r="D3544" s="1">
        <f>hyperlink("http://dspace.library.uu.nl/handle/1874/253792","Kunstrondje om de Cunerakerk Ad J de Jong 23- 32 2004")</f>
        <v>0</v>
      </c>
    </row>
    <row r="3545" spans="2:4">
      <c r="B3545">
        <v>60</v>
      </c>
      <c r="C3545" s="1">
        <f>hyperlink("https://hetutrechtsarchief.nl/collectie/043AFF375A1B54E0A02579C0358FD482","Vuursteen het staal der steentijd Hans Smulders 14-25 2003")</f>
        <v>0</v>
      </c>
      <c r="D3545" s="1">
        <f>hyperlink("http://dspace.library.uu.nl/handle/1874/253793","Wist u dat Hans Smulders 45-47 2003")</f>
        <v>0</v>
      </c>
    </row>
    <row r="3546" spans="2:4">
      <c r="B3546">
        <v>100</v>
      </c>
      <c r="C3546" s="1">
        <f>hyperlink("https://hetutrechtsarchief.nl/collectie/7A83D6F2B6AA52B6A07FBEEB2F463C7C","Joden in Rhenen in W O II A G Steenbergen 42-49 2004")</f>
        <v>0</v>
      </c>
      <c r="D3546" s="1">
        <f>hyperlink("http://dspace.library.uu.nl/handle/1874/253794","Joden in Rhenen in W O II A G Steenbergen 42-49 2004")</f>
        <v>0</v>
      </c>
    </row>
    <row r="3547" spans="2:4">
      <c r="B3547">
        <v>93</v>
      </c>
      <c r="C3547" s="1">
        <f>hyperlink("https://hetutrechtsarchief.nl/collectie/13C4708EB0655C848D02EFC92A1E3627","Willem Johan van Nas een Rhenense familiegeschiedenis Willem H Strous 5-14 vervolg op p 39-62 2004")</f>
        <v>0</v>
      </c>
      <c r="D3547" s="1">
        <f>hyperlink("http://dspace.library.uu.nl/handle/1874/253795","Willem Johan van Nas een Rhenense familiegeschiedenis Willem H Strous 5-14 39-62 2004")</f>
        <v>0</v>
      </c>
    </row>
    <row r="3548" spans="2:4">
      <c r="B3548">
        <v>100</v>
      </c>
      <c r="C3548" s="1">
        <f>hyperlink("https://hetutrechtsarchief.nl/collectie/17EA5914ECA455D29F129DEA03B3754E","Vrijwillige Brandweer Rhenen 80 jaar H P Deys 21-23 2004")</f>
        <v>0</v>
      </c>
      <c r="D3548" s="1">
        <f>hyperlink("http://dspace.library.uu.nl/handle/1874/253796","Vrijwillige Brandweer Rhenen 80 jaar H P Deys 21-23 2004")</f>
        <v>0</v>
      </c>
    </row>
    <row r="3549" spans="2:4">
      <c r="B3549">
        <v>100</v>
      </c>
      <c r="C3549" s="1">
        <f>hyperlink("https://hetutrechtsarchief.nl/collectie/E594A1127FB85FC3845A543C89F33A22","Christophorus Butkens 1590-1650 en de familie Van Lynden Ad J de Jong 24- 34 2004")</f>
        <v>0</v>
      </c>
      <c r="D3549" s="1">
        <f>hyperlink("http://dspace.library.uu.nl/handle/1874/253797","Christophorus Butkens 1590-1650 en de familie Van Lynden Ad J de Jong 24- 34 2004")</f>
        <v>0</v>
      </c>
    </row>
    <row r="3550" spans="2:4">
      <c r="B3550">
        <v>100</v>
      </c>
      <c r="C3550" s="1">
        <f>hyperlink("https://hetutrechtsarchief.nl/collectie/A45586DB04515BA0BB3F613A0EA1A21C","De ligging van kasteel Valkenburg te Achterberg Ad J de Jong 35-38 2004")</f>
        <v>0</v>
      </c>
      <c r="D3550" s="1">
        <f>hyperlink("http://dspace.library.uu.nl/handle/1874/253798","De ligging van kasteel Valkenburg te Achterberg Ad J de Jong 35-38 2004")</f>
        <v>0</v>
      </c>
    </row>
    <row r="3551" spans="2:4">
      <c r="B3551">
        <v>100</v>
      </c>
      <c r="C3551" s="1">
        <f>hyperlink("https://hetutrechtsarchief.nl/collectie/396E60352E9C599888FB1C409E25C5B2","Bartholomeus van Bassen H P Deys 26- 29 2004")</f>
        <v>0</v>
      </c>
      <c r="D3551" s="1">
        <f>hyperlink("http://dspace.library.uu.nl/handle/1874/253799","Bartholomeus van Bassen H P Deys 26- 29 2004")</f>
        <v>0</v>
      </c>
    </row>
    <row r="3552" spans="2:4">
      <c r="B3552">
        <v>90</v>
      </c>
      <c r="C3552" s="1">
        <f>hyperlink("https://hetutrechtsarchief.nl/collectie/32C20F036FC05449B21E51989EA1B21A","De Tollenburg in de Mars opgedoken charters met aanhangende zegels uit de 16e 17e en 18e eeuw Ad J de Jong en Willem H Strous 30 -34 2004")</f>
        <v>0</v>
      </c>
      <c r="D3552" s="1">
        <f>hyperlink("http://dspace.library.uu.nl/handle/1874/253800","De Tollenburg in de Mars opgedoken charters met aanhangende zegels uit de 16e 17e en 18e eeuw Willem H Jong Ad J de Strous 30 -34 2004")</f>
        <v>0</v>
      </c>
    </row>
    <row r="3553" spans="2:4">
      <c r="B3553">
        <v>100</v>
      </c>
      <c r="C3553" s="1">
        <f>hyperlink("https://hetutrechtsarchief.nl/collectie/5AA072B4BCFD5A3DB0F87ADF3008D8F9","Mevrouw Ch H Delfin-van Mourik Broekman 90 jaar Marjan G 18-19 2004")</f>
        <v>0</v>
      </c>
      <c r="D3553" s="1">
        <f>hyperlink("http://dspace.library.uu.nl/handle/1874/253801","Mevrouw Ch H Delfin-van Mourik Broekman 90 jaar Marjan G 18-19 2004")</f>
        <v>0</v>
      </c>
    </row>
    <row r="3554" spans="2:4">
      <c r="B3554">
        <v>100</v>
      </c>
      <c r="C3554" s="1">
        <f>hyperlink("https://hetutrechtsarchief.nl/collectie/49E2013B172F56A1BA6FA63458A5C60F","Veenlijken Ton van Drunen 15-20 2004")</f>
        <v>0</v>
      </c>
      <c r="D3554" s="1">
        <f>hyperlink("http://dspace.library.uu.nl/handle/1874/253802","Veenlijken Ton van Drunen 15-20 2004")</f>
        <v>0</v>
      </c>
    </row>
    <row r="3555" spans="2:4">
      <c r="B3555">
        <v>100</v>
      </c>
      <c r="C3555" s="1">
        <f>hyperlink("https://hetutrechtsarchief.nl/collectie/5B511B319E455A50922B7DB582B5564C","In memoriam Jhr mr L H N F M Bosch ridder van Rosenthal H P Deys 5-7 2005")</f>
        <v>0</v>
      </c>
      <c r="D3555" s="1">
        <f>hyperlink("http://dspace.library.uu.nl/handle/1874/253803","In memoriam Jhr mr L H N F M Bosch ridder van Rosenthal H P Deys 5-7 2005")</f>
        <v>0</v>
      </c>
    </row>
    <row r="3556" spans="2:4">
      <c r="B3556">
        <v>100</v>
      </c>
      <c r="C3556" s="1">
        <f>hyperlink("https://hetutrechtsarchief.nl/collectie/AC74FFD25439562F9D5BC8B9E53237CC","Allerlei mengelwerk in de moedertaal Lidy Bultje-van Dillen 12-14 2005")</f>
        <v>0</v>
      </c>
      <c r="D3556" s="1">
        <f>hyperlink("http://dspace.library.uu.nl/handle/1874/253804","Allerlei mengelwerk in de moedertaal Lidy Bultje-van Dillen 12-14 2005")</f>
        <v>0</v>
      </c>
    </row>
    <row r="3557" spans="2:4">
      <c r="B3557">
        <v>100</v>
      </c>
      <c r="C3557" s="1">
        <f>hyperlink("https://hetutrechtsarchief.nl/collectie/1EE3812AE1BC54EB99C99274A6E664D2","Het Patershuis Hens Dekker 15-25 2005")</f>
        <v>0</v>
      </c>
      <c r="D3557" s="1">
        <f>hyperlink("http://dspace.library.uu.nl/handle/1874/253805","Het Patershuis Hens Dekker 15-25 2005")</f>
        <v>0</v>
      </c>
    </row>
    <row r="3558" spans="2:4">
      <c r="B3558">
        <v>100</v>
      </c>
      <c r="C3558" s="1">
        <f>hyperlink("https://hetutrechtsarchief.nl/collectie/1CA690271F6E58DEB8841BB85FD841A0","Militairen en prentbriefkaarten te Rhenen Ad J de Jong 26-36 2005")</f>
        <v>0</v>
      </c>
      <c r="D3558" s="1">
        <f>hyperlink("http://dspace.library.uu.nl/handle/1874/253806","Militairen en prentbriefkaarten te Rhenen Ad J de Jong 26-36 2005")</f>
        <v>0</v>
      </c>
    </row>
    <row r="3559" spans="2:4">
      <c r="B3559">
        <v>90</v>
      </c>
      <c r="C3559" s="1">
        <f>hyperlink("https://hetutrechtsarchief.nl/collectie/9811F144E27055549279D0F5C9C46099","De ontstaansgeschiedenis van Hotel Het Wapen van Hardenbroek te Rhenen Dick en Gerrit Laheij 8-11 2005")</f>
        <v>0</v>
      </c>
      <c r="D3559" s="1">
        <f>hyperlink("http://dspace.library.uu.nl/handle/1874/253807","De ontstaansgeschiedenis van Hotel Het Wapen van Hardenbroek te Rhenen Gerrit Laheij Dick Laheij 8-11 2005")</f>
        <v>0</v>
      </c>
    </row>
    <row r="3560" spans="2:4">
      <c r="B3560">
        <v>64</v>
      </c>
      <c r="C3560" s="1">
        <f>hyperlink("https://hetutrechtsarchief.nl/collectie/66B0414A317356EF8D450A066C02956C","In memoriam Jacob Hollander H W Danner 58-61 1935")</f>
        <v>0</v>
      </c>
      <c r="D3560" s="1">
        <f>hyperlink("http://dspace.library.uu.nl/handle/1874/253808","In memoriam J Combrink H P Deys 38-40 1991")</f>
        <v>0</v>
      </c>
    </row>
    <row r="3561" spans="2:4">
      <c r="B3561">
        <v>67</v>
      </c>
      <c r="C3561" s="1">
        <f>hyperlink("https://hetutrechtsarchief.nl/collectie/C9E19B89089254AEBCC70F90D31CD5A3","In memoriam J van der Vliet J H Gall e 375 -387 1903")</f>
        <v>0</v>
      </c>
      <c r="D3561" s="1">
        <f>hyperlink("http://dspace.library.uu.nl/handle/1874/253809","In memoriam Gijsbert van de Steeg H P Deys 6 - 8 1983")</f>
        <v>0</v>
      </c>
    </row>
    <row r="3562" spans="2:4">
      <c r="B3562">
        <v>54</v>
      </c>
      <c r="C3562" s="1">
        <f>hyperlink("https://hetutrechtsarchief.nl/collectie/C9E19B89089254AEBCC70F90D31CD5A3","In memoriam J van der Vliet J H Gall e 375 -387 1903")</f>
        <v>0</v>
      </c>
      <c r="D3562" s="1">
        <f>hyperlink("http://dspace.library.uu.nl/handle/1874/253810","J Th M Joop Mom - In Memoriam Ad J de Dael Philip J van Jong 36-38 2003")</f>
        <v>0</v>
      </c>
    </row>
    <row r="3563" spans="2:4">
      <c r="B3563">
        <v>100</v>
      </c>
      <c r="C3563" s="1">
        <f>hyperlink("https://hetutrechtsarchief.nl/collectie/7C7FABA43C3754A192283F4E49379068","Voor of tegen de Delftse School Lidy Bultje-van Dillen 5-9 2003")</f>
        <v>0</v>
      </c>
      <c r="D3563" s="1">
        <f>hyperlink("http://dspace.library.uu.nl/handle/1874/253811","Voor of tegen de Delftse School Lidy Bultje-van Dillen 5-9 2003")</f>
        <v>0</v>
      </c>
    </row>
    <row r="3564" spans="2:4">
      <c r="B3564">
        <v>54</v>
      </c>
      <c r="C3564" s="1">
        <f>hyperlink("https://hetutrechtsarchief.nl/collectie/F4AD41F0EA765FB4985F7BE6578DB356","Ga nu naar de Mariahoek - de J 83-85 1957")</f>
        <v>0</v>
      </c>
      <c r="D3564" s="1">
        <f>hyperlink("http://dspace.library.uu.nl/handle/1874/253812","75 jaar Oudheidkamer H P Deys 3 - 5 1983")</f>
        <v>0</v>
      </c>
    </row>
    <row r="3565" spans="2:4">
      <c r="B3565">
        <v>62</v>
      </c>
      <c r="C3565" s="1">
        <f>hyperlink("https://hetutrechtsarchief.nl/collectie/438697D09F40579591896DE7CE26E373","Verhaal van het beleg van het kasteel Vredenburg te Utrecht in 1576 door eenen ooggetuige uitg door S Muller Fz 147 -164 en In XLIV C 11 - Vol 1 1 - 23 1875-1883 p 1-70 21 - Overdr van BMHG - 6 1883 - In convoluut - Collectie Muller Pl 3 No 11 1883")</f>
        <v>0</v>
      </c>
      <c r="D3565" s="1">
        <f>hyperlink("http://dspace.library.uu.nl/handle/1874/253837","Verhaal van het beleg van het kasteel Vredenburg te Utrecht in 1576 door eenen ooggetuige S Muller 147 -216 1883")</f>
        <v>0</v>
      </c>
    </row>
    <row r="3566" spans="2:4">
      <c r="B3566">
        <v>52</v>
      </c>
      <c r="C3566" s="1">
        <f>hyperlink("https://hetutrechtsarchief.nl/collectie/9DB1B12EFB1F50AF938E4DC68886143C","Interview met R van Bruggen directeur van de Dienst Algemene Begraafplaatsen Cees van Dijk en J N van der Meulen 1-4 1983")</f>
        <v>0</v>
      </c>
      <c r="D3566" s="1">
        <f>hyperlink("http://dspace.library.uu.nl/handle/1874/253838","Steven van der Haghen s avonturen van 1575 tot 1597 door hemzelven verhaald P A Haghen Steven van der Tiele 377 -421 1883")</f>
        <v>0</v>
      </c>
    </row>
    <row r="3567" spans="2:4">
      <c r="B3567">
        <v>77</v>
      </c>
      <c r="C3567" s="1">
        <f>hyperlink("https://hetutrechtsarchief.nl/collectie/436018E435705B059604FB592FAC5095","Herinneringen aan mijn vader Willem Pieter Landzaat geboren 7 april 1886 gesneuveld 13 mei 1940 5-11 2005")</f>
        <v>0</v>
      </c>
      <c r="D3567" s="1">
        <f>hyperlink("http://dspace.library.uu.nl/handle/1874/253839","Herinneringen aan mijn vader Willem Pieter Landzaat geboren 7 april 1886 gesneuveld 13 mei 1940 door W G Landzaat verteld aan H P Deys H P Landzaat W G Deys 5-11 2005")</f>
        <v>0</v>
      </c>
    </row>
    <row r="3568" spans="2:4">
      <c r="B3568">
        <v>100</v>
      </c>
      <c r="C3568" s="1">
        <f>hyperlink("https://hetutrechtsarchief.nl/collectie/8BB73AF5E90C5D01A0AC43FEFABCD7E8","Het regiment Rhenen H C Boelhouwer 26-33 2005")</f>
        <v>0</v>
      </c>
      <c r="D3568" s="1">
        <f>hyperlink("http://dspace.library.uu.nl/handle/1874/253840","Het regiment Rhenen H C Boelhouwer 26-33 2005")</f>
        <v>0</v>
      </c>
    </row>
    <row r="3569" spans="2:4">
      <c r="B3569">
        <v>100</v>
      </c>
      <c r="C3569" s="1">
        <f>hyperlink("https://hetutrechtsarchief.nl/collectie/4B08FDC13AB9518A93BFA7AF097FD8E3","De lotgevallen van Nederlandse boeren als kolonisten in Suriname herdenking 1845-2005 Ad J de Jong 34-42 2005")</f>
        <v>0</v>
      </c>
      <c r="D3569" s="1">
        <f>hyperlink("http://dspace.library.uu.nl/handle/1874/253841","De lotgevallen van Nederlandse boeren als kolonisten in Suriname herdenking 1845-2005 Ad J de Jong 34-42 2005")</f>
        <v>0</v>
      </c>
    </row>
    <row r="3570" spans="2:4">
      <c r="B3570">
        <v>99</v>
      </c>
      <c r="C3570" s="1">
        <f>hyperlink("https://hetutrechtsarchief.nl/collectie/A7F75860771659428C5EDF7F11ADF4C9","Villa Hreni 855 Rhenen 2005 Rhenen 1150 jaar Ton van Drunen 26-38 2005")</f>
        <v>0</v>
      </c>
      <c r="D3570" s="1">
        <f>hyperlink("http://dspace.library.uu.nl/handle/1874/253842","Villa Hreni 855 - Rhenen 2005 Rhenen 1150 jaar Ton van Drunen 26-38 2005")</f>
        <v>0</v>
      </c>
    </row>
    <row r="3571" spans="2:4">
      <c r="B3571">
        <v>100</v>
      </c>
      <c r="C3571" s="1">
        <f>hyperlink("https://hetutrechtsarchief.nl/collectie/84E4C2887402541FB1D44DDF1BBAFEF2","Willem van Leusden topograaf en surrealist 1886-1974 Ad J de Jong 39-48 2005")</f>
        <v>0</v>
      </c>
      <c r="D3571" s="1">
        <f>hyperlink("http://dspace.library.uu.nl/handle/1874/253843","Willem van Leusden topograaf en surrealist 1886-1974 Ad J de Jong 39-48 2005")</f>
        <v>0</v>
      </c>
    </row>
    <row r="3572" spans="2:4">
      <c r="B3572">
        <v>100</v>
      </c>
      <c r="C3572" s="1">
        <f>hyperlink("https://hetutrechtsarchief.nl/collectie/36A8EE9B5A585808BB35FA0A0BB19D1A","Gebouwd op geloof iets over de geschiedenis van de Cunera kerk en van Rhenen Willem H Strous 49-54 2005")</f>
        <v>0</v>
      </c>
      <c r="D3572" s="1">
        <f>hyperlink("http://dspace.library.uu.nl/handle/1874/253844","Gebouwd op geloof iets over de geschiedenis van de Cunera kerk en van Rhenen Willem H Strous 49-54 2005")</f>
        <v>0</v>
      </c>
    </row>
    <row r="3573" spans="2:4">
      <c r="B3573">
        <v>77</v>
      </c>
      <c r="C3573" s="1">
        <f>hyperlink("https://hetutrechtsarchief.nl/collectie/6F889E53236A5668864C308C95F9758A","65 jaar na dato of 10 mei 2005 20-25 2005")</f>
        <v>0</v>
      </c>
      <c r="D3573" s="1">
        <f>hyperlink("http://dspace.library.uu.nl/handle/1874/253845","65 jaar na dato of 10 mei 2005 Hennie van Wijk-Verwoert 20-25 2005")</f>
        <v>0</v>
      </c>
    </row>
    <row r="3574" spans="2:4">
      <c r="B3574">
        <v>98</v>
      </c>
      <c r="C3574" s="1">
        <f>hyperlink("https://hetutrechtsarchief.nl/collectie/30CC9196D6DC58D1B7C3ACBDC8AEE6CC","De grens tussen Amerongen en Rhenen H P Deys 6-13 2006")</f>
        <v>0</v>
      </c>
      <c r="D3574" s="1">
        <f>hyperlink("http://dspace.library.uu.nl/handle/1874/253846","De grens tussen Amerongen en Rhenen H P Deys 5-13 2006")</f>
        <v>0</v>
      </c>
    </row>
    <row r="3575" spans="2:4">
      <c r="B3575">
        <v>100</v>
      </c>
      <c r="C3575" s="1">
        <f>hyperlink("https://hetutrechtsarchief.nl/collectie/F12F70F7CFB75E0BB28219E12C898662","De Historische Vereniging Oudheidkamer Rhenen en Omstreken sinds 1980 H P Deys 14-16 2006")</f>
        <v>0</v>
      </c>
      <c r="D3575" s="1">
        <f>hyperlink("http://dspace.library.uu.nl/handle/1874/253847","De Historische Vereniging Oudheidkamer Rhenen en Omstreken sinds 1980 H P Deys 14-16 2006")</f>
        <v>0</v>
      </c>
    </row>
    <row r="3576" spans="2:4">
      <c r="B3576">
        <v>100</v>
      </c>
      <c r="C3576" s="1">
        <f>hyperlink("https://hetutrechtsarchief.nl/collectie/760AAD51846D5FC5840519D07BBF1204","Rhenen en de familie Van Amerongen Ad J de Jong 17-20 2006")</f>
        <v>0</v>
      </c>
      <c r="D3576" s="1">
        <f>hyperlink("http://dspace.library.uu.nl/handle/1874/253848","Rhenen en de familie Van Amerongen Ad J de Jong 17-20 2006")</f>
        <v>0</v>
      </c>
    </row>
    <row r="3577" spans="2:4">
      <c r="B3577">
        <v>100</v>
      </c>
      <c r="C3577" s="1">
        <f>hyperlink("https://hetutrechtsarchief.nl/collectie/D124302F21BD5514A5E328D522787EA6","Zoektocht naar een tweetal verzetsdaden te Rhenen Willem H Strous 21-27 2006")</f>
        <v>0</v>
      </c>
      <c r="D3577" s="1">
        <f>hyperlink("http://dspace.library.uu.nl/handle/1874/253849","Zoektocht naar een tweetal verzetsdaden te Rhenen Willem H Strous 21-27 2006")</f>
        <v>0</v>
      </c>
    </row>
    <row r="3578" spans="2:4">
      <c r="B3578">
        <v>100</v>
      </c>
      <c r="C3578" s="1">
        <f>hyperlink("https://hetutrechtsarchief.nl/collectie/062FFD8CBA655FF5AE91A54FECDA3E4D","Heel Rhenen op de schop Hens Dekker 28-44 2006")</f>
        <v>0</v>
      </c>
      <c r="D3578" s="1">
        <f>hyperlink("http://dspace.library.uu.nl/handle/1874/253850","Heel Rhenen op de schop Hens Dekker 28-44 2006")</f>
        <v>0</v>
      </c>
    </row>
    <row r="3579" spans="2:4">
      <c r="B3579">
        <v>100</v>
      </c>
      <c r="C3579" s="1">
        <f>hyperlink("https://hetutrechtsarchief.nl/collectie/9CB750C5265E5D3E995B676C1AB52456","Het jongenskoor van Euphonia tijdens de oorlogsjaren en vlak erna H C Boelhouwer 45-47 2006")</f>
        <v>0</v>
      </c>
      <c r="D3579" s="1">
        <f>hyperlink("http://dspace.library.uu.nl/handle/1874/253851","Het jongenskoor van Euphonia tijdens de oorlogsjaren en vlak erna H C Boelhouwer 45-47 2006")</f>
        <v>0</v>
      </c>
    </row>
    <row r="3580" spans="2:4">
      <c r="B3580">
        <v>99</v>
      </c>
      <c r="C3580" s="1">
        <f>hyperlink("https://hetutrechtsarchief.nl/collectie/85A7CC33C1B055859AEF8121DCCF0EF6","25 jaar spoorlijn Rhenen-Utrecht H P Deys 511 2006")</f>
        <v>0</v>
      </c>
      <c r="D3580" s="1">
        <f>hyperlink("http://dspace.library.uu.nl/handle/1874/253852","25 jaar spoorlijn Rhenen-Utrecht H P Deys 5-11 2006")</f>
        <v>0</v>
      </c>
    </row>
    <row r="3581" spans="2:4">
      <c r="B3581">
        <v>83</v>
      </c>
      <c r="C3581" s="1">
        <f>hyperlink("https://hetutrechtsarchief.nl/collectie/6D6F77984EB85A07A1E2590824249B05","De geschiedenis van de Rhenense Radiocentrale Jaap Schouten met medew van Ad J de Jong 12-31 2006")</f>
        <v>0</v>
      </c>
      <c r="D3581" s="1">
        <f>hyperlink("http://dspace.library.uu.nl/handle/1874/253853","De geschiedenis van de Rhenense Radiocentrale Ad J de Schouten Jaap Jong 12-31 2006")</f>
        <v>0</v>
      </c>
    </row>
    <row r="3582" spans="2:4">
      <c r="B3582">
        <v>100</v>
      </c>
      <c r="C3582" s="1">
        <f>hyperlink("https://hetutrechtsarchief.nl/collectie/AE165288798A5078B87DC3A3BF2EA6CA","Een krijgsgevangenkamp in Elst Rhenen in 1945 H P Deys 32-38 2006")</f>
        <v>0</v>
      </c>
      <c r="D3582" s="1">
        <f>hyperlink("http://dspace.library.uu.nl/handle/1874/253854","Een krijgsgevangenkamp in Elst Rhenen in 1945 H P Deys 32-38 2006")</f>
        <v>0</v>
      </c>
    </row>
    <row r="3583" spans="2:4">
      <c r="B3583">
        <v>100</v>
      </c>
      <c r="C3583" s="1">
        <f>hyperlink("https://hetutrechtsarchief.nl/collectie/21E4F3AA4F6D5C16B886B68354ABCF83","De ontstaansgeschiedenis van het Gezondheidscentrum Rhenen F Almekinders 39-46 2006")</f>
        <v>0</v>
      </c>
      <c r="D3583" s="1">
        <f>hyperlink("http://dspace.library.uu.nl/handle/1874/253855","De ontstaansgeschiedenis van het Gezondheidscentrum Rhenen F Almekinders 39-46 2006")</f>
        <v>0</v>
      </c>
    </row>
    <row r="3584" spans="2:4">
      <c r="B3584">
        <v>99</v>
      </c>
      <c r="C3584" s="1">
        <f>hyperlink("https://hetutrechtsarchief.nl/collectie/DADA5E6D9A355CD2B27CBE352230AF30","Herinneringen aan de totstandkoming van het Bevrijdingsmonument aan de Herenstraat H P Deys 47-49 2006")</f>
        <v>0</v>
      </c>
      <c r="D3584" s="1">
        <f>hyperlink("http://dspace.library.uu.nl/handle/1874/253856","Herinneringen aan de totstandkoning van het Bevrijdingsmonument aan de Herenstraat H P Deys 47-49 2006")</f>
        <v>0</v>
      </c>
    </row>
    <row r="3585" spans="2:4">
      <c r="B3585">
        <v>97</v>
      </c>
      <c r="C3585" s="1">
        <f>hyperlink("https://hetutrechtsarchief.nl/collectie/2D383C1BD9005304862E5C8BA15B0A33","Een eeuw horeca op de berg 1906-2006 Berg en Bosch t Koetshuis Residence Rhenen H P Deys 3-114 2006")</f>
        <v>0</v>
      </c>
      <c r="D3585" s="1">
        <f>hyperlink("http://dspace.library.uu.nl/handle/1874/253857","Een eeuw horeca op de berg 1906-2006 Berg en Bosch t Koetshuis Residence Rhenen H P Deys 2006")</f>
        <v>0</v>
      </c>
    </row>
    <row r="3586" spans="2:4">
      <c r="B3586">
        <v>98</v>
      </c>
      <c r="C3586" s="1">
        <f>hyperlink("https://hetutrechtsarchief.nl/collectie/ACE22BFD57965A0085E42C915C556066","Rijlandsche roeden in Achterberg een pleidooi voor een goed behoud en beheer van een zeer uniek stukje oud agrarisch cultuurschap m j kooistra 5-12 2007")</f>
        <v>0</v>
      </c>
      <c r="D3586" s="1">
        <f>hyperlink("http://dspace.library.uu.nl/handle/1874/253858","Rijnlandsche roeden in Achterberg een pleidooi voor een goed behoud en beheer van een zeer uniek stukje oud agrarisch cultuurlandschap M J Kooistra 5-12 2007")</f>
        <v>0</v>
      </c>
    </row>
    <row r="3587" spans="2:4">
      <c r="B3587">
        <v>100</v>
      </c>
      <c r="C3587" s="1">
        <f>hyperlink("https://hetutrechtsarchief.nl/collectie/9303536585B1547BB75BBEC7AB419A63","Het Rhenense familiegeld van 1675 een grote bron van bevolkings-informatie H P Deys 13-20 2007")</f>
        <v>0</v>
      </c>
      <c r="D3587" s="1">
        <f>hyperlink("http://dspace.library.uu.nl/handle/1874/253859","Het Rhenense familiegeld van 1675 een grote bron van bevolkings-informatie H P Deys 13-20 2007")</f>
        <v>0</v>
      </c>
    </row>
    <row r="3588" spans="2:4">
      <c r="B3588">
        <v>100</v>
      </c>
      <c r="C3588" s="1">
        <f>hyperlink("https://hetutrechtsarchief.nl/collectie/7D330477DD8C583B9B47909282FF9224","Rhenen en de nieuwe kaart van den Lande van Utrecht Ad J de Jong 21-34 2007")</f>
        <v>0</v>
      </c>
      <c r="D3588" s="1">
        <f>hyperlink("http://dspace.library.uu.nl/handle/1874/253860","Rhenen en de nieuwe kaart van den Lande van Utrecht Ad J de Jong 21-34 2007")</f>
        <v>0</v>
      </c>
    </row>
    <row r="3589" spans="2:4">
      <c r="B3589">
        <v>100</v>
      </c>
      <c r="C3589" s="1">
        <f>hyperlink("https://hetutrechtsarchief.nl/collectie/DAF1AA4DF0B85D1CBF3172D623443916","Datering en herkomst van de twee grote tekstborden in de Cunerakerk een vliegende kraai vangt altijd wat Willem H Strous 35-42 2007")</f>
        <v>0</v>
      </c>
      <c r="D3589" s="1">
        <f>hyperlink("http://dspace.library.uu.nl/handle/1874/253861","Datering en herkomst van de twee grote tekstborden in de Cunerakerk een vliegende kraai vangt altijd wat Willem H Strous 35-42 2007")</f>
        <v>0</v>
      </c>
    </row>
    <row r="3590" spans="2:4">
      <c r="B3590">
        <v>100</v>
      </c>
      <c r="C3590" s="1">
        <f>hyperlink("https://hetutrechtsarchief.nl/collectie/BA01F0BBD6CF541483FA8C08F7F333E3","Joodse onderduikers in Rhenen C A M Crum 17-32 2007")</f>
        <v>0</v>
      </c>
      <c r="D3590" s="1">
        <f>hyperlink("http://dspace.library.uu.nl/handle/1874/253862","Joodse onderduikers in Rhenen C A M Crum 17-32 2007")</f>
        <v>0</v>
      </c>
    </row>
    <row r="3591" spans="2:4">
      <c r="B3591">
        <v>91</v>
      </c>
      <c r="C3591" s="1">
        <f>hyperlink("https://hetutrechtsarchief.nl/collectie/7F3D1CB08A4E500C8F36B2508FF8BE66","Ongekende drukte op de Militaire Erebegraafplaats gedurende de oorlogsjaren H P Deys 33-37 2007")</f>
        <v>0</v>
      </c>
      <c r="D3591" s="1">
        <f>hyperlink("http://dspace.library.uu.nl/handle/1874/253863","Ongekende drukte op de Militaire Erebegraafplaats gedurende de oorlogsjaren Jan van Deys H P Doesburg 33-37 2007")</f>
        <v>0</v>
      </c>
    </row>
    <row r="3592" spans="2:4">
      <c r="B3592">
        <v>100</v>
      </c>
      <c r="C3592" s="1">
        <f>hyperlink("https://hetutrechtsarchief.nl/collectie/2ED8A431C4D25D989F1ABA990E8DB49F","Ds Bastiaan Jan Ader geb 30-12-1909 - gefussileerd bij Rhenen 20-11-1944 Ad J de Jong 38-46 2007")</f>
        <v>0</v>
      </c>
      <c r="D3592" s="1">
        <f>hyperlink("http://dspace.library.uu.nl/handle/1874/253864","Ds Bastiaan Jan Ader geb 30-12-1909 - gefussileerd bij Rhenen 20-11-1944 Ad J de Jong 38-46 2007")</f>
        <v>0</v>
      </c>
    </row>
    <row r="3593" spans="2:4">
      <c r="B3593">
        <v>100</v>
      </c>
      <c r="C3593" s="1">
        <f>hyperlink("https://hetutrechtsarchief.nl/collectie/98006A5EB0415AF591387C89AEDB8334","Het contract betreffende de bouw van het Koningshuis H P Deys 5-8 2007")</f>
        <v>0</v>
      </c>
      <c r="D3593" s="1">
        <f>hyperlink("http://dspace.library.uu.nl/handle/1874/253865","Het contract betreffende de bouw van het Koningshuis H P Deys 5-8 2007")</f>
        <v>0</v>
      </c>
    </row>
    <row r="3594" spans="2:4">
      <c r="B3594">
        <v>94</v>
      </c>
      <c r="C3594" s="1">
        <f>hyperlink("https://hetutrechtsarchief.nl/collectie/DB8D9580D8A9530A8FEB4824A2E8C5E1","Jan Hendrik van Eck organist van de Cunerakerk dirigent van Euphonia te Rhenen Tevens directeur van de muziekschool Ars Musica te Veenendaal en muziekpedagoog in Zuid-Afrika Ben van Laar met bijdr van J A van Laar 9-32 2007")</f>
        <v>0</v>
      </c>
      <c r="D3594" s="1">
        <f>hyperlink("http://dspace.library.uu.nl/handle/1874/253866","Jan Hendrik van Eck organist van de Cunerakerk dirigent van Euphonia te Rhenen Tevens directeur van de muziekschool Ars Musica te Veenendaal en muziekpedagoog in Zuid-Afrika Ben van Laar 9-32 2007")</f>
        <v>0</v>
      </c>
    </row>
    <row r="3595" spans="2:4">
      <c r="B3595">
        <v>100</v>
      </c>
      <c r="C3595" s="1">
        <f>hyperlink("https://hetutrechtsarchief.nl/collectie/E4BA9471600F5EB0B2F3A8556B529169","Mietje Baars Emile V van der Spek 33-34 2007")</f>
        <v>0</v>
      </c>
      <c r="D3595" s="1">
        <f>hyperlink("http://dspace.library.uu.nl/handle/1874/253867","Mietje Baars Emile V van der Spek 33-34 2007")</f>
        <v>0</v>
      </c>
    </row>
    <row r="3596" spans="2:4">
      <c r="B3596">
        <v>100</v>
      </c>
      <c r="C3596" s="1">
        <f>hyperlink("https://hetutrechtsarchief.nl/collectie/45AB84B6F7BE51738F1C60B2A32B7DA6","Zwemmen in Rhenen Hens Dekker 35-58 2007")</f>
        <v>0</v>
      </c>
      <c r="D3596" s="1">
        <f>hyperlink("http://dspace.library.uu.nl/handle/1874/253868","Zwemmen in Rhenen Hens Dekker 35-58 2007")</f>
        <v>0</v>
      </c>
    </row>
    <row r="3597" spans="2:4">
      <c r="B3597">
        <v>61</v>
      </c>
      <c r="C3597" s="1">
        <f>hyperlink("https://hetutrechtsarchief.nl/collectie/49FFF593412C5933B4B9C7AC423A756F","Opsporing verzocht Willem H Strous 12-14 2011")</f>
        <v>0</v>
      </c>
      <c r="D3597" s="1">
        <f>hyperlink("http://dspace.library.uu.nl/handle/1874/253869","Herdenkings-evacuatietocht 10 mei 2005 Willem H Strous 5-19 2005")</f>
        <v>0</v>
      </c>
    </row>
    <row r="3598" spans="2:4">
      <c r="B3598">
        <v>100</v>
      </c>
      <c r="C3598" s="1">
        <f>hyperlink("https://hetutrechtsarchief.nl/collectie/6AFA823189C359518E5942949BF6D264","Het Grebbegemaal J S van Wieringen 5-16 2007")</f>
        <v>0</v>
      </c>
      <c r="D3598" s="1">
        <f>hyperlink("http://dspace.library.uu.nl/handle/1874/253870","Het Grebbegemaal J S van Wieringen 5-16 2007")</f>
        <v>0</v>
      </c>
    </row>
    <row r="3599" spans="2:4">
      <c r="B3599">
        <v>60</v>
      </c>
      <c r="C3599" s="1">
        <f>hyperlink("https://hetutrechtsarchief.nl/collectie/430A85A553045C71B48DB0A54C4B4ADF","De parochiekerk van Montfoort in de 19e eeuw J F van Rooijen 89-99 2009")</f>
        <v>0</v>
      </c>
      <c r="D3599" s="1">
        <f>hyperlink("http://dspace.library.uu.nl/handle/1874/253871","De houtvlotterij en Dordrecht in de 17e en 18e eeuw L A van Prooije 12-25 2005")</f>
        <v>0</v>
      </c>
    </row>
    <row r="3600" spans="2:4">
      <c r="B3600">
        <v>66</v>
      </c>
      <c r="C3600" s="1">
        <f>hyperlink("https://hetutrechtsarchief.nl/collectie/A6E909E414995625B7A664D8BBFE09DB","A Buchelius Observationes ecclesiasticae sub presbyteratu meo 1622-1626 uitg door S Muller Fz 29 -63 en In XLIV C 12 - Vol 2 1 - 18 1884-1886 p 1-35 15 1887")</f>
        <v>0</v>
      </c>
      <c r="D3600" s="1">
        <f>hyperlink("http://dspace.library.uu.nl/handle/1874/253872","Observationes ecclesiasticae sub presbyteratu meo 1622-1626 S Buchelius A Muller 29 -63 1887")</f>
        <v>0</v>
      </c>
    </row>
    <row r="3601" spans="2:4">
      <c r="B3601">
        <v>91</v>
      </c>
      <c r="C3601" s="1">
        <f>hyperlink("https://hetutrechtsarchief.nl/collectie/441B13A8C1DD5D88AC6CE531992592F8","De magistraatsverandering te Utrecht in 1618 medeged door W Bezemer 71 -106 1896")</f>
        <v>0</v>
      </c>
      <c r="D3601" s="1">
        <f>hyperlink("http://dspace.library.uu.nl/handle/1874/253969","De Magistraatsverandering te Utrecht in 1618 W Bezemer 71 -106 1896")</f>
        <v>0</v>
      </c>
    </row>
    <row r="3602" spans="2:4">
      <c r="B3602">
        <v>93</v>
      </c>
      <c r="C3602" s="1">
        <f>hyperlink("https://hetutrechtsarchief.nl/collectie/7AA1BE72B0E85CD4B81097D28DA7A6A0","Cornelis Block s kroniek van het Regulierenklooster te Utrecht medeged door J G Ch Joosting 1-93 1895")</f>
        <v>0</v>
      </c>
      <c r="D3602" s="1">
        <f>hyperlink("http://dspace.library.uu.nl/handle/1874/253970","Cornelis Block s Kroniek van het Regulierenklooster te Utrecht J G Ch Joosting 1 -93 1895")</f>
        <v>0</v>
      </c>
    </row>
    <row r="3603" spans="2:4">
      <c r="B3603">
        <v>96</v>
      </c>
      <c r="C3603" s="1">
        <f>hyperlink("https://hetutrechtsarchief.nl/collectie/453E3627BB0452C19DCDFCA75A7B952C","Dit navolgende is geschreeven met de ijge hand van mijn voor over groot Vader Heer Gijsbert Voet eerste Professor inde Theologie van de universiteyt en Predikant tot Utrecht geschreven A 1658 medeged door J L A Martens 312 -321 1889")</f>
        <v>0</v>
      </c>
      <c r="D3603" s="1">
        <f>hyperlink("http://dspace.library.uu.nl/handle/1874/253971","Dit navolgende is geschreeven met de ijge hand van mijn voor over groot Vader Heer Gijsbert Voet eerste Professor inde Theologie van de universiteyt en Predikant tot Utrecht Geschreven Ao 1658 medegedeeld door J L A Martens J L A Martens 312 -321 1889")</f>
        <v>0</v>
      </c>
    </row>
    <row r="3604" spans="2:4">
      <c r="B3604">
        <v>72</v>
      </c>
      <c r="C3604" s="1">
        <f>hyperlink("https://hetutrechtsarchief.nl/collectie/47E9150DD4A05519B8F7731FC351535E","De oprichting van het college van Gedeputeerde Staten van Utrecht medeged door S Muller Fz 337 -375 en In XLIV C 12 - Vol 2 1 - 18 1884-1886 p 1-39 18 1887")</f>
        <v>0</v>
      </c>
      <c r="D3604" s="1">
        <f>hyperlink("http://dspace.library.uu.nl/handle/1874/253972","De oprichting van het college van Gedeputeerde Staten van Utrecht S Muller 337 -376 1887")</f>
        <v>0</v>
      </c>
    </row>
    <row r="3605" spans="2:4">
      <c r="B3605">
        <v>68</v>
      </c>
      <c r="C3605" s="1">
        <f>hyperlink("https://hetutrechtsarchief.nl/collectie/81B9AD49286F5B5C8B779ACADF47DB28","Drie Utrechtsche kroniekjes v r Beka s tijd uitg door S Muller Fz 460 -508 en In XLIV C 13 - Vol 3 1 - 12 1887-1888 p 1-49 8 1888")</f>
        <v>0</v>
      </c>
      <c r="D3605" s="1">
        <f>hyperlink("http://dspace.library.uu.nl/handle/1874/253973","Drie Utrechtsche kroniekjes v r Beka s tijd S Muller 460 -508 1888")</f>
        <v>0</v>
      </c>
    </row>
    <row r="3606" spans="2:4">
      <c r="B3606">
        <v>67</v>
      </c>
      <c r="C3606" s="1">
        <f>hyperlink("https://hetutrechtsarchief.nl/collectie/77457456BCD3527BAAEAF3006B8BA0C5","Gedenkschriften van Jhr Herberen van Mijnden uitg door S Muller Fz 1 -69 en In XLIV C 13 - Vol 3 1 - 12 1887-1888 p 1-69 7 1888")</f>
        <v>0</v>
      </c>
      <c r="D3606" s="1">
        <f>hyperlink("http://dspace.library.uu.nl/handle/1874/253974","Gedenkschriften van Jhr Herberen van Mijnden S Muller 1 -69 1888")</f>
        <v>0</v>
      </c>
    </row>
    <row r="3607" spans="2:4">
      <c r="B3607">
        <v>75</v>
      </c>
      <c r="C3607" s="1">
        <f>hyperlink("https://hetutrechtsarchief.nl/collectie/8F05FCFD32A959F1992BD5B32C3C5FD0","De verandering in het beheer van den Lekdijk Bovendams gemaakt door Karel V medeged door S Muller Fz 146 -172 en In XLIV C 12 - Vol 2 1 - 18 1884-1886 p 1-27 16 1887")</f>
        <v>0</v>
      </c>
      <c r="D3607" s="1">
        <f>hyperlink("http://dspace.library.uu.nl/handle/1874/253975","De verandering in het beheer van den Lekdijk Bovendams gemaakt door Karel V S Muller 146 -172 1887")</f>
        <v>0</v>
      </c>
    </row>
    <row r="3608" spans="2:4">
      <c r="B3608">
        <v>75</v>
      </c>
      <c r="C3608" s="1">
        <f>hyperlink("https://hetutrechtsarchief.nl/collectie/B36FC8A3FE385997AFA820D19507A9D5","Stukken over de twisten der stad Utrecht met de heeren van IJsselstein in 1510 en 1511 medeged door S Muller Fz 208 -226 en In XLIV C 12 - Vol 2 1 - 18 1884-1886 p 205-223 17 1887")</f>
        <v>0</v>
      </c>
      <c r="D3608" s="1">
        <f>hyperlink("http://dspace.library.uu.nl/handle/1874/253976","Stukken over de twisten der stad Utrecht met de Heeren van Ysselstein in 1510 en 1511 S Muller 208 -226 1887")</f>
        <v>0</v>
      </c>
    </row>
    <row r="3609" spans="2:4">
      <c r="B3609">
        <v>96</v>
      </c>
      <c r="C3609" s="1">
        <f>hyperlink("https://hetutrechtsarchief.nl/collectie/FA29A45854585B17BBC8389E1999C0D8","Stukken betreffende de onderhandelingen tusschen de Staten van Utrecht en de hooge regeering over het aandeel van Utrecht in de buitengewone bede 1574-1576 medeged door P L Muller 64 -145 1887")</f>
        <v>0</v>
      </c>
      <c r="D3609" s="1">
        <f>hyperlink("http://dspace.library.uu.nl/handle/1874/253977","Stukken betreffende de onderhandelingen tusschen de Staten van Utrecht en de hooge Regeering over het aandeel van Utrecht in de buitengewone bede 1574-1576 P L Muller 64 -145 1887")</f>
        <v>0</v>
      </c>
    </row>
    <row r="3610" spans="2:4">
      <c r="B3610">
        <v>90</v>
      </c>
      <c r="C3610" s="1">
        <f>hyperlink("https://hetutrechtsarchief.nl/collectie/B3030A6373CE519FAF59D8C3CC8EEE58","Utrechtsche kroniek over 1566-1576 medeged door H Brugmans 1-258 1904")</f>
        <v>0</v>
      </c>
      <c r="D3610" s="1">
        <f>hyperlink("http://dspace.library.uu.nl/handle/1874/253978","Utrechtsche kroniek over 1566-1576 H Brugmans 1-258 1904")</f>
        <v>0</v>
      </c>
    </row>
    <row r="3611" spans="2:4">
      <c r="B3611">
        <v>62</v>
      </c>
      <c r="C3611" s="1">
        <f>hyperlink("https://hetutrechtsarchief.nl/collectie/9D83080E76C1565EA0B84AF406E85D01","De oudste generati n van de familie van Dam Van Isselt Amersfoort W E van Dam van Isselt 388-403 1939")</f>
        <v>0</v>
      </c>
      <c r="D3611" s="1">
        <f>hyperlink("http://dspace.library.uu.nl/handle/1874/254068","Onuitgegeven bescheiden nopens de berenning en de overgave van Amersfoort in 1629 W E van Dam van Isselt 1-74 1909")</f>
        <v>0</v>
      </c>
    </row>
    <row r="3612" spans="2:4">
      <c r="B3612">
        <v>88</v>
      </c>
      <c r="C3612" s="1">
        <f>hyperlink("https://hetutrechtsarchief.nl/collectie/3CCE507D5E57583A8FA713480F63A1CD","Utrechtsche kout van 1769 medeged door A M Cramer 75 -95 1909")</f>
        <v>0</v>
      </c>
      <c r="D3612" s="1">
        <f>hyperlink("http://dspace.library.uu.nl/handle/1874/254069","Utrechtsche kout van 1769 A M Cramer 75 -95 1909")</f>
        <v>0</v>
      </c>
    </row>
    <row r="3613" spans="2:4">
      <c r="B3613">
        <v>95</v>
      </c>
      <c r="C3613" s="1">
        <f>hyperlink("https://hetutrechtsarchief.nl/collectie/FF19F4B29AEA58EEAEEC604C55C76552","De reguliere kanunniken te Utrecht en hun prior Johannes Passert tijdens het Utrechtsche schisma medeged door A Hulshof 405 -475 1913")</f>
        <v>0</v>
      </c>
      <c r="D3613" s="1">
        <f>hyperlink("http://dspace.library.uu.nl/handle/1874/254070","De reguliere kanunniken te Utrecht en hun prior Johannes Passert tijdens het Utrechtsche schisma A Hulshof 405 -475 1913")</f>
        <v>0</v>
      </c>
    </row>
    <row r="3614" spans="2:4">
      <c r="B3614">
        <v>54</v>
      </c>
      <c r="C3614" s="1">
        <f>hyperlink("https://hetutrechtsarchief.nl/collectie/6E69FC69BDE256BCA7BC0285B340A4DC","Van onbesproken gedrag herders leraren en onderwijzers in De Bilt Maartensdijk en Westbroek in de zeventiende en achttiende eeuw Anne Doedens 34-43 2004")</f>
        <v>0</v>
      </c>
      <c r="D3614" s="1">
        <f>hyperlink("http://dspace.library.uu.nl/handle/1874/254071","Aanteekeningen over eene inrichting van hooger onderwijs te Renen en het onderwijs-personeel dat eraan verbonden was in de XVIIde en XVIIIde eeuw R Jesse 279 -310 1912")</f>
        <v>0</v>
      </c>
    </row>
    <row r="3615" spans="2:4">
      <c r="B3615">
        <v>87</v>
      </c>
      <c r="C3615" s="1">
        <f>hyperlink("https://hetutrechtsarchief.nl/collectie/DD8E7C86AEE552C29091DEE414BF47F6","Twaalf onuitgegeven oorkonden uit de 12e eeuw medegedeeld door wijlen Mr C Pijnacker Hordijk S Muller Fz 198-230 11 1906")</f>
        <v>0</v>
      </c>
      <c r="D3615" s="1">
        <f>hyperlink("http://dspace.library.uu.nl/handle/1874/254072","Twaalf onuitgegeven oorkonden uit de 12e eeuw medegedeeld door wijlen C Pijnacker Hordijk C Pijnacker Hordijk 198 -230 1909")</f>
        <v>0</v>
      </c>
    </row>
    <row r="3616" spans="2:4">
      <c r="B3616">
        <v>90</v>
      </c>
      <c r="C3616" s="1">
        <f>hyperlink("https://hetutrechtsarchief.nl/collectie/6E7AD5ACBEBD55DEAEB4F0C7E0A4A516","De confiscatie der goederen van Gilles van Ledenberch medeged door H C Rogge 322 -364 1904")</f>
        <v>0</v>
      </c>
      <c r="D3616" s="1">
        <f>hyperlink("http://dspace.library.uu.nl/handle/1874/254073","De confiscatie der goederen van Gillis van Ledenberch H C Rogge 322-364 1904")</f>
        <v>0</v>
      </c>
    </row>
    <row r="3617" spans="2:4">
      <c r="B3617">
        <v>91</v>
      </c>
      <c r="C3617" s="1">
        <f>hyperlink("https://hetutrechtsarchief.nl/collectie/C355D1473AD159E89E1152228C2D6B0A","De tegenpaus Clemens VII en het bisdom Utrecht medeged door G Brom 1-102 1907")</f>
        <v>0</v>
      </c>
      <c r="D3617" s="1">
        <f>hyperlink("http://dspace.library.uu.nl/handle/1874/254074","De tegenpaus Clemens VII en het Bisdom Utrecht G Brom 1-102 1907")</f>
        <v>0</v>
      </c>
    </row>
    <row r="3618" spans="2:4">
      <c r="B3618">
        <v>53</v>
      </c>
      <c r="C3618" s="1">
        <f>hyperlink("https://hetutrechtsarchief.nl/collectie/515BBA0B82B6551A8733B4452FA52E08","De houding van den H Stoel bij de secularisatie van het Sticht 1528-1532 Gisbert Brom 329 -340 1910")</f>
        <v>0</v>
      </c>
      <c r="D3618" s="1">
        <f>hyperlink("http://dspace.library.uu.nl/handle/1874/254075","De dijk-aflaat voor Karel V in 1515-1518 Gisbert Brom 407 -459 1911")</f>
        <v>0</v>
      </c>
    </row>
    <row r="3619" spans="2:4">
      <c r="B3619">
        <v>63</v>
      </c>
      <c r="C3619" s="1">
        <f>hyperlink("https://hetutrechtsarchief.nl/collectie/849BA908D12F57C08BB0EAF5840DC624","Arnoldus Buchelius Trajecti Batavorum descripto medeged door S Muller Fz 131 -268 en In XLIV C 19 - Vol 9 1 - 11 1906-1909 p 131-268 2 1906")</f>
        <v>0</v>
      </c>
      <c r="D3619" s="1">
        <f>hyperlink("http://dspace.library.uu.nl/handle/1874/254076","Arnoldus Buchelius Traiecti Batavorum descriptio S Buchelius Arnoldus Muller 131 -268 1906")</f>
        <v>0</v>
      </c>
    </row>
    <row r="3620" spans="2:4">
      <c r="B3620">
        <v>89</v>
      </c>
      <c r="C3620" s="1">
        <f>hyperlink("https://hetutrechtsarchief.nl/collectie/5E36C06286F75A86818B404FD5766352","Pr cis de l tat de l universit tablie Utrecht medeged door G W Kernkamp 186 -215 1914")</f>
        <v>0</v>
      </c>
      <c r="D3620" s="1">
        <f>hyperlink("http://dspace.library.uu.nl/handle/1874/254284","Precis de l tat de l universit tablie Utrecht 1811 G W Kernkamp 186 -215 1914")</f>
        <v>0</v>
      </c>
    </row>
    <row r="3621" spans="2:4">
      <c r="B3621">
        <v>87</v>
      </c>
      <c r="C3621" s="1">
        <f>hyperlink("https://hetutrechtsarchief.nl/collectie/90403A30E7C458F481F4A6A1078200D4","Leven van St Radboud medeged door H ter Haar 158 -168 1914")</f>
        <v>0</v>
      </c>
      <c r="D3621" s="1">
        <f>hyperlink("http://dspace.library.uu.nl/handle/1874/254285","Leven van St Radboud H ter Haar 158 -168 1914")</f>
        <v>0</v>
      </c>
    </row>
    <row r="3622" spans="2:4">
      <c r="B3622">
        <v>52</v>
      </c>
      <c r="C3622" s="1">
        <f>hyperlink("https://hetutrechtsarchief.nl/collectie/A05789CC90775A0791FF54ECE7B4E369","Geheimzinnig flesje in de museumtuin Gerard IJzereef 12 2004")</f>
        <v>0</v>
      </c>
      <c r="D3622" s="1">
        <f>hyperlink("http://dspace.library.uu.nl/handle/1874/255449","De geheimzinnige sleutel J G Th Grevenstuk 1914")</f>
        <v>0</v>
      </c>
    </row>
    <row r="3623" spans="2:4">
      <c r="B3623">
        <v>54</v>
      </c>
      <c r="C3623" s="1">
        <f>hyperlink("https://hetutrechtsarchief.nl/collectie/C09671973AFC517983046D81EB58F9CF","Geestelijke en kerkelijke goederen S Muller Fz 444-462 19 1903")</f>
        <v>0</v>
      </c>
      <c r="D3623" s="1">
        <f>hyperlink("http://dspace.library.uu.nl/handle/1874/255450","Kerkelijke goederen te Baambrugge J G Th Grevenstuk 1913")</f>
        <v>0</v>
      </c>
    </row>
    <row r="3624" spans="2:4">
      <c r="B3624">
        <v>59</v>
      </c>
      <c r="C3624" s="1">
        <f>hyperlink("https://hetutrechtsarchief.nl/collectie/C2CB54D5D85E5BE09981B703E9FDEF09","Dineren op Groeneveld Janny van der Heijden 127-130 2012")</f>
        <v>0</v>
      </c>
      <c r="D3624" s="1">
        <f>hyperlink("http://dspace.library.uu.nl/handle/1874/255451","De kerk op Slootdijk in 1652 L J van der Heijden 1913")</f>
        <v>0</v>
      </c>
    </row>
    <row r="3625" spans="2:4">
      <c r="B3625">
        <v>65</v>
      </c>
      <c r="C3625" s="1">
        <f>hyperlink("https://hetutrechtsarchief.nl/collectie/98EF41D2B9D6599B8324531AAE5B4F73","Dr A J van de Weijde 33-34 1932")</f>
        <v>0</v>
      </c>
      <c r="D3625" s="1">
        <f>hyperlink("http://dspace.library.uu.nl/handle/1874/255452","De Snaafburg L J van der Heijden 1913")</f>
        <v>0</v>
      </c>
    </row>
    <row r="3626" spans="2:4">
      <c r="B3626">
        <v>71</v>
      </c>
      <c r="C3626" s="1">
        <f>hyperlink("https://hetutrechtsarchief.nl/collectie/F85D8455D381580F9235C31583EAA62D","Stamlijst der Heeren van Abcoude W H Koomans 1-3 tab 1951")</f>
        <v>0</v>
      </c>
      <c r="D3626" s="1">
        <f>hyperlink("http://dspace.library.uu.nl/handle/1874/255453","De naamlijst der predikanten te Abcoude W H Koomans 1913")</f>
        <v>0</v>
      </c>
    </row>
    <row r="3627" spans="2:4">
      <c r="B3627">
        <v>56</v>
      </c>
      <c r="C3627" s="1">
        <f>hyperlink("https://hetutrechtsarchief.nl/collectie/593DFCD5FA4F56C28E0698B62CDDD0E6","De laatste uit het huis van Beets 79-80 1951")</f>
        <v>0</v>
      </c>
      <c r="D3627" s="1">
        <f>hyperlink("http://dspace.library.uu.nl/handle/1874/255454","Een Vechtgezicht het Huis ten Bosch R Peters 1913")</f>
        <v>0</v>
      </c>
    </row>
    <row r="3628" spans="2:4">
      <c r="B3628">
        <v>55</v>
      </c>
      <c r="C3628" s="1">
        <f>hyperlink("https://hetutrechtsarchief.nl/collectie/499CB2DC0A1A5CBBA06B9BFC90A1D263","Folklore in Doorn E J Demoed 35-36 1951")</f>
        <v>0</v>
      </c>
      <c r="D3628" s="1">
        <f>hyperlink("http://dspace.library.uu.nl/handle/1874/255455","Folklore A J Portengen 1914")</f>
        <v>0</v>
      </c>
    </row>
    <row r="3629" spans="2:4">
      <c r="B3629">
        <v>58</v>
      </c>
      <c r="C3629" s="1">
        <f>hyperlink("https://hetutrechtsarchief.nl/collectie/396C5F3E97DF536E8077E68743C41D1B","De buitenplaatsen langs de Vecht tuin- en parkgeschiedenis H M J Tromp 137-146 ill krt 1991")</f>
        <v>0</v>
      </c>
      <c r="D3629" s="1">
        <f>hyperlink("http://dspace.library.uu.nl/handle/1874/255456","Namen van buitenplaatsen aan de Vecht J A Leth Andries de Portengen 1914")</f>
        <v>0</v>
      </c>
    </row>
    <row r="3630" spans="2:4">
      <c r="B3630">
        <v>55</v>
      </c>
      <c r="C3630" s="1">
        <f>hyperlink("https://hetutrechtsarchief.nl/collectie/539B6798E8A75293936571FEEBB4A77F","Beelden en stucwerk van de Van Logterens in de Vechtstreek E Munnig Schmidt 78-81 2007")</f>
        <v>0</v>
      </c>
      <c r="D3630" s="1">
        <f>hyperlink("http://dspace.library.uu.nl/handle/1874/255457","Bijeenkomsten onder den boerenstand aan de Vechtstreek H W J Schaap-van der Pek 1913")</f>
        <v>0</v>
      </c>
    </row>
    <row r="3631" spans="2:4">
      <c r="B3631">
        <v>54</v>
      </c>
      <c r="C3631" s="1">
        <f>hyperlink("https://hetutrechtsarchief.nl/collectie/0740FCDB041A5B05B186BF08CD1CE848","Sypesteyn 41-43 1951")</f>
        <v>0</v>
      </c>
      <c r="D3631" s="1">
        <f>hyperlink("http://dspace.library.uu.nl/handle/1874/255458","De Sypetoren G Vellenga 1914")</f>
        <v>0</v>
      </c>
    </row>
    <row r="3632" spans="2:4">
      <c r="B3632">
        <v>53</v>
      </c>
      <c r="C3632" s="1">
        <f>hyperlink("https://hetutrechtsarchief.nl/collectie/95EF4557B5DE55AC9E4780008CE5547A","Freule Jo verhuist 1951 4-6 2001")</f>
        <v>0</v>
      </c>
      <c r="D3632" s="1">
        <f>hyperlink("http://dspace.library.uu.nl/handle/1874/255459","Niftarlake J W Verburgt 1913")</f>
        <v>0</v>
      </c>
    </row>
    <row r="3633" spans="2:4">
      <c r="B3633">
        <v>51</v>
      </c>
      <c r="C3633" s="1">
        <f>hyperlink("https://hetutrechtsarchief.nl/collectie/B1CC2F8A33555083B2D115EA57FF367A","Twee vondsten van middeleeuws brons J G N Renaud 1-12 ill 1963")</f>
        <v>0</v>
      </c>
      <c r="D3633" s="1">
        <f>hyperlink("http://dspace.library.uu.nl/handle/1874/255460","Meester Ambrosius J G Th Grevenstuk 1913")</f>
        <v>0</v>
      </c>
    </row>
    <row r="3634" spans="2:4">
      <c r="B3634">
        <v>55</v>
      </c>
      <c r="C3634" s="1">
        <f>hyperlink("https://hetutrechtsarchief.nl/collectie/76F282B1D1895C32BDAAE82458A04786","J W Schubart geboren 14 April 1831 - overleden 30 Maart 1897 J P T van der Lith 269 -273 portr 1898")</f>
        <v>0</v>
      </c>
      <c r="D3634" s="1">
        <f>hyperlink("http://dspace.library.uu.nl/handle/1874/255461","Gerardus van Schuylenburg geboren 24 Juni 1681 te Wageningen Overleden 27 Maart 1770 te Tienhoven G A B Fijnvandraat 1913")</f>
        <v>0</v>
      </c>
    </row>
    <row r="3635" spans="2:4">
      <c r="B3635">
        <v>58</v>
      </c>
      <c r="C3635" s="1">
        <f>hyperlink("https://hetutrechtsarchief.nl/collectie/64054F83219B536B9F0682B9B02A3E36","Kerkelijke stappen E J Haslinghuis 4 1967")</f>
        <v>0</v>
      </c>
      <c r="D3635" s="1">
        <f>hyperlink("http://dspace.library.uu.nl/handle/1874/255506","De Ridderlijke Vecht A N J Fabius 1916")</f>
        <v>0</v>
      </c>
    </row>
    <row r="3636" spans="2:4">
      <c r="B3636">
        <v>62</v>
      </c>
      <c r="C3636" s="1">
        <f>hyperlink("https://hetutrechtsarchief.nl/collectie/27F15460B5EA53E0A4DABE321D068437","De Utrechtsche avondstond P Fijn van Draat 5-7 1933")</f>
        <v>0</v>
      </c>
      <c r="D3636" s="1">
        <f>hyperlink("http://dspace.library.uu.nl/handle/1874/255507","Een gerechts zitting G A B Fijn van Draat 1914")</f>
        <v>0</v>
      </c>
    </row>
    <row r="3637" spans="2:4">
      <c r="B3637">
        <v>63</v>
      </c>
      <c r="C3637" s="1">
        <f>hyperlink("https://hetutrechtsarchief.nl/collectie/B685A0492E8C5626A08F16789505712D","Korte geschiedenis van de monumenten in de Vechtstreek R van Luttervelt 92-106 ill 1949")</f>
        <v>0</v>
      </c>
      <c r="D3637" s="1">
        <f>hyperlink("http://dspace.library.uu.nl/handle/1874/255508","De opschriften van alle torenklokken in de Vechtstreek J G Th Grevenstuk 1916-1918")</f>
        <v>0</v>
      </c>
    </row>
    <row r="3638" spans="2:4">
      <c r="B3638">
        <v>63</v>
      </c>
      <c r="C3638" s="1">
        <f>hyperlink("https://hetutrechtsarchief.nl/collectie/4CB2D799F29F5DE38052B182AE480B33","Oude ansichten V de eerste winkel in Bilthoven Jan van der Heijden 39 2000")</f>
        <v>0</v>
      </c>
      <c r="D3638" s="1">
        <f>hyperlink("http://dspace.library.uu.nl/handle/1874/255509","Rouwborden in de Kerk te Loenen L J van der Heijden 1914")</f>
        <v>0</v>
      </c>
    </row>
    <row r="3639" spans="2:4">
      <c r="B3639">
        <v>60</v>
      </c>
      <c r="C3639" s="1">
        <f>hyperlink("https://hetutrechtsarchief.nl/collectie/08392215670C5120BD51DE67CFDC8F94","Een ernstige overtreding Jan van der Heijden 28-31 2011")</f>
        <v>0</v>
      </c>
      <c r="D3639" s="1">
        <f>hyperlink("http://dspace.library.uu.nl/handle/1874/255510","Huis te Velde L J van der Heijden 1914")</f>
        <v>0</v>
      </c>
    </row>
    <row r="3640" spans="2:4">
      <c r="B3640">
        <v>84</v>
      </c>
      <c r="C3640" s="1">
        <f>hyperlink("https://hetutrechtsarchief.nl/collectie/FEFB35F2AA355E0C8198D3E4C50345EB","De lijkkist van Weerestein S Muller Fz 1-7 7 ill 1914")</f>
        <v>0</v>
      </c>
      <c r="D3640" s="1">
        <f>hyperlink("http://dspace.library.uu.nl/handle/1874/255511","De lijkkist van Weerestein S Muller 1917")</f>
        <v>0</v>
      </c>
    </row>
    <row r="3641" spans="2:4">
      <c r="B3641">
        <v>76</v>
      </c>
      <c r="C3641" s="1">
        <f>hyperlink("https://hetutrechtsarchief.nl/collectie/D68B93CB46A25BADA0184D388041F78A","Cronenburch S Muller Fz 1-7 3 ill 1914")</f>
        <v>0</v>
      </c>
      <c r="D3641" s="1">
        <f>hyperlink("http://dspace.library.uu.nl/handle/1874/255512","Cronenburch S Muller 1915")</f>
        <v>0</v>
      </c>
    </row>
    <row r="3642" spans="2:4">
      <c r="B3642">
        <v>55</v>
      </c>
      <c r="C3642" s="1">
        <f>hyperlink("https://hetutrechtsarchief.nl/collectie/C87974F941965D4AB87B500F4CC03E1A","Ter gedachtenis aan Jhr Mr J Huydecoper van Maarsseveen overleden 29 November 1890 - B 225 -232 portr 1892")</f>
        <v>0</v>
      </c>
      <c r="D3642" s="1">
        <f>hyperlink("http://dspace.library.uu.nl/handle/1874/255513","Een en ander aangaande Mr Joan Huydecoper van Maarsseveen 1601-1661 en enkele dichters van zijn tijd Alberta J Portengen 1915")</f>
        <v>0</v>
      </c>
    </row>
    <row r="3643" spans="2:4">
      <c r="B3643">
        <v>52</v>
      </c>
      <c r="C3643" s="1">
        <f>hyperlink("https://hetutrechtsarchief.nl/collectie/0C727BE0535450F08294FE5B0A0C6FE6","Het Joderijtje als herinnering aan een Oude Gracht J Prakken 25-28 1951")</f>
        <v>0</v>
      </c>
      <c r="D3643" s="1">
        <f>hyperlink("http://dspace.library.uu.nl/handle/1874/255514","Het oorijzer in Niftarlake Alberta J Portengen 1917")</f>
        <v>0</v>
      </c>
    </row>
    <row r="3644" spans="2:4">
      <c r="B3644">
        <v>56</v>
      </c>
      <c r="C3644" s="1">
        <f>hyperlink("https://hetutrechtsarchief.nl/collectie/F6FA4096350F56E389162CD1BDAB9C88","Sint Maartenskermis Wim van Noort 29 ill 1997")</f>
        <v>0</v>
      </c>
      <c r="D3644" s="1">
        <f>hyperlink("http://dspace.library.uu.nl/handle/1874/255515","St Maarten of St Joris J A Portengen 1915")</f>
        <v>0</v>
      </c>
    </row>
    <row r="3645" spans="2:4">
      <c r="B3645">
        <v>55</v>
      </c>
      <c r="C3645" s="1">
        <f>hyperlink("https://hetutrechtsarchief.nl/collectie/EFE13AF6BB215BDB8C7F79420ACB70C0","Oude ansichten II De Biltse Fanfare Jan van der Heijden 60 1999")</f>
        <v>0</v>
      </c>
      <c r="D3645" s="1">
        <f>hyperlink("http://dspace.library.uu.nl/handle/1874/255516","Oude plaatsnamen in de Gouw Niftarlake J A Portengen 1916")</f>
        <v>0</v>
      </c>
    </row>
    <row r="3646" spans="2:4">
      <c r="B3646">
        <v>59</v>
      </c>
      <c r="C3646" s="1">
        <f>hyperlink("https://hetutrechtsarchief.nl/collectie/44ABA814A40D58BCA57CBA3380B3A54F","De keuze Loosdrechts porselein Conny G Bogaard 69 ill 1996")</f>
        <v>0</v>
      </c>
      <c r="D3646" s="1">
        <f>hyperlink("http://dspace.library.uu.nl/handle/1874/255517","Oud-Loosdrechtsch porselein C H C A van Sypesteyn 1914")</f>
        <v>0</v>
      </c>
    </row>
    <row r="3647" spans="2:4">
      <c r="B3647">
        <v>60</v>
      </c>
      <c r="C3647" s="1">
        <f>hyperlink("https://hetutrechtsarchief.nl/collectie/28A6DD4C30515BB0A41EC927C3D974F5","De oude binnenstad aangevreten R C J van Maanen 38 1971")</f>
        <v>0</v>
      </c>
      <c r="D3647" s="1">
        <f>hyperlink("http://dspace.library.uu.nl/handle/1874/255518","Over oude tuinen langs de Vecht C H C A van Sypesteyn 1915")</f>
        <v>0</v>
      </c>
    </row>
    <row r="3648" spans="2:4">
      <c r="B3648">
        <v>55</v>
      </c>
      <c r="C3648" s="1">
        <f>hyperlink("https://hetutrechtsarchief.nl/collectie/8B9AF0C03B1E5A7E9EEB63458684DDB8","De vrouwenbibliotheek Susanne van Capelleveen 9-11 1985")</f>
        <v>0</v>
      </c>
      <c r="D3648" s="1">
        <f>hyperlink("http://dspace.library.uu.nl/handle/1874/255519","O L Vrouwen Broederschap te Vleuten K V 1915")</f>
        <v>0</v>
      </c>
    </row>
    <row r="3649" spans="2:4">
      <c r="B3649">
        <v>56</v>
      </c>
      <c r="C3649" s="1">
        <f>hyperlink("https://hetutrechtsarchief.nl/collectie/A4FCFB51A313527CA1610334DDC5CD0F","Loosdrechtse beurtvaart John Mol 198-206 2007")</f>
        <v>0</v>
      </c>
      <c r="D3649" s="1">
        <f>hyperlink("http://dspace.library.uu.nl/handle/1874/255520","Loosdrecht s Leeraarshuis G Vellenga 1916")</f>
        <v>0</v>
      </c>
    </row>
    <row r="3650" spans="2:4">
      <c r="B3650">
        <v>52</v>
      </c>
      <c r="C3650" s="1">
        <f>hyperlink("https://hetutrechtsarchief.nl/collectie/7E751F4DB0795D8FA6443459088BCDEB","Een kerk van papier 14 ill 1985")</f>
        <v>0</v>
      </c>
      <c r="D3650" s="1">
        <f>hyperlink("http://dspace.library.uu.nl/handle/1874/255521","De Sypekerk G Vellenga 1915")</f>
        <v>0</v>
      </c>
    </row>
    <row r="3651" spans="2:4">
      <c r="B3651">
        <v>55</v>
      </c>
      <c r="C3651" s="1">
        <f>hyperlink("https://hetutrechtsarchief.nl/collectie/2B366557BE685812938F39AD4274CFCA","Begijnen op het Heilige Leven in Utrecht in de veertiende eeuw Martin W J de Bruijn 72-73 krt 1984")</f>
        <v>0</v>
      </c>
      <c r="D3651" s="1">
        <f>hyperlink("http://dspace.library.uu.nl/handle/1874/255522","De Romeinsche Vecht Vechten en de Vecht in de eerste twee eeuwen onzer jaartelling J W Verburgt 1916")</f>
        <v>0</v>
      </c>
    </row>
    <row r="3652" spans="2:4">
      <c r="B3652">
        <v>59</v>
      </c>
      <c r="C3652" s="1">
        <f>hyperlink("https://hetutrechtsarchief.nl/collectie/AEFD4EF8E47B55AABB9C75877B3B5EB2","De gevelstenen van het Mesdagplein Gerard Brouwer 11-21 2003")</f>
        <v>0</v>
      </c>
      <c r="D3652" s="1">
        <f>hyperlink("http://dspace.library.uu.nl/handle/1874/255523","De gevelsteen van Starnheim J W Verburgt 1915")</f>
        <v>0</v>
      </c>
    </row>
    <row r="3653" spans="2:4">
      <c r="B3653">
        <v>53</v>
      </c>
      <c r="C3653" s="1">
        <f>hyperlink("https://hetutrechtsarchief.nl/collectie/1C741A9305D85D8E8A2F293B6CB1C805","De restauraties van 1975 provincie C J Bardet 26 1976")</f>
        <v>0</v>
      </c>
      <c r="D3653" s="1">
        <f>hyperlink("http://dspace.library.uu.nl/handle/1874/255524","De Vier Jaargetijden van David Vinckebooms J W Verburgt 1916")</f>
        <v>0</v>
      </c>
    </row>
    <row r="3654" spans="2:4">
      <c r="B3654">
        <v>58</v>
      </c>
      <c r="C3654" s="1">
        <f>hyperlink("https://hetutrechtsarchief.nl/collectie/D9D1B4AD3835584E8ACAF5678C03EBC7","Schets van een geschiedenis van Trecht J van Galen 29-59 ill 1958")</f>
        <v>0</v>
      </c>
      <c r="D3654" s="1">
        <f>hyperlink("http://dspace.library.uu.nl/handle/1874/255525","Iets over reegeringszorg in de geschiedenis van Loosdrecht W Voogsgeerd 1915")</f>
        <v>0</v>
      </c>
    </row>
    <row r="3655" spans="2:4">
      <c r="B3655">
        <v>54</v>
      </c>
      <c r="C3655" s="1">
        <f>hyperlink("https://hetutrechtsarchief.nl/collectie/763C27D7C7E15855A8D34F6479E5E19A","Kerken van Ter Aa en Kockengen 58 1957")</f>
        <v>0</v>
      </c>
      <c r="D3655" s="1">
        <f>hyperlink("http://dspace.library.uu.nl/handle/1874/255527","Keizer Karel V te Loenen F C Wieder 1915")</f>
        <v>0</v>
      </c>
    </row>
    <row r="3656" spans="2:4">
      <c r="B3656">
        <v>54</v>
      </c>
      <c r="C3656" s="1">
        <f>hyperlink("https://hetutrechtsarchief.nl/collectie/07E240B178295829BCF45A9547BFDA0D","De opening van het Universiteitshuis - J D 1946")</f>
        <v>0</v>
      </c>
      <c r="D3656" s="1">
        <f>hyperlink("http://dspace.library.uu.nl/handle/1874/255529","Vondst van hoefijzers te Nieuwersluis L A J W Sloet 1915")</f>
        <v>0</v>
      </c>
    </row>
    <row r="3657" spans="2:4">
      <c r="B3657">
        <v>54</v>
      </c>
      <c r="C3657" s="1">
        <f>hyperlink("https://hetutrechtsarchief.nl/collectie/99A745E2F1F35F4C92EDB52ED7EB4989","Doodslag in de 17de eeuw P J K van Werkhoven 93 1977")</f>
        <v>0</v>
      </c>
      <c r="D3657" s="1">
        <f>hyperlink("http://dspace.library.uu.nl/handle/1874/255530","Armverzorging in de 18e eeuw J G Th Grevenstuk 1915")</f>
        <v>0</v>
      </c>
    </row>
    <row r="3658" spans="2:4">
      <c r="B3658">
        <v>54</v>
      </c>
      <c r="C3658" s="1">
        <f>hyperlink("https://hetutrechtsarchief.nl/collectie/95CC881D832C55329766A9449A6AFAA1","Beschrijving der gebouwen enz van de Akademie 64 -68 1824")</f>
        <v>0</v>
      </c>
      <c r="D3658" s="1">
        <f>hyperlink("http://dspace.library.uu.nl/handle/1874/255531","Beschrijving der oudheden in de gemeente Abcoude-Proostdij J W Arkel G van Verburgt 1914")</f>
        <v>0</v>
      </c>
    </row>
    <row r="3659" spans="2:4">
      <c r="B3659">
        <v>58</v>
      </c>
      <c r="C3659" s="1">
        <f>hyperlink("https://hetutrechtsarchief.nl/collectie/7DA161F9254D526CAA93C08CBE780EA0","Kaart van de Vechtstreek door Dani l Stopendaal Kees van Aggelen 42-48 2017")</f>
        <v>0</v>
      </c>
      <c r="D3659" s="1">
        <f>hyperlink("http://dspace.library.uu.nl/handle/1874/255642","Een kaart van de Vechtstreek uit den jare 1531 A N J Fabius 1917")</f>
        <v>0</v>
      </c>
    </row>
    <row r="3660" spans="2:4">
      <c r="B3660">
        <v>59</v>
      </c>
      <c r="C3660" s="1">
        <f>hyperlink("https://hetutrechtsarchief.nl/collectie/B6BBBEFC8B895B878F9562CFF57A3110","De Veensteeg Jan Heemstra 7-11 2003")</f>
        <v>0</v>
      </c>
      <c r="D3660" s="1">
        <f>hyperlink("http://dspace.library.uu.nl/handle/1874/255643","De Veensaters J G Th Grevenstuk 1918")</f>
        <v>0</v>
      </c>
    </row>
    <row r="3661" spans="2:4">
      <c r="B3661">
        <v>58</v>
      </c>
      <c r="C3661" s="1">
        <f>hyperlink("https://hetutrechtsarchief.nl/collectie/0AFB34EBC6D85608964275CC4B0F2625","Iets over de Vechtstreek R van Luttervelt 16-19 1950")</f>
        <v>0</v>
      </c>
      <c r="D3661" s="1">
        <f>hyperlink("http://dspace.library.uu.nl/handle/1874/255644","Gemeentewapens in de Vechtstreek J G Th Grevenstuk 1917")</f>
        <v>0</v>
      </c>
    </row>
    <row r="3662" spans="2:4">
      <c r="B3662">
        <v>65</v>
      </c>
      <c r="C3662" s="1">
        <f>hyperlink("https://hetutrechtsarchief.nl/collectie/98EF41D2B9D6599B8324531AAE5B4F73","Dr A J van de Weijde 33-34 1932")</f>
        <v>0</v>
      </c>
      <c r="D3662" s="1">
        <f>hyperlink("http://dspace.library.uu.nl/handle/1874/255645","Ouderhoek L J van der Heijden 1917")</f>
        <v>0</v>
      </c>
    </row>
    <row r="3663" spans="2:4">
      <c r="B3663">
        <v>52</v>
      </c>
      <c r="C3663" s="1">
        <f>hyperlink("https://hetutrechtsarchief.nl/collectie/7E9272F50BC8571B8A183C3DDB5FDD17","Het recht van Trecht J E A L Struick 9-37 ill 1972")</f>
        <v>0</v>
      </c>
      <c r="D3663" s="1">
        <f>hyperlink("http://dspace.library.uu.nl/handle/1874/255646","Een Vecht-po et Wilha F Grevenstuk 1917")</f>
        <v>0</v>
      </c>
    </row>
    <row r="3664" spans="2:4">
      <c r="B3664">
        <v>81</v>
      </c>
      <c r="C3664" s="1">
        <f>hyperlink("https://hetutrechtsarchief.nl/collectie/4DA2E1D338C05754A6DC6A68F6700D47","Het huis te Nigtevecht S Muller Fz 1-4 10 ill 1914")</f>
        <v>0</v>
      </c>
      <c r="D3664" s="1">
        <f>hyperlink("http://dspace.library.uu.nl/handle/1874/255647","Het Huis te Nigtevecht S Muller 1918")</f>
        <v>0</v>
      </c>
    </row>
    <row r="3665" spans="2:4">
      <c r="B3665">
        <v>52</v>
      </c>
      <c r="C3665" s="1">
        <f>hyperlink("https://hetutrechtsarchief.nl/collectie/4518BBC37B7C5683BBCAAB1B5A95EFEB","Vreeswijk een beeld van een schippersdorp rond 1935 Loes Slooten-Glimmerveen 21-27 2014")</f>
        <v>0</v>
      </c>
      <c r="D3665" s="1">
        <f>hyperlink("http://dspace.library.uu.nl/handle/1874/255648","Vreeland in het bezit van den Engelschen koning 1351 Alberta J Portengen 1917")</f>
        <v>0</v>
      </c>
    </row>
    <row r="3666" spans="2:4">
      <c r="B3666">
        <v>52</v>
      </c>
      <c r="C3666" s="1">
        <f>hyperlink("https://hetutrechtsarchief.nl/collectie/72D3CE1A1D1B8275E0534701000ACEA1","Kanonnen op de Tafelberg meting van de snelheid van het geluid Ton Hartong 91-93 2018")</f>
        <v>0</v>
      </c>
      <c r="D3666" s="1">
        <f>hyperlink("http://dspace.library.uu.nl/handle/1874/255649","Kroniek van Vreeland van af de stichting tot de slooping van het kasteel J A Portengen 1917")</f>
        <v>0</v>
      </c>
    </row>
    <row r="3667" spans="2:4">
      <c r="B3667">
        <v>59</v>
      </c>
      <c r="C3667" s="1">
        <f>hyperlink("https://hetutrechtsarchief.nl/collectie/E6483A5DFE11578694A2FA5E99F43BDB","De trawanten van het kasteel Vredenburg een oplossing P van Hees 108 1978")</f>
        <v>0</v>
      </c>
      <c r="D3667" s="1">
        <f>hyperlink("http://dspace.library.uu.nl/handle/1874/255650","Een platte grond van het kasteel Vreeland J A Portengen 1918")</f>
        <v>0</v>
      </c>
    </row>
    <row r="3668" spans="2:4">
      <c r="B3668">
        <v>55</v>
      </c>
      <c r="C3668" s="1">
        <f>hyperlink("https://hetutrechtsarchief.nl/collectie/B9FE7030C639597C86469286B38B5047","Berichtgeving in oorlogstijd - v C 77-79 1968")</f>
        <v>0</v>
      </c>
      <c r="D3668" s="1">
        <f>hyperlink("http://dspace.library.uu.nl/handle/1874/255651","Het Stichtsche platteland in oorlogstijd 1481-1483 N B Tenhaeff 1918")</f>
        <v>0</v>
      </c>
    </row>
    <row r="3669" spans="2:4">
      <c r="B3669">
        <v>52</v>
      </c>
      <c r="C3669" s="1">
        <f>hyperlink("https://hetutrechtsarchief.nl/collectie/91D6628922095DA6AB198ACC96BCFDBA","De afstamming van Johan van Oldenbarnevelt W Wijnaendts van Resandt 160-180 1968")</f>
        <v>0</v>
      </c>
      <c r="D3669" s="1">
        <f>hyperlink("http://dspace.library.uu.nl/handle/1874/255652","De ridderhofstad Gunterstein in het bijzonder als woonplaats van Johan van Oldenbarnevelt Raadspensionaris van Holland J W Verburgt 1917")</f>
        <v>0</v>
      </c>
    </row>
    <row r="3670" spans="2:4">
      <c r="B3670">
        <v>59</v>
      </c>
      <c r="C3670" s="1">
        <f>hyperlink("https://hetutrechtsarchief.nl/collectie/200B47D2CDCA5E958F13725EEC6AD63D","Uit het fotoarchief van Jan J van Dijk deel 4 17-18 2012")</f>
        <v>0</v>
      </c>
      <c r="D3670" s="1">
        <f>hyperlink("http://dspace.library.uu.nl/handle/1874/255654","Uit het archief van Nyenrode J W Verburgt 1918")</f>
        <v>0</v>
      </c>
    </row>
    <row r="3671" spans="2:4">
      <c r="B3671">
        <v>54</v>
      </c>
      <c r="C3671" s="1">
        <f>hyperlink("https://hetutrechtsarchief.nl/collectie/F7C2DC4E2EA95961B5921C3496556C34","Het Duitse Huis een wonder in Utrecht Hedde Biesma 33-37 2000")</f>
        <v>0</v>
      </c>
      <c r="D3671" s="1">
        <f>hyperlink("http://dspace.library.uu.nl/handle/1874/256108","Het vierkante huis in 17de eeuws Utrecht het stedelijk woonideaal M Statema 1994")</f>
        <v>0</v>
      </c>
    </row>
    <row r="3672" spans="2:4">
      <c r="B3672">
        <v>100</v>
      </c>
      <c r="C3672" s="1">
        <f>hyperlink("https://hetutrechtsarchief.nl/collectie/5CC1DBED76FC530F9AD08543DE268264","Wat was er v r Pon Automobielhandel L A A van Hamersveld Agnes Witte 10-11 2010")</f>
        <v>0</v>
      </c>
      <c r="D3672" s="1">
        <f>hyperlink("http://dspace.library.uu.nl/handle/1874/256289","Wat was er v r Pon Automobielhandel L A A van Hamersveld Agnes Witte 10-11 2010")</f>
        <v>0</v>
      </c>
    </row>
    <row r="3673" spans="2:4">
      <c r="B3673">
        <v>100</v>
      </c>
      <c r="C3673" s="1">
        <f>hyperlink("https://hetutrechtsarchief.nl/collectie/2A02F112644058B9BE4269791A0D0A66","De 13e vicarie Ton Reichgelt 16-17 2010")</f>
        <v>0</v>
      </c>
      <c r="D3673" s="1">
        <f>hyperlink("http://dspace.library.uu.nl/handle/1874/256290","De 13e vicarie Ton Reichgelt 16-17 2010")</f>
        <v>0</v>
      </c>
    </row>
    <row r="3674" spans="2:4">
      <c r="B3674">
        <v>100</v>
      </c>
      <c r="C3674" s="1">
        <f>hyperlink("https://hetutrechtsarchief.nl/collectie/15940C8B5BB65074B3EA9E0CD8EC7C8A","Negen Maria s in n trouwboekje Hennie van den Burg 12-13 2011")</f>
        <v>0</v>
      </c>
      <c r="D3674" s="1">
        <f>hyperlink("http://dspace.library.uu.nl/handle/1874/256291","Negen Maria s in n trouwboekje Hennie van den Burg 12-13 2011")</f>
        <v>0</v>
      </c>
    </row>
    <row r="3675" spans="2:4">
      <c r="B3675">
        <v>90</v>
      </c>
      <c r="C3675" s="1">
        <f>hyperlink("https://hetutrechtsarchief.nl/collectie/D3588975B98258258B81106EB6C86047","Pareltjes van vormgeving Amersfoortse briefhoofden Henk van Tilburg en Wim van den Hoonaard 12-13 2011")</f>
        <v>0</v>
      </c>
      <c r="D3675" s="1">
        <f>hyperlink("http://dspace.library.uu.nl/handle/1874/256292","Pareltjes van vormgeving Amersfoortse briefhoofden Wim van den Tilburg Henk van Hoonaard 12-13 2011")</f>
        <v>0</v>
      </c>
    </row>
    <row r="3676" spans="2:4">
      <c r="B3676">
        <v>100</v>
      </c>
      <c r="C3676" s="1">
        <f>hyperlink("https://hetutrechtsarchief.nl/collectie/B450B82A3F835CA0ADCD06D9A2A05592","Ketelmuziek in Amersfoort bronswerk in beeld Agnes Witte 12-13 2012")</f>
        <v>0</v>
      </c>
      <c r="D3676" s="1">
        <f>hyperlink("http://dspace.library.uu.nl/handle/1874/256293","Ketelmuziek in Amersfoort bronswerk in beeld Agnes Witte 12-13 2012")</f>
        <v>0</v>
      </c>
    </row>
    <row r="3677" spans="2:4">
      <c r="B3677">
        <v>100</v>
      </c>
      <c r="C3677" s="1">
        <f>hyperlink("https://hetutrechtsarchief.nl/collectie/50F6E61141605E90A7E50BC56849F453","Te koop allerschoonst gelegen buitenverblijf de archieven van Amersfoortse buitenplaatsen Dirk Steenbeek 20-21 2012")</f>
        <v>0</v>
      </c>
      <c r="D3677" s="1">
        <f>hyperlink("http://dspace.library.uu.nl/handle/1874/256294","Te koop allerschoonst gelegen buitenverblijf de archieven van Amersfoortse buitenplaatsen Dirk Steenbeek 20-21 2012")</f>
        <v>0</v>
      </c>
    </row>
    <row r="3678" spans="2:4">
      <c r="B3678">
        <v>55</v>
      </c>
      <c r="C3678" s="1">
        <f>hyperlink("https://hetutrechtsarchief.nl/collectie/20E4776F220750F397B4627A4E9018C2","Van den Raad van Appel gesteld bij bisschop David van Bourgondien uit de verzamelinge van verscheyde acten extracten ende aantekeningen rakende de regeeringe van de Provincie ende de Stad van Utrecht 324 -325 1839")</f>
        <v>0</v>
      </c>
      <c r="D3678" s="1">
        <f>hyperlink("http://dspace.library.uu.nl/handle/1874/256588","Deductie van de Staaten van den Lande van Utrecht behelsende een waarachtigh verhaal van t gene gepasseert is ontrent den intocht van de Fransche macht in de provincie en de stadt van Utrecht 1673")</f>
        <v>0</v>
      </c>
    </row>
    <row r="3679" spans="2:4">
      <c r="B3679">
        <v>51</v>
      </c>
      <c r="C3679" s="1">
        <f>hyperlink("https://hetutrechtsarchief.nl/collectie/AE3ED3F0751152BC8D5028B566A0CF50","Lijste van de kelders ende ingangen der selver van de graffsteden ende anderen plaatsen in de Catharynen kercke gelegen al te samen in de caerte daervan synde met nombers aengewesen 361-369")</f>
        <v>0</v>
      </c>
      <c r="D3679" s="1">
        <f>hyperlink("http://dspace.library.uu.nl/handle/1874/256663","Geaugmenteerde autentijcke lyste vande namen der personen die het request geteyckent hebben t welck sy aen Zijn Excelltie den grave van Horne c overgelevert hebben 1674")</f>
        <v>0</v>
      </c>
    </row>
    <row r="3680" spans="2:4">
      <c r="B3680">
        <v>55</v>
      </c>
      <c r="C3680" s="1">
        <f>hyperlink("https://hetutrechtsarchief.nl/collectie/2AA06E2C74D75E159E6577364DA509EB","Het geslacht Van Vloten D G van Epen 289 -370 1907")</f>
        <v>0</v>
      </c>
      <c r="D3680" s="1">
        <f>hyperlink("http://dspace.library.uu.nl/handle/1874/257108","Het edele lant van Cockaengen J G Th Grevenstuk 1919")</f>
        <v>0</v>
      </c>
    </row>
    <row r="3681" spans="2:4">
      <c r="B3681">
        <v>63</v>
      </c>
      <c r="C3681" s="1">
        <f>hyperlink("https://hetutrechtsarchief.nl/collectie/FEFB35F2AA355E0C8198D3E4C50345EB","De lijkkist van Weerestein S Muller Fz 1-7 7 ill 1914")</f>
        <v>0</v>
      </c>
      <c r="D3681" s="1">
        <f>hyperlink("http://dspace.library.uu.nl/handle/1874/257109","De lijkkist van Weerestyn J Hooft Graafland 1920")</f>
        <v>0</v>
      </c>
    </row>
    <row r="3682" spans="2:4">
      <c r="B3682">
        <v>54</v>
      </c>
      <c r="C3682" s="1">
        <f>hyperlink("https://hetutrechtsarchief.nl/collectie/F46E4799D8D757398DC2D7F5208F07E7","Het verdwenen middeleeuwse doopvont uit de hervormde kerk van Vreeland Anton T E Cruysheer 28-31 2009")</f>
        <v>0</v>
      </c>
      <c r="D3682" s="1">
        <f>hyperlink("http://dspace.library.uu.nl/handle/1874/257110","De doopvont uit de kerk te Vreeland J A Portengen 1919")</f>
        <v>0</v>
      </c>
    </row>
    <row r="3683" spans="2:4">
      <c r="B3683">
        <v>68</v>
      </c>
      <c r="C3683" s="1">
        <f>hyperlink("https://hetutrechtsarchief.nl/collectie/A73D5F63E84D50F4B7BFCD4967E22952","De ridderhofstad Oudegein J W C van Schaik 66-82 1999")</f>
        <v>0</v>
      </c>
      <c r="D3683" s="1">
        <f>hyperlink("http://dspace.library.uu.nl/handle/1874/257111","De ridderhofstad Oudaen J W Verburgt 1919")</f>
        <v>0</v>
      </c>
    </row>
    <row r="3684" spans="2:4">
      <c r="B3684">
        <v>61</v>
      </c>
      <c r="C3684" s="1">
        <f>hyperlink("https://hetutrechtsarchief.nl/collectie/514D1948F16654FEBC82271160E5E96C","De grillige grens tussen Zuid-Holland en Utrecht Leen Ouweneel 105-119 2011")</f>
        <v>0</v>
      </c>
      <c r="D3684" s="1">
        <f>hyperlink("http://dspace.library.uu.nl/handle/1874/257112","De grenswijziging tusschen Holland en Utrecht in het jaar 1819 W Voogsgeerd 1919")</f>
        <v>0</v>
      </c>
    </row>
    <row r="3685" spans="2:4">
      <c r="B3685">
        <v>57</v>
      </c>
      <c r="C3685" s="1">
        <f>hyperlink("https://hetutrechtsarchief.nl/collectie/20018E40D1A355F2A3D0463CE9184EF1","De watermolens van Eemnes deel 2 Evert van Andel 178-191 2015")</f>
        <v>0</v>
      </c>
      <c r="D3685" s="1">
        <f>hyperlink("http://dspace.library.uu.nl/handle/1874/257113","De molen van Mijnden W Voogsgeerd 1920")</f>
        <v>0</v>
      </c>
    </row>
    <row r="3686" spans="2:4">
      <c r="B3686">
        <v>60</v>
      </c>
      <c r="C3686" s="1">
        <f>hyperlink("https://hetutrechtsarchief.nl/collectie/BB2E0F5831295E1A8F1370FCC17F3D8E","Het verveningsbedrijf in de Vechtstreek J Daams 31-37 1986")</f>
        <v>0</v>
      </c>
      <c r="D3686" s="1">
        <f>hyperlink("http://dspace.library.uu.nl/handle/1874/257114","Uit het verleden der Portugeesche Joden in de Vechtstreek Jac Zwarts 1920")</f>
        <v>0</v>
      </c>
    </row>
    <row r="3687" spans="2:4">
      <c r="B3687">
        <v>55</v>
      </c>
      <c r="C3687" s="1">
        <f>hyperlink("https://hetutrechtsarchief.nl/collectie/8356B2B75A6C5CCD984FD925D345942F","De Domtoren en zijn klokken Th Haakma Wagenaar 33-35 tek 1976")</f>
        <v>0</v>
      </c>
      <c r="D3687" s="1">
        <f>hyperlink("http://dspace.library.uu.nl/handle/1874/257115","De molenaar en zijn snoek J G Th Grevenstuk 1920")</f>
        <v>0</v>
      </c>
    </row>
    <row r="3688" spans="2:4">
      <c r="B3688">
        <v>58</v>
      </c>
      <c r="C3688" s="1">
        <f>hyperlink("https://hetutrechtsarchief.nl/collectie/A9033C225556539AB9B1B2D2445D183F","De afstamming van paus Adriaan VI - van der Marel 82-84 1927")</f>
        <v>0</v>
      </c>
      <c r="D3688" s="1">
        <f>hyperlink("http://dspace.library.uu.nl/handle/1874/257184","Een afstammeling van prins Maurits G J Dokkum 1922")</f>
        <v>0</v>
      </c>
    </row>
    <row r="3689" spans="2:4">
      <c r="B3689">
        <v>58</v>
      </c>
      <c r="C3689" s="1">
        <f>hyperlink("https://hetutrechtsarchief.nl/collectie/4DAB23336AB95902901699605A445908","Drinkwatervoorziening in Abcoude en Baambrugge in vroeger tijden Wim Timmer 507-515 2012")</f>
        <v>0</v>
      </c>
      <c r="D3689" s="1">
        <f>hyperlink("http://dspace.library.uu.nl/handle/1874/257186","De vicarien van Abcoude en Baambrugge J G Th Grevenstuk 1921")</f>
        <v>0</v>
      </c>
    </row>
    <row r="3690" spans="2:4">
      <c r="B3690">
        <v>55</v>
      </c>
      <c r="C3690" s="1">
        <f>hyperlink("https://hetutrechtsarchief.nl/collectie/EC3DBEDEE31D56C087E7CE9B8F551B41","Liefde huwelijk en gezin in de 17de en 18de eeuw Judith Hokke 177-192 ill 1998")</f>
        <v>0</v>
      </c>
      <c r="D3690" s="1">
        <f>hyperlink("http://dspace.library.uu.nl/handle/1874/257187","Geneeskundige hulp op het platteland in de 17e en 18e eeuw J G Th Grevenstuk 1923")</f>
        <v>0</v>
      </c>
    </row>
    <row r="3691" spans="2:4">
      <c r="B3691">
        <v>54</v>
      </c>
      <c r="C3691" s="1">
        <f>hyperlink("https://hetutrechtsarchief.nl/collectie/D10B59CD2E1F5C4D9AEE96643B4E35D4","Katrijn van Leemputte 109 1936")</f>
        <v>0</v>
      </c>
      <c r="D3691" s="1">
        <f>hyperlink("http://dspace.library.uu.nl/handle/1874/257188","Fluytestijn Hans Matthes 1921")</f>
        <v>0</v>
      </c>
    </row>
    <row r="3692" spans="2:4">
      <c r="B3692">
        <v>58</v>
      </c>
      <c r="C3692" s="1">
        <f>hyperlink("https://hetutrechtsarchief.nl/collectie/A68C889C2B209174E0534701000A2C9E","De Tweede Wereldoorlog in Breukelen Jan Rutges 19-21 2020")</f>
        <v>0</v>
      </c>
      <c r="D3692" s="1">
        <f>hyperlink("http://dspace.library.uu.nl/handle/1874/257189","De Hervormde Kerk te Breukelen C J Naerebout 1921")</f>
        <v>0</v>
      </c>
    </row>
    <row r="3693" spans="2:4">
      <c r="B3693">
        <v>57</v>
      </c>
      <c r="C3693" s="1">
        <f>hyperlink("https://hetutrechtsarchief.nl/collectie/F2204AEC3A7051FFB6C8E85C6A7FBC58","Bellechier D Philips 49-51 1961")</f>
        <v>0</v>
      </c>
      <c r="D3693" s="1">
        <f>hyperlink("http://dspace.library.uu.nl/handle/1874/257190","Nieuwer ter Aa D Philips 1923")</f>
        <v>0</v>
      </c>
    </row>
    <row r="3694" spans="2:4">
      <c r="B3694">
        <v>54</v>
      </c>
      <c r="C3694" s="1">
        <f>hyperlink("https://hetutrechtsarchief.nl/collectie/480BCAA8C0DA51BF9DDB80D881C4EE74","De Utrechtse glazen van Richard Roland Holst Arjan den Boer 4-9 2016")</f>
        <v>0</v>
      </c>
      <c r="D3694" s="1">
        <f>hyperlink("http://dspace.library.uu.nl/handle/1874/257191","De dichter-glazenmaker Jan Vos Alberta J Portengen 1922")</f>
        <v>0</v>
      </c>
    </row>
    <row r="3695" spans="2:4">
      <c r="B3695">
        <v>54</v>
      </c>
      <c r="C3695" s="1">
        <f>hyperlink("https://hetutrechtsarchief.nl/collectie/B19F6F09BBAA583CAFAEDAA5CA99BC76","Utrechtsche overleveringen XV Ponsen en Angen - E 1-3 1940")</f>
        <v>0</v>
      </c>
      <c r="D3695" s="1">
        <f>hyperlink("http://dspace.library.uu.nl/handle/1874/257192","Tusschen Portaengen ende Polane J A Portengen 1922")</f>
        <v>0</v>
      </c>
    </row>
    <row r="3696" spans="2:4">
      <c r="B3696">
        <v>56</v>
      </c>
      <c r="C3696" s="1">
        <f>hyperlink("https://hetutrechtsarchief.nl/collectie/3F1F43685750539C9877DA942CE48C0F","Archeologische vondsten te Rhenen 6 1952")</f>
        <v>0</v>
      </c>
      <c r="D3696" s="1">
        <f>hyperlink("http://dspace.library.uu.nl/handle/1874/257193","Het geologisch ontstaan van Niftarlake Alberta J Portengen 1921")</f>
        <v>0</v>
      </c>
    </row>
    <row r="3697" spans="2:4">
      <c r="B3697">
        <v>54</v>
      </c>
      <c r="C3697" s="1">
        <f>hyperlink("https://hetutrechtsarchief.nl/collectie/640ED104D908A69CE0534701000AD44A","Zestig jaar verandering in het voormalige Groot-Waterschap van Woerden Lex Albers 114-123 2017")</f>
        <v>0</v>
      </c>
      <c r="D3697" s="1">
        <f>hyperlink("http://dspace.library.uu.nl/handle/1874/257194","De slotsbrug bij Abcoude en de voormalige waterschappen op de Binnenlandsche lasten W W E Rosenk tter 1921")</f>
        <v>0</v>
      </c>
    </row>
    <row r="3698" spans="2:4">
      <c r="B3698">
        <v>58</v>
      </c>
      <c r="C3698" s="1">
        <f>hyperlink("https://hetutrechtsarchief.nl/collectie/145030419142598FA528A7545A65D546","Krijg de klere cholera in Abcoude en Baambrugge in de 19e eeuw Wim Timmer 491-499 2011")</f>
        <v>0</v>
      </c>
      <c r="D3698" s="1">
        <f>hyperlink("http://dspace.library.uu.nl/handle/1874/257195","De orgels in de kerken van Abcoude en Baambrugge Joan Vis 1922")</f>
        <v>0</v>
      </c>
    </row>
    <row r="3699" spans="2:4">
      <c r="B3699">
        <v>64</v>
      </c>
      <c r="C3699" s="1">
        <f>hyperlink("https://hetutrechtsarchief.nl/collectie/5CD377A592D65235B41B22941A17F230","Toegangshekken in de Vechtstreek A J A M Lisman 21-70 ill 1994")</f>
        <v>0</v>
      </c>
      <c r="D3699" s="1">
        <f>hyperlink("http://dspace.library.uu.nl/handle/1874/257196","De Franschen in de Vechtstreek in 1672 I M van Wijhe 1923")</f>
        <v>0</v>
      </c>
    </row>
    <row r="3700" spans="2:4">
      <c r="B3700">
        <v>57</v>
      </c>
      <c r="C3700" s="1">
        <f>hyperlink("https://hetutrechtsarchief.nl/collectie/0339BB7E52BA568E8F5A2251032FFD7C","De Vechtstreek in 1672 en 1673 Benno Visschedijk 34-35 2006")</f>
        <v>0</v>
      </c>
      <c r="D3700" s="1">
        <f>hyperlink("http://dspace.library.uu.nl/handle/1874/257197","Invallen der Franschen in de Vechtstreek in 1672 en 1673 W Voogsgeerd 1921")</f>
        <v>0</v>
      </c>
    </row>
    <row r="3701" spans="2:4">
      <c r="B3701">
        <v>58</v>
      </c>
      <c r="C3701" s="1">
        <f>hyperlink("https://hetutrechtsarchief.nl/collectie/23171E285A5353839CB185552DF51053","Onderwijs in Maarssen eind 18e en begin 19e eeuw Arie de Zwart 123-131 2003")</f>
        <v>0</v>
      </c>
      <c r="D3701" s="1">
        <f>hyperlink("http://dspace.library.uu.nl/handle/1874/257198","Portugeesche Joden te Maarssen en Maarsseveen in de 17de eeuw Jac Zwarts 1922")</f>
        <v>0</v>
      </c>
    </row>
    <row r="3702" spans="2:4">
      <c r="B3702">
        <v>56</v>
      </c>
      <c r="C3702" s="1">
        <f>hyperlink("https://hetutrechtsarchief.nl/collectie/88D5EAC3FCD78A57E0534701000A3BE3","De les van Utrecht 51 1934")</f>
        <v>0</v>
      </c>
      <c r="D3702" s="1">
        <f>hyperlink("http://dspace.library.uu.nl/handle/1874/257199","De Romeinsche Vecht 1922")</f>
        <v>0</v>
      </c>
    </row>
    <row r="3703" spans="2:4">
      <c r="B3703">
        <v>62</v>
      </c>
      <c r="C3703" s="1">
        <f>hyperlink("https://hetutrechtsarchief.nl/collectie/55420415F3BF5838A935D2155F24C6F1","Reizen in de Vechtstreek 63-65 1954")</f>
        <v>0</v>
      </c>
      <c r="D3703" s="1">
        <f>hyperlink("http://dspace.library.uu.nl/handle/1874/257262","De Pruisen in de Vechtstreek 1787 J G Th Grevenstuk 1924")</f>
        <v>0</v>
      </c>
    </row>
    <row r="3704" spans="2:4">
      <c r="B3704">
        <v>56</v>
      </c>
      <c r="C3704" s="1">
        <f>hyperlink("https://hetutrechtsarchief.nl/collectie/282DE7EA7CDE5C51A5706046689AC530","De patrocinia van de HH Servatius Gertrudis en Lambertus in het middeleeuwse bisdom Utrecht H J Kok 291-330 1964")</f>
        <v>0</v>
      </c>
      <c r="D3704" s="1">
        <f>hyperlink("http://dspace.library.uu.nl/handle/1874/257263","De parochie van de H H Cosmas en Damianus te Abcoude tot aan het einde der 18de eeuw J G Th Grevenstuk 1926")</f>
        <v>0</v>
      </c>
    </row>
    <row r="3705" spans="2:4">
      <c r="B3705">
        <v>55</v>
      </c>
      <c r="C3705" s="1">
        <f>hyperlink("https://hetutrechtsarchief.nl/collectie/8A315E68B11A58008B968AEEE3723DED","Spoorwegwerkplaatsen in Nederland Chris van de Meene 2-12 2006")</f>
        <v>0</v>
      </c>
      <c r="D3705" s="1">
        <f>hyperlink("http://dspace.library.uu.nl/handle/1874/257265","Romaanse bouwkunst in Nederland de kruisgang van S Marie Dee Philips 1924")</f>
        <v>0</v>
      </c>
    </row>
    <row r="3706" spans="2:4">
      <c r="B3706">
        <v>56</v>
      </c>
      <c r="C3706" s="1">
        <f>hyperlink("https://hetutrechtsarchief.nl/collectie/E885AF0E29245E8F86CD3555A0D7005D","Wanneer is de eerste romeinsche legerplaats op het Domplein te Utrecht verbrand L A W C Venmans 26-30 1936")</f>
        <v>0</v>
      </c>
      <c r="D3706" s="1">
        <f>hyperlink("http://dspace.library.uu.nl/handle/1874/257266","Fectio een Romeinsche legerplaats en haven A E Remouchamps 1924")</f>
        <v>0</v>
      </c>
    </row>
    <row r="3707" spans="2:4">
      <c r="B3707">
        <v>57</v>
      </c>
      <c r="C3707" s="1">
        <f>hyperlink("https://hetutrechtsarchief.nl/collectie/48FB81FD492D5EFBA2A76C2A94338962","Kerkelijke toestanden in de provincie Utrecht omstreeks 1600 J P van Dooren 183 -193 1969")</f>
        <v>0</v>
      </c>
      <c r="D3707" s="1">
        <f>hyperlink("http://dspace.library.uu.nl/handle/1874/257268","Over een leelijke gewoonte in de Loosdrechten omstreeks 1607 J Schipper 1927")</f>
        <v>0</v>
      </c>
    </row>
    <row r="3708" spans="2:4">
      <c r="B3708">
        <v>60</v>
      </c>
      <c r="C3708" s="1">
        <f>hyperlink("https://hetutrechtsarchief.nl/collectie/957D88A4667D37D3E0534701000A31BE","De wolvenjacht van 1593 in Het Sticht Wallie Smits 18-24 2007")</f>
        <v>0</v>
      </c>
      <c r="D3708" s="1">
        <f>hyperlink("http://dspace.library.uu.nl/handle/1874/257269","Een wolvenjacht 1593 J Schipper 1927")</f>
        <v>0</v>
      </c>
    </row>
    <row r="3709" spans="2:4">
      <c r="B3709">
        <v>52</v>
      </c>
      <c r="C3709" s="1">
        <f>hyperlink("https://hetutrechtsarchief.nl/collectie/D0FE61E9F9FA5E3A92D363927233CD99","Stichtse Lustwarande R K M Blijdenstein 19 1992")</f>
        <v>0</v>
      </c>
      <c r="D3709" s="1">
        <f>hyperlink("http://dspace.library.uu.nl/handle/1874/257270","Zijdebalen een Vechtsche lustwarande beschreven door een tijdgenoot J W Verburgt 1926")</f>
        <v>0</v>
      </c>
    </row>
    <row r="3710" spans="2:4">
      <c r="B3710">
        <v>62</v>
      </c>
      <c r="C3710" s="1">
        <f>hyperlink("https://hetutrechtsarchief.nl/collectie/F064885C5826569DAB00554ADFB34778","De oudste geschiedenis der joden te Utrecht Jac Zwarts 99-112 1929")</f>
        <v>0</v>
      </c>
      <c r="D3710" s="1">
        <f>hyperlink("http://dspace.library.uu.nl/handle/1874/257271","De oudste synagoge van de Vechtstreek Jac Zwarts 1927")</f>
        <v>0</v>
      </c>
    </row>
    <row r="3711" spans="2:4">
      <c r="B3711">
        <v>52</v>
      </c>
      <c r="C3711" s="1">
        <f>hyperlink("https://hetutrechtsarchief.nl/collectie/23F2E8AF31AE5002A88F4684F24E6D6C","De geschiedenis van de ridderhofstad Rijnestein G de Waard 62-69 ill portr 1994")</f>
        <v>0</v>
      </c>
      <c r="D3711" s="1">
        <f>hyperlink("http://dspace.library.uu.nl/handle/1874/257272","Anthonia van Groenenberch of de Ridderhofstad De Haer Alberta J Portengen 1924")</f>
        <v>0</v>
      </c>
    </row>
    <row r="3712" spans="2:4">
      <c r="B3712">
        <v>55</v>
      </c>
      <c r="C3712" s="1">
        <f>hyperlink("https://hetutrechtsarchief.nl/collectie/2B366557BE685812938F39AD4274CFCA","Begijnen op het Heilige Leven in Utrecht in de veertiende eeuw Martin W J de Bruijn 72-73 krt 1984")</f>
        <v>0</v>
      </c>
      <c r="D3712" s="1">
        <f>hyperlink("http://dspace.library.uu.nl/handle/1874/257273","Een origineele brief van Adriaen van Utrecht den lateren Paus Adrianus VI J W Verburgt 1924")</f>
        <v>0</v>
      </c>
    </row>
    <row r="3713" spans="2:4">
      <c r="B3713">
        <v>69</v>
      </c>
      <c r="C3713" s="1">
        <f>hyperlink("https://hetutrechtsarchief.nl/collectie/55420415F3BF5838A935D2155F24C6F1","Reizen in de Vechtstreek 63-65 1954")</f>
        <v>0</v>
      </c>
      <c r="D3713" s="1">
        <f>hyperlink("http://dspace.library.uu.nl/handle/1874/257274","Hemonijklokken in de Vechtstreek A Th Vis 1925")</f>
        <v>0</v>
      </c>
    </row>
    <row r="3714" spans="2:4">
      <c r="B3714">
        <v>53</v>
      </c>
      <c r="C3714" s="1">
        <f>hyperlink("https://hetutrechtsarchief.nl/collectie/AABBCD621D00589E811A25C23D6C24B8","Jan van Waesberge te Utrecht G A Evers 281 -287 1916")</f>
        <v>0</v>
      </c>
      <c r="D3714" s="1">
        <f>hyperlink("http://dspace.library.uu.nl/handle/1874/257275","Johanna van Abcoude J G Th Grevenstuk 1927")</f>
        <v>0</v>
      </c>
    </row>
    <row r="3715" spans="2:4">
      <c r="B3715">
        <v>64</v>
      </c>
      <c r="C3715" s="1">
        <f>hyperlink("https://hetutrechtsarchief.nl/collectie/6F0C2284603656A38B3C523FEC9D70FA","Uit de geschiedenis van de Hervormde Gemeente Eemnes-Buitendijk 2 Jan Out 153-164 2002")</f>
        <v>0</v>
      </c>
      <c r="D3715" s="1">
        <f>hyperlink("http://dspace.library.uu.nl/handle/1874/257471","Geschiedenis van de Ned Hervormde Gemeente te Zuylen van 1652-1887 W ten Boom 1928")</f>
        <v>0</v>
      </c>
    </row>
    <row r="3716" spans="2:4">
      <c r="B3716">
        <v>61</v>
      </c>
      <c r="C3716" s="1">
        <f>hyperlink("https://hetutrechtsarchief.nl/collectie/2EFEB9DC4F6557DC8EFA70EB1E24B064","Geneaologie van het geslacht van Bijlert J L van Bijlert 7-15 1922")</f>
        <v>0</v>
      </c>
      <c r="D3716" s="1">
        <f>hyperlink("http://dspace.library.uu.nl/handle/1874/257472","Genealogische lijst voorzover bekend van het geslacht van Abcoude A F van Goelst Meijer 1930")</f>
        <v>0</v>
      </c>
    </row>
    <row r="3717" spans="2:4">
      <c r="B3717">
        <v>61</v>
      </c>
      <c r="C3717" s="1">
        <f>hyperlink("https://hetutrechtsarchief.nl/collectie/5572310D1CF9554AAB17B3E62B958CB0","Naamsafleiding van Utrecht J van Vloten 209-214 1867")</f>
        <v>0</v>
      </c>
      <c r="D3717" s="1">
        <f>hyperlink("http://dspace.library.uu.nl/handle/1874/257473","De naamsafleiding van Abcoude A F van Goelst Meijer 1932")</f>
        <v>0</v>
      </c>
    </row>
    <row r="3718" spans="2:4">
      <c r="B3718">
        <v>64</v>
      </c>
      <c r="C3718" s="1">
        <f>hyperlink("https://hetutrechtsarchief.nl/collectie/6641560B81AAF2EEE0534701000AE39F","Verdwenen buitenplaatsen langs de Vecht de Angstel en het Gein E Munnig Schmidt 22-43 2017")</f>
        <v>0</v>
      </c>
      <c r="D3718" s="1">
        <f>hyperlink("http://dspace.library.uu.nl/handle/1874/257474","De buitenplaatsen langs den Angstel J G Th Grevenstuk 1930")</f>
        <v>0</v>
      </c>
    </row>
    <row r="3719" spans="2:4">
      <c r="B3719">
        <v>51</v>
      </c>
      <c r="C3719" s="1">
        <f>hyperlink("https://hetutrechtsarchief.nl/collectie/7C567633F213B8B5E0534701000A5E79","Breken om te bouwen kerken of bolwerken tijdens de Opstand Bram van den Hoven van Genderen 66-119")</f>
        <v>0</v>
      </c>
      <c r="D3719" s="1">
        <f>hyperlink("http://dspace.library.uu.nl/handle/1874/257477","Breukelen ontvangt bezoek uit Brookyn N -Y 5 Augustus 1929 M P Th van der Hoop van Slochteren 1929")</f>
        <v>0</v>
      </c>
    </row>
    <row r="3720" spans="2:4">
      <c r="B3720">
        <v>57</v>
      </c>
      <c r="C3720" s="1">
        <f>hyperlink("https://hetutrechtsarchief.nl/collectie/55420415F3BF5838A935D2155F24C6F1","Reizen in de Vechtstreek 63-65 1954")</f>
        <v>0</v>
      </c>
      <c r="D3720" s="1">
        <f>hyperlink("http://dspace.library.uu.nl/handle/1874/257478","De Franschen in de Vechtstreek 1672-1673 J G Th Grevenstuk 1928")</f>
        <v>0</v>
      </c>
    </row>
    <row r="3721" spans="2:4">
      <c r="B3721">
        <v>51</v>
      </c>
      <c r="C3721" s="1">
        <f>hyperlink("https://hetutrechtsarchief.nl/collectie/53D978A946FD531592D721BA44CE38A8","Petrus Werden L J v d Heyden 86-87 1936")</f>
        <v>0</v>
      </c>
      <c r="D3721" s="1">
        <f>hyperlink("http://dspace.library.uu.nl/handle/1874/257479","Wat verdween J G Th Grevenstuk 1932")</f>
        <v>0</v>
      </c>
    </row>
    <row r="3722" spans="2:4">
      <c r="B3722">
        <v>63</v>
      </c>
      <c r="C3722" s="1">
        <f>hyperlink("https://hetutrechtsarchief.nl/collectie/F35580A2F8755C358B530599E14EFFED","Het Slot Abcoude V-VI 2001")</f>
        <v>0</v>
      </c>
      <c r="D3722" s="1">
        <f>hyperlink("http://dspace.library.uu.nl/handle/1874/257480","Het voormalige Slot te Abcoude Joan Vis 1930")</f>
        <v>0</v>
      </c>
    </row>
    <row r="3723" spans="2:4">
      <c r="B3723">
        <v>57</v>
      </c>
      <c r="C3723" s="1">
        <f>hyperlink("https://hetutrechtsarchief.nl/collectie/B779DA19272F5B0AA2FE2C10804B5DF2","Petersburg en Ouderhoek verdwenen Keizerlijke Buitens 25-32 2017")</f>
        <v>0</v>
      </c>
      <c r="D3723" s="1">
        <f>hyperlink("http://dspace.library.uu.nl/handle/1874/257481","Paulus brengen een verdwenen volksgebruik A E Rientjes 1932")</f>
        <v>0</v>
      </c>
    </row>
    <row r="3724" spans="2:4">
      <c r="B3724">
        <v>58</v>
      </c>
      <c r="C3724" s="1">
        <f>hyperlink("https://hetutrechtsarchief.nl/collectie/89D8715BD4885D56842B89C3CF215B5E","De historie van de JOVD afdeling Utrecht G H Derriks 17 - 22 1981")</f>
        <v>0</v>
      </c>
      <c r="D3724" s="1">
        <f>hyperlink("http://dspace.library.uu.nl/handle/1874/257482","Uit de historie van Loosdrecht J Schipper 1929")</f>
        <v>0</v>
      </c>
    </row>
    <row r="3725" spans="2:4">
      <c r="B3725">
        <v>55</v>
      </c>
      <c r="C3725" s="1">
        <f>hyperlink("https://hetutrechtsarchief.nl/collectie/004CC13DF6B65A97B6301F4421A8BDDC","De graftombe van bisschop Frederik van Baden A J van de Ven 49-50 1966")</f>
        <v>0</v>
      </c>
      <c r="D3725" s="1">
        <f>hyperlink("http://dspace.library.uu.nl/handle/1874/257483","De ordonnantie van bisschop Frederik van Blankenheim inzake de grensscheiding tusschen Loosdrecht en Breukelerveen J Schipper 1929")</f>
        <v>0</v>
      </c>
    </row>
    <row r="3726" spans="2:4">
      <c r="B3726">
        <v>57</v>
      </c>
      <c r="C3726" s="1">
        <f>hyperlink("https://hetutrechtsarchief.nl/collectie/315E1851DDF95BBEA43A005C9446172B","Belegering van Gorinchem in 1402 door de Utrechtenaren L E Bosch 143-147 1848")</f>
        <v>0</v>
      </c>
      <c r="D3726" s="1">
        <f>hyperlink("http://dspace.library.uu.nl/handle/1874/257484","De belegering van het slot Kronenburg in 1672 door de Franschen waarna zij een inval doen in de Loosdrechten J Schipper 1928")</f>
        <v>0</v>
      </c>
    </row>
    <row r="3727" spans="2:4">
      <c r="B3727">
        <v>55</v>
      </c>
      <c r="C3727" s="1">
        <f>hyperlink("https://hetutrechtsarchief.nl/collectie/993142F0541D5168B8F5859BB6BBBCE5","Johan Wolfert van Brederode en Jacob van Campen P F Vlaardingerbroek 115-124")</f>
        <v>0</v>
      </c>
      <c r="D3727" s="1">
        <f>hyperlink("http://dspace.library.uu.nl/handle/1874/257485","Jan van Brederode en Johanna van Abcoude H J J Scholtens 1928")</f>
        <v>0</v>
      </c>
    </row>
    <row r="3728" spans="2:4">
      <c r="B3728">
        <v>55</v>
      </c>
      <c r="C3728" s="1">
        <f>hyperlink("https://hetutrechtsarchief.nl/collectie/6F5A3545387B5D66A308F59B52EC8405","De sterfdag van Thomas Basin 500 jaar geleden Kaj van Vliet 1990")</f>
        <v>0</v>
      </c>
      <c r="D3728" s="1">
        <f>hyperlink("http://dspace.library.uu.nl/handle/1874/257486","Ter hofvaart naar Leiden J W Verburgt 1930")</f>
        <v>0</v>
      </c>
    </row>
    <row r="3729" spans="2:4">
      <c r="B3729">
        <v>60</v>
      </c>
      <c r="C3729" s="1">
        <f>hyperlink("https://hetutrechtsarchief.nl/collectie/145030419142598FA528A7545A65D546","Krijg de klere cholera in Abcoude en Baambrugge in de 19e eeuw Wim Timmer 491-499 2011")</f>
        <v>0</v>
      </c>
      <c r="D3729" s="1">
        <f>hyperlink("http://dspace.library.uu.nl/handle/1874/257487","De paardenwedrennen in Abcoude en Baambrugge omstreeks t midden der 18e eeuw Joan Vis 1932")</f>
        <v>0</v>
      </c>
    </row>
    <row r="3730" spans="2:4">
      <c r="B3730">
        <v>60</v>
      </c>
      <c r="C3730" s="1">
        <f>hyperlink("https://hetutrechtsarchief.nl/collectie/DABCA28B1BB56C2EE0538F04000ACF17","De geschiedenis van de brandweerkazerne in Abcoude Anton Schrikenberg 7-10 2022")</f>
        <v>0</v>
      </c>
      <c r="D3730" s="1">
        <f>hyperlink("http://dspace.library.uu.nl/handle/1874/257488","Geschiedenis van het Nachtwachtwezen in Abcoude en Baambrugge Joan Vis 1928")</f>
        <v>0</v>
      </c>
    </row>
    <row r="3731" spans="2:4">
      <c r="B3731">
        <v>53</v>
      </c>
      <c r="C3731" s="1">
        <f>hyperlink("https://hetutrechtsarchief.nl/collectie/EAAA73F07FB15569B66D445BF8895E5F","Verslag van de brand in het Centraal Station te Utrecht 1938 E Priester 27 - 36 1983")</f>
        <v>0</v>
      </c>
      <c r="D3731" s="1">
        <f>hyperlink("http://dspace.library.uu.nl/handle/1874/257489","Verslag van de excursie Woensdag 27 juni 1928 Joan Vis 1928")</f>
        <v>0</v>
      </c>
    </row>
    <row r="3732" spans="2:4">
      <c r="B3732">
        <v>52</v>
      </c>
      <c r="C3732" s="1">
        <f>hyperlink("https://hetutrechtsarchief.nl/collectie/ECE0DB580F1E55F2951AECB76E1AF067","De bruine beuk in het Tinus de Witplantsoen te Breukelen Henk J van Es 99-102 2007")</f>
        <v>0</v>
      </c>
      <c r="D3732" s="1">
        <f>hyperlink("http://dspace.library.uu.nl/handle/1874/257490","De excursie op 27 Juli 1932 bezoek aan Queekhoven en Nyenrode te Breukelen Joan Vis 1932")</f>
        <v>0</v>
      </c>
    </row>
    <row r="3733" spans="2:4">
      <c r="B3733">
        <v>60</v>
      </c>
      <c r="C3733" s="1">
        <f>hyperlink("https://hetutrechtsarchief.nl/collectie/78DE88E512E15E24B2CA0F7EAA7BEBDC","Uit het verleden van Soest J van Galen 90-92 1958")</f>
        <v>0</v>
      </c>
      <c r="D3733" s="1">
        <f>hyperlink("http://dspace.library.uu.nl/handle/1874/257491","Romantisch verleden van Over-Holland M C van Zeggelen 1929")</f>
        <v>0</v>
      </c>
    </row>
    <row r="3734" spans="2:4">
      <c r="B3734">
        <v>58</v>
      </c>
      <c r="C3734" s="1">
        <f>hyperlink("https://hetutrechtsarchief.nl/collectie/23171E285A5353839CB185552DF51053","Onderwijs in Maarssen eind 18e en begin 19e eeuw Arie de Zwart 123-131 2003")</f>
        <v>0</v>
      </c>
      <c r="D3734" s="1">
        <f>hyperlink("http://dspace.library.uu.nl/handle/1874/257492","De Joodsche Sabbathgrens van Maarssen en Maarsseveen in de 18de eeuw Jac Zwarts 1931")</f>
        <v>0</v>
      </c>
    </row>
    <row r="3735" spans="2:4">
      <c r="B3735">
        <v>56</v>
      </c>
      <c r="C3735" s="1">
        <f>hyperlink("https://hetutrechtsarchief.nl/collectie/FC0E7CC384BB5CCB8E60345633262F9F","Het quasi-transport inzake de eerste officieele synagoge van Utrecht Jac Zwarts 65-70 1933")</f>
        <v>0</v>
      </c>
      <c r="D3735" s="1">
        <f>hyperlink("http://dspace.library.uu.nl/handle/1874/257493","De officieele organisatie der Portugeesche Synagoge van Maarssen in 1764 Jac Zwarts 1929")</f>
        <v>0</v>
      </c>
    </row>
    <row r="3736" spans="2:4">
      <c r="B3736">
        <v>68</v>
      </c>
      <c r="C3736" s="1">
        <f>hyperlink("https://hetutrechtsarchief.nl/collectie/6FAEF3ED405951E6802C96A1C545BD9E","De restauratie van de Domkerk Daan Jansen 73-88 ill 1939")</f>
        <v>0</v>
      </c>
      <c r="D3736" s="1">
        <f>hyperlink("http://dspace.library.uu.nl/handle/1874/257494","De restauratie van de Herv Kerk te Abcoude Joan Vis 1931")</f>
        <v>0</v>
      </c>
    </row>
    <row r="3737" spans="2:4">
      <c r="B3737">
        <v>63</v>
      </c>
      <c r="C3737" s="1">
        <f>hyperlink("https://hetutrechtsarchief.nl/collectie/32244E09CA475E8C8B32190A59C0FBFA","Geert Groote en de Domtoren van Utrecht A E Rientjes 51-59 1932")</f>
        <v>0</v>
      </c>
      <c r="D3737" s="1">
        <f>hyperlink("http://dspace.library.uu.nl/handle/1874/257496","De doopvont te N Loosdrecht A E Rientjes 1932")</f>
        <v>0</v>
      </c>
    </row>
    <row r="3738" spans="2:4">
      <c r="B3738">
        <v>54</v>
      </c>
      <c r="C3738" s="1">
        <f>hyperlink("https://hetutrechtsarchief.nl/collectie/F74DF1EA1B2758FD9257840866D4E3CA","De eigennamen van de huizen in de Lijnmarkt 20-23 1930")</f>
        <v>0</v>
      </c>
      <c r="D3738" s="1">
        <f>hyperlink("http://dspace.library.uu.nl/handle/1874/257497","Het Vechtgemaal te Muiden J D Bastert 1930")</f>
        <v>0</v>
      </c>
    </row>
    <row r="3739" spans="2:4">
      <c r="B3739">
        <v>64</v>
      </c>
      <c r="C3739" s="1">
        <f>hyperlink("https://hetutrechtsarchief.nl/collectie/A62D0E4FE5BA5473929E9A64BDC9333E","De St Catharijne-kerk en hare geschiedenis - A E R 18-19 1930")</f>
        <v>0</v>
      </c>
      <c r="D3739" s="1">
        <f>hyperlink("http://dspace.library.uu.nl/handle/1874/257498","De Vecht en hare geschiedenis J D Bastert J N Bastert 1932")</f>
        <v>0</v>
      </c>
    </row>
    <row r="3740" spans="2:4">
      <c r="B3740">
        <v>71</v>
      </c>
      <c r="C3740" s="1">
        <f>hyperlink("https://hetutrechtsarchief.nl/collectie/9417A84D2B255DC8846D2896E254F221","De voorgeschiedenis van Vredenburg - K 32 1952")</f>
        <v>0</v>
      </c>
      <c r="D3740" s="1">
        <f>hyperlink("http://dspace.library.uu.nl/handle/1874/257499","De geschiedenis van den Zeeburgerdijk A van Beek 1932")</f>
        <v>0</v>
      </c>
    </row>
    <row r="3741" spans="2:4">
      <c r="B3741">
        <v>53</v>
      </c>
      <c r="C3741" s="1">
        <f>hyperlink("https://hetutrechtsarchief.nl/collectie/DACEDDE2CA2AF4A9E0538F04000AC8E3","Historie van de Eemnesser Sluis Jos Bakker 54-61 2022")</f>
        <v>0</v>
      </c>
      <c r="D3741" s="1">
        <f>hyperlink("http://dspace.library.uu.nl/handle/1874/257681","Schutsluis en Schans te Nieuwersluis J D Bastert 1935")</f>
        <v>0</v>
      </c>
    </row>
    <row r="3742" spans="2:4">
      <c r="B3742">
        <v>57</v>
      </c>
      <c r="C3742" s="1">
        <f>hyperlink("https://hetutrechtsarchief.nl/collectie/CD33E9F336C6557D9EFAC17510F4ABE0","Een Utrechtsch ijslandvaarder in de 11de eeuw - G t D 1-2 1935")</f>
        <v>0</v>
      </c>
      <c r="D3742" s="1">
        <f>hyperlink("http://dspace.library.uu.nl/handle/1874/257682","Rechtspraak te Abcoude in de 16e eeuw J G Th Grevenstuk 1933")</f>
        <v>0</v>
      </c>
    </row>
    <row r="3743" spans="2:4">
      <c r="B3743">
        <v>57</v>
      </c>
      <c r="C3743" s="1">
        <f>hyperlink("https://hetutrechtsarchief.nl/collectie/2E7178B931CD5669BF4409344934F747","De Breedstraat te Maarssen vroeger en nu A E Rientjes 4-13 ill 1951")</f>
        <v>0</v>
      </c>
      <c r="D3743" s="1">
        <f>hyperlink("http://dspace.library.uu.nl/handle/1874/257683","Endelhoven en Beresteyn te Maarsen 1835-1885-1935 A E Rientjes 1936")</f>
        <v>0</v>
      </c>
    </row>
    <row r="3744" spans="2:4">
      <c r="B3744">
        <v>61</v>
      </c>
      <c r="C3744" s="1">
        <f>hyperlink("https://hetutrechtsarchief.nl/collectie/8CA8BA7388AD5CBEB5C71D4F21D86790","De tinsheerlijkheid Natewisch onder Amerongen W van Iterson 105-116 ill 1962")</f>
        <v>0</v>
      </c>
      <c r="D3744" s="1">
        <f>hyperlink("http://dspace.library.uu.nl/handle/1874/257684","De heerlijkheid Abcoude-Baambrugge R van Roijen 1934")</f>
        <v>0</v>
      </c>
    </row>
    <row r="3745" spans="2:4">
      <c r="B3745">
        <v>55</v>
      </c>
      <c r="C3745" s="1">
        <f>hyperlink("https://hetutrechtsarchief.nl/collectie/CE3164E3E76A51DC8ADCDC32EEDA8252","De laatste toren van Utrecht Laurens Schoemaker 6-13 2005")</f>
        <v>0</v>
      </c>
      <c r="D3745" s="1">
        <f>hyperlink("http://dspace.library.uu.nl/handle/1874/257685","Oude waterstaat te Baambrugge J Schoenmaker 1936")</f>
        <v>0</v>
      </c>
    </row>
    <row r="3746" spans="2:4">
      <c r="B3746">
        <v>58</v>
      </c>
      <c r="C3746" s="1">
        <f>hyperlink("https://hetutrechtsarchief.nl/collectie/9D85C4D1E13056E7BB81A3FE95C6E45F","Ordre en Reglement op de Vracht Loonen der Schippers varende van Maarssen op Amsterdam 70-72 2009")</f>
        <v>0</v>
      </c>
      <c r="D3746" s="1">
        <f>hyperlink("http://dspace.library.uu.nl/handle/1874/257687","Vervoer in vroeger tijd vragtschuit en toerwagen het veer van Maarssen op Utrecht en Amsterdam H J Stevenhagen 1936")</f>
        <v>0</v>
      </c>
    </row>
    <row r="3747" spans="2:4">
      <c r="B3747">
        <v>56</v>
      </c>
      <c r="C3747" s="1">
        <f>hyperlink("https://hetutrechtsarchief.nl/collectie/B2A82DB177A55E9880EB1C224BB82F37","Excursie naar Zuylen en Goudesteyn - W A F B 42-44 1928")</f>
        <v>0</v>
      </c>
      <c r="D3747" s="1">
        <f>hyperlink("http://dspace.library.uu.nl/handle/1874/257688","De excursie naar Zuylestein en Amerongen op Dinsdag 30 Juli 1935 Joan Vis 1935")</f>
        <v>0</v>
      </c>
    </row>
    <row r="3748" spans="2:4">
      <c r="B3748">
        <v>60</v>
      </c>
      <c r="C3748" s="1">
        <f>hyperlink("https://hetutrechtsarchief.nl/collectie/20DF7AD08C7E558089F2F3B0E71E3A83","Het Huis De Krakeling C W Wagenaar 293 -296 1894")</f>
        <v>0</v>
      </c>
      <c r="D3748" s="1">
        <f>hyperlink("http://dspace.library.uu.nl/handle/1874/257689","Het Huis Harmelen C de Waaijer 1936")</f>
        <v>0</v>
      </c>
    </row>
    <row r="3749" spans="2:4">
      <c r="B3749">
        <v>56</v>
      </c>
      <c r="C3749" s="1">
        <f>hyperlink("https://hetutrechtsarchief.nl/collectie/FC0E7CC384BB5CCB8E60345633262F9F","Het quasi-transport inzake de eerste officieele synagoge van Utrecht Jac Zwarts 65-70 1933")</f>
        <v>0</v>
      </c>
      <c r="D3749" s="1">
        <f>hyperlink("http://dspace.library.uu.nl/handle/1874/257690","De Portugeesche synagoge van Maarssen 1720-1839 Jac Zwarts 1933")</f>
        <v>0</v>
      </c>
    </row>
    <row r="3750" spans="2:4">
      <c r="B3750">
        <v>51</v>
      </c>
      <c r="C3750" s="1">
        <f>hyperlink("https://hetutrechtsarchief.nl/collectie/E2BFFDCC91555973894D0676855E4651","Het gebied rond Woerdense Verlaat en de Oudendam in de middeleeuwen W J Eijs 84-89 1998")</f>
        <v>0</v>
      </c>
      <c r="D3750" s="1">
        <f>hyperlink("http://dspace.library.uu.nl/handle/1874/257691","Het orgelfront in de R K kerk van Abcoude een fraai stuk middeleeuwsch houtsnijwerk Joan Vis 1936")</f>
        <v>0</v>
      </c>
    </row>
    <row r="3751" spans="2:4">
      <c r="B3751">
        <v>56</v>
      </c>
      <c r="C3751" s="1">
        <f>hyperlink("https://hetutrechtsarchief.nl/collectie/758290A916A559C086D8C0C36A7AC494","Een muntvondst te De Meern C A Kalee 25 1968")</f>
        <v>0</v>
      </c>
      <c r="D3751" s="1">
        <f>hyperlink("http://dspace.library.uu.nl/handle/1874/257692","Muntvondst te Breukelen-St Pieters A E Rientjes 1933")</f>
        <v>0</v>
      </c>
    </row>
    <row r="3752" spans="2:4">
      <c r="B3752">
        <v>53</v>
      </c>
      <c r="C3752" s="1">
        <f>hyperlink("https://hetutrechtsarchief.nl/collectie/77B35DE442417EB0E0534701000A39B1","Odenvelt 50 jaar Arthur van der Leij 37-39 2018")</f>
        <v>0</v>
      </c>
      <c r="D3752" s="1">
        <f>hyperlink("http://dspace.library.uu.nl/handle/1874/257693","Zuylen J Th van der Laan 1933")</f>
        <v>0</v>
      </c>
    </row>
    <row r="3753" spans="2:4">
      <c r="B3753">
        <v>60</v>
      </c>
      <c r="C3753" s="1">
        <f>hyperlink("https://hetutrechtsarchief.nl/collectie/7D40B55B44775054B7EAC1F680364A18","De buitenplaats Groenestein P H Damst 10-11 ill 1968")</f>
        <v>0</v>
      </c>
      <c r="D3753" s="1">
        <f>hyperlink("http://dspace.library.uu.nl/handle/1874/257694","De buitenplaats Cromwijck J D Bastert 1934")</f>
        <v>0</v>
      </c>
    </row>
    <row r="3754" spans="2:4">
      <c r="B3754">
        <v>59</v>
      </c>
      <c r="C3754" s="1">
        <f>hyperlink("https://hetutrechtsarchief.nl/collectie/CBC91DA8F9D256F38D494748E8C438CC","Het Zeister spoor I Jan van den Heuvel 22-32 2001")</f>
        <v>0</v>
      </c>
      <c r="D3754" s="1">
        <f>hyperlink("http://dspace.library.uu.nl/handle/1874/257695","Het Huis ter Haar J K Lampsins van den Velden 1934")</f>
        <v>0</v>
      </c>
    </row>
    <row r="3755" spans="2:4">
      <c r="B3755">
        <v>64</v>
      </c>
      <c r="C3755" s="1">
        <f>hyperlink("https://hetutrechtsarchief.nl/collectie/2A103655810D587BBFF0A16706C6FEAF","De roode deur aan den Dom van Utrecht A E Rientjes 31-39 1934")</f>
        <v>0</v>
      </c>
      <c r="D3755" s="1">
        <f>hyperlink("http://dspace.library.uu.nl/handle/1874/257696","Over de herkomst donateurs en gieter van de klok van Oud-Loosdrecht A E Rientjes 1934")</f>
        <v>0</v>
      </c>
    </row>
    <row r="3756" spans="2:4">
      <c r="B3756">
        <v>53</v>
      </c>
      <c r="C3756" s="1">
        <f>hyperlink("https://hetutrechtsarchief.nl/collectie/8B269DE91E5A5994B74A8B6194AD6939","Over oude en bijzondere kozijnen en vensterruiten in Maarssen Jaap Kottman 129-133 2015")</f>
        <v>0</v>
      </c>
      <c r="D3756" s="1">
        <f>hyperlink("http://dspace.library.uu.nl/handle/1874/257697","Drie machthebbenden overpeinzingen op en over het Huys ter Meer te Maarssen W B Westermann 1935")</f>
        <v>0</v>
      </c>
    </row>
    <row r="3757" spans="2:4">
      <c r="B3757">
        <v>57</v>
      </c>
      <c r="C3757" s="1">
        <f>hyperlink("https://hetutrechtsarchief.nl/collectie/32244E09CA475E8C8B32190A59C0FBFA","Geert Groote en de Domtoren van Utrecht A E Rientjes 51-59 1932")</f>
        <v>0</v>
      </c>
      <c r="D3757" s="1">
        <f>hyperlink("http://dspace.library.uu.nl/handle/1874/257698","Twee bewerkte balksleutels in de kerk van Blauwkapel A E Rientjes 1935")</f>
        <v>0</v>
      </c>
    </row>
    <row r="3758" spans="2:4">
      <c r="B3758">
        <v>55</v>
      </c>
      <c r="C3758" s="1">
        <f>hyperlink("https://hetutrechtsarchief.nl/collectie/1BD4038060B4556D80A00A074D7EFE02","Rotonde Nederlands Gereformeerde Kerk 7 ill 1995")</f>
        <v>0</v>
      </c>
      <c r="D3758" s="1">
        <f>hyperlink("http://dspace.library.uu.nl/handle/1874/257699","Het kerkgebouw der Gereformeerde Kerk Baambrugge H M Matter 1935")</f>
        <v>0</v>
      </c>
    </row>
    <row r="3759" spans="2:4">
      <c r="B3759">
        <v>54</v>
      </c>
      <c r="C3759" s="1">
        <f>hyperlink("https://hetutrechtsarchief.nl/collectie/55420415F3BF5838A935D2155F24C6F1","Reizen in de Vechtstreek 63-65 1954")</f>
        <v>0</v>
      </c>
      <c r="D3759" s="1">
        <f>hyperlink("http://dspace.library.uu.nl/handle/1874/257700","Excursie langs de Vecht G Adriaans 1935")</f>
        <v>0</v>
      </c>
    </row>
    <row r="3760" spans="2:4">
      <c r="B3760">
        <v>59</v>
      </c>
      <c r="C3760" s="1">
        <f>hyperlink("https://hetutrechtsarchief.nl/collectie/5F0C767DE802572CBDDFAC6538005229","Een eeuw geleden de redding van de Vecht M N G Dukes 6-10 krt 1975")</f>
        <v>0</v>
      </c>
      <c r="D3760" s="1">
        <f>hyperlink("http://dspace.library.uu.nl/handle/1874/257701","Tegen de vervuiling van de Vecht in vroegeren tijd J D Bastert 1933")</f>
        <v>0</v>
      </c>
    </row>
    <row r="3761" spans="2:4">
      <c r="B3761">
        <v>59</v>
      </c>
      <c r="C3761" s="1">
        <f>hyperlink("https://hetutrechtsarchief.nl/collectie/393A8D41B9BD52408518A1CF69E1764E","De molens in Utrecht J D M Bardet 81-83 1954")</f>
        <v>0</v>
      </c>
      <c r="D3761" s="1">
        <f>hyperlink("http://dspace.library.uu.nl/handle/1874/257702","Ridder-hofsteden aan de Vecht J D Bastert 1935-1936")</f>
        <v>0</v>
      </c>
    </row>
    <row r="3762" spans="2:4">
      <c r="B3762">
        <v>57</v>
      </c>
      <c r="C3762" s="1">
        <f>hyperlink("https://hetutrechtsarchief.nl/collectie/2A103655810D587BBFF0A16706C6FEAF","De roode deur aan den Dom van Utrecht A E Rientjes 31-39 1934")</f>
        <v>0</v>
      </c>
      <c r="D3762" s="1">
        <f>hyperlink("http://dspace.library.uu.nl/handle/1874/257865","De wording van De Schoone Vechtstreek Niftarlake A E Rientjes 1937")</f>
        <v>0</v>
      </c>
    </row>
    <row r="3763" spans="2:4">
      <c r="B3763">
        <v>64</v>
      </c>
      <c r="C3763" s="1">
        <f>hyperlink("https://hetutrechtsarchief.nl/collectie/D9D1B4AD3835584E8ACAF5678C03EBC7","Schets van een geschiedenis van Trecht J van Galen 29-59 ill 1958")</f>
        <v>0</v>
      </c>
      <c r="D3763" s="1">
        <f>hyperlink("http://dspace.library.uu.nl/handle/1874/257866","Schets van de geschiedenis van Loenersloot P H A Martini Buys 1937")</f>
        <v>0</v>
      </c>
    </row>
    <row r="3764" spans="2:4">
      <c r="B3764">
        <v>63</v>
      </c>
      <c r="C3764" s="1">
        <f>hyperlink("https://hetutrechtsarchief.nl/collectie/2A103655810D587BBFF0A16706C6FEAF","De roode deur aan den Dom van Utrecht A E Rientjes 31-39 1934")</f>
        <v>0</v>
      </c>
      <c r="D3764" s="1">
        <f>hyperlink("http://dspace.library.uu.nl/handle/1874/257867","Nogmaals de klok van Oud-Loosdrecht A E Rientjes 1937")</f>
        <v>0</v>
      </c>
    </row>
    <row r="3765" spans="2:4">
      <c r="B3765">
        <v>57</v>
      </c>
      <c r="C3765" s="1">
        <f>hyperlink("https://hetutrechtsarchief.nl/collectie/E195EFFC581C579C86EC2F2DA336F79F","De theekoepel aan de Vaartse Rijn 6-7 ill 1989")</f>
        <v>0</v>
      </c>
      <c r="D3765" s="1">
        <f>hyperlink("http://dspace.library.uu.nl/handle/1874/257868","De theekoepel van Over-Holland M C van Zeggelen 1937")</f>
        <v>0</v>
      </c>
    </row>
    <row r="3766" spans="2:4">
      <c r="B3766">
        <v>55</v>
      </c>
      <c r="C3766" s="1">
        <f>hyperlink("https://hetutrechtsarchief.nl/collectie/EF3942FE0A57586BA8CCF4CADD4B3195","Een joodsch gebed voor de Utrechtsche overheid Jac Zwarts 3-6 1934")</f>
        <v>0</v>
      </c>
      <c r="D3766" s="1">
        <f>hyperlink("http://dspace.library.uu.nl/handle/1874/257869","Het Jodenkerkhof onder Tienhoven J Zwarts 1937")</f>
        <v>0</v>
      </c>
    </row>
    <row r="3767" spans="2:4">
      <c r="B3767">
        <v>60</v>
      </c>
      <c r="C3767" s="1">
        <f>hyperlink("https://hetutrechtsarchief.nl/collectie/9EC56FF446A757C2BBD07D93D3448465","Het archief van het kasteel De Haar te Haarzuilens A J van de Ven 4-5 1960")</f>
        <v>0</v>
      </c>
      <c r="D3767" s="1">
        <f>hyperlink("http://dspace.library.uu.nl/handle/1874/257870","Parochie van den H Johannes den Dooper te Breukelen L J van der Heijden 1937")</f>
        <v>0</v>
      </c>
    </row>
    <row r="3768" spans="2:4">
      <c r="B3768">
        <v>63</v>
      </c>
      <c r="C3768" s="1">
        <f>hyperlink("https://hetutrechtsarchief.nl/collectie/55420415F3BF5838A935D2155F24C6F1","Reizen in de Vechtstreek 63-65 1954")</f>
        <v>0</v>
      </c>
      <c r="D3768" s="1">
        <f>hyperlink("http://dspace.library.uu.nl/handle/1874/257872","Oude opschriften in de Vechtstreek J D Bastert 1937")</f>
        <v>0</v>
      </c>
    </row>
    <row r="3769" spans="2:4">
      <c r="B3769">
        <v>54</v>
      </c>
      <c r="C3769" s="1">
        <f>hyperlink("https://hetutrechtsarchief.nl/collectie/3B40C26AA9975DC4AA6CC84BFE7EEAC7","Jean Rousset de Missy in Maarssen een inwoner van betekenis Arie de Zwart 93-99 2000")</f>
        <v>0</v>
      </c>
      <c r="D3769" s="1">
        <f>hyperlink("http://dspace.library.uu.nl/handle/1874/258031","Het Huis Ter Meer te Maarssen een winterlandschap van Abraham Beerstraten A E Rientjes 1938")</f>
        <v>0</v>
      </c>
    </row>
    <row r="3770" spans="2:4">
      <c r="B3770">
        <v>57</v>
      </c>
      <c r="C3770" s="1">
        <f>hyperlink("https://hetutrechtsarchief.nl/collectie/20DF7AD08C7E558089F2F3B0E71E3A83","Het Huis De Krakeling C W Wagenaar 293 -296 1894")</f>
        <v>0</v>
      </c>
      <c r="D3770" s="1">
        <f>hyperlink("http://dspace.library.uu.nl/handle/1874/258032","Het Huis Oudaan te Breukelen J W Verburgt 1938")</f>
        <v>0</v>
      </c>
    </row>
    <row r="3771" spans="2:4">
      <c r="B3771">
        <v>51</v>
      </c>
      <c r="C3771" s="1">
        <f>hyperlink("https://hetutrechtsarchief.nl/collectie/726619C3204D539EB2025F73CD3E083F","Studenten Vereniging tot ondersteuning van behoeftige Kraamvrouwen te Utrecht W I van Beusekom 1948")</f>
        <v>0</v>
      </c>
      <c r="D3771" s="1">
        <f>hyperlink("http://dspace.library.uu.nl/handle/1874/258175","De inname van het Fort Nieuwersluis 19-21 September 1787 E van Beusekom 1940")</f>
        <v>0</v>
      </c>
    </row>
    <row r="3772" spans="2:4">
      <c r="B3772">
        <v>64</v>
      </c>
      <c r="C3772" s="1">
        <f>hyperlink("https://hetutrechtsarchief.nl/collectie/0AFB34EBC6D85608964275CC4B0F2625","Iets over de Vechtstreek R van Luttervelt 16-19 1950")</f>
        <v>0</v>
      </c>
      <c r="D3772" s="1">
        <f>hyperlink("http://dspace.library.uu.nl/handle/1874/258176","De bodem der Vechtstreek A F van Goelst Meijer 1940")</f>
        <v>0</v>
      </c>
    </row>
    <row r="3773" spans="2:4">
      <c r="B3773">
        <v>59</v>
      </c>
      <c r="C3773" s="1">
        <f>hyperlink("https://hetutrechtsarchief.nl/collectie/0AFB34EBC6D85608964275CC4B0F2625","Iets over de Vechtstreek R van Luttervelt 16-19 1950")</f>
        <v>0</v>
      </c>
      <c r="D3773" s="1">
        <f>hyperlink("http://dspace.library.uu.nl/handle/1874/258177","Een oude kaart van de Vechtstreek A F van Goelst Meijer 1942")</f>
        <v>0</v>
      </c>
    </row>
    <row r="3774" spans="2:4">
      <c r="B3774">
        <v>54</v>
      </c>
      <c r="C3774" s="1">
        <f>hyperlink("https://hetutrechtsarchief.nl/collectie/B6602C7BCC835E6FA7E98A72573891C0","De tornado die Utrecht en ommelanden trof op 1 augustus 1674 J Schutte 40-41 2004")</f>
        <v>0</v>
      </c>
      <c r="D3774" s="1">
        <f>hyperlink("http://dspace.library.uu.nl/handle/1874/258178","Onze excursie naar Utrecht en Neerlangbroek op Donderdag 18 Augustus 1938 Joan Vis 1938")</f>
        <v>0</v>
      </c>
    </row>
    <row r="3775" spans="2:4">
      <c r="B3775">
        <v>60</v>
      </c>
      <c r="C3775" s="1">
        <f>hyperlink("https://hetutrechtsarchief.nl/collectie/C50743B666008405E0538F04000AEFBB","De Broederschap van Onze Lieve Vrouw te Vleuten Door Arthur van der Leij 41-43 2021")</f>
        <v>0</v>
      </c>
      <c r="D3775" s="1">
        <f>hyperlink("http://dspace.library.uu.nl/handle/1874/258179","Parochie van den H Willibrordus te Vleuten L J van der Heijden 1941")</f>
        <v>0</v>
      </c>
    </row>
    <row r="3776" spans="2:4">
      <c r="B3776">
        <v>56</v>
      </c>
      <c r="C3776" s="1">
        <f>hyperlink("https://hetutrechtsarchief.nl/collectie/8F66AF4C3F31575AA805D5D537AC9DC9","Dr E van Engelen J H Hofman 291-302 1902")</f>
        <v>0</v>
      </c>
      <c r="D3776" s="1">
        <f>hyperlink("http://dspace.library.uu.nl/handle/1874/258180","Onder Fransche geweldenarij Th J Houtman 1940")</f>
        <v>0</v>
      </c>
    </row>
    <row r="3777" spans="2:4">
      <c r="B3777">
        <v>51</v>
      </c>
      <c r="C3777" s="1">
        <f>hyperlink("https://hetutrechtsarchief.nl/collectie/7F23F8EFCC1F5CC49352B7DE823875C3","De Utrechtsche Hoogeschool in den Franschen tijd rede uitgesproken den 4en December 1913 ter gelegenheid van de feestelijke herdenking van den dag waarop honderd jaren geleden de Utrechtsche Hoogeschool werd hersteld in al haar oude rechten door Dr G W Kernkamp 31-86 1913")</f>
        <v>0</v>
      </c>
      <c r="D3777" s="1">
        <f>hyperlink("http://dspace.library.uu.nl/handle/1874/258181","De Vechtplassen ook gezien in West-Nederlandsch verband causerie uitgesproken te Utrecht in de tweede algemeene vergadering van de Commissie voor de Vecht en het Oostelijk en Westelijk plassengebied J Loeff 1939")</f>
        <v>0</v>
      </c>
    </row>
    <row r="3778" spans="2:4">
      <c r="B3778">
        <v>70</v>
      </c>
      <c r="C3778" s="1">
        <f>hyperlink("https://hetutrechtsarchief.nl/collectie/0A7BBBEF97AA571AA3E7AF2177028300","De Kaatsbaan te Maarssen A E Rientjes 17-21 1948")</f>
        <v>0</v>
      </c>
      <c r="D3778" s="1">
        <f>hyperlink("http://dspace.library.uu.nl/handle/1874/258182","Aux Brebis te Maarssen A E Rientjes 1942")</f>
        <v>0</v>
      </c>
    </row>
    <row r="3779" spans="2:4">
      <c r="B3779">
        <v>67</v>
      </c>
      <c r="C3779" s="1">
        <f>hyperlink("https://hetutrechtsarchief.nl/collectie/0A7BBBEF97AA571AA3E7AF2177028300","De Kaatsbaan te Maarssen A E Rientjes 17-21 1948")</f>
        <v>0</v>
      </c>
      <c r="D3779" s="1">
        <f>hyperlink("http://dspace.library.uu.nl/handle/1874/258183","De ridderhofstad Bolestein te Maarssen A E Rientjes 1942")</f>
        <v>0</v>
      </c>
    </row>
    <row r="3780" spans="2:4">
      <c r="B3780">
        <v>74</v>
      </c>
      <c r="C3780" s="1">
        <f>hyperlink("https://hetutrechtsarchief.nl/collectie/0A7BBBEF97AA571AA3E7AF2177028300","De Kaatsbaan te Maarssen A E Rientjes 17-21 1948")</f>
        <v>0</v>
      </c>
      <c r="D3780" s="1">
        <f>hyperlink("http://dspace.library.uu.nl/handle/1874/258184","De Eenhoorn te Maarssen A E Rientjes 1940")</f>
        <v>0</v>
      </c>
    </row>
    <row r="3781" spans="2:4">
      <c r="B3781">
        <v>60</v>
      </c>
      <c r="C3781" s="1">
        <f>hyperlink("https://hetutrechtsarchief.nl/collectie/AE9798F9A4215C459B1B25A79F32510F","Een en ander over de oudste bewoning van de provincie Utrecht Th G Appelboom 39-45 ill 1950")</f>
        <v>0</v>
      </c>
      <c r="D3781" s="1">
        <f>hyperlink("http://dspace.library.uu.nl/handle/1874/258185","Een en ander over de oude ophaalbrug van Loenen a d Vecht J H Roosenschoon 1941")</f>
        <v>0</v>
      </c>
    </row>
    <row r="3782" spans="2:4">
      <c r="B3782">
        <v>58</v>
      </c>
      <c r="C3782" s="1">
        <f>hyperlink("https://hetutrechtsarchief.nl/collectie/4DDEF0065D62505783B41543531D9CF1","Klokken en klokkenspelen in Utrecht voorheen en thans W van der Elst 8-9 1950")</f>
        <v>0</v>
      </c>
      <c r="D3782" s="1">
        <f>hyperlink("http://dspace.library.uu.nl/handle/1874/258186","Het land en het kasteel Cronenburch voorheen en thans J H Roosenschoon 1940")</f>
        <v>0</v>
      </c>
    </row>
    <row r="3783" spans="2:4">
      <c r="B3783">
        <v>56</v>
      </c>
      <c r="C3783" s="1">
        <f>hyperlink("https://hetutrechtsarchief.nl/collectie/7988BC790CA153A287E307E1832ECA20","Uit de kerkgeschiedenis van de Hervormde Gemeente Eemnes-Buitendijk 1 Jan Out 109-116 2002")</f>
        <v>0</v>
      </c>
      <c r="D3783" s="1">
        <f>hyperlink("http://dspace.library.uu.nl/handle/1874/258187","Kerkelijke zegels van Nederduitsche Hervormde gemeenten in Nifterlake J W Verburgt 1939")</f>
        <v>0</v>
      </c>
    </row>
    <row r="3784" spans="2:4">
      <c r="B3784">
        <v>51</v>
      </c>
      <c r="C3784" s="1">
        <f>hyperlink("https://hetutrechtsarchief.nl/collectie/EAAA73F07FB15569B66D445BF8895E5F","Verslag van de brand in het Centraal Station te Utrecht 1938 E Priester 27 - 36 1983")</f>
        <v>0</v>
      </c>
      <c r="D3784" s="1">
        <f>hyperlink("http://dspace.library.uu.nl/handle/1874/258188","Verslag van de excursie naar Soestdijk en Hilversum op Woensdag 19 April 1933 Joan Vis 1933")</f>
        <v>0</v>
      </c>
    </row>
    <row r="3785" spans="2:4">
      <c r="B3785">
        <v>54</v>
      </c>
      <c r="C3785" s="1">
        <f>hyperlink("https://hetutrechtsarchief.nl/collectie/E65BCE23BF0D58DB9E1EB578A45243CA","Utrechtse dichters en de anti-herkauw poezie Stef Heinink 12-13 portr 1994")</f>
        <v>0</v>
      </c>
      <c r="D3785" s="1">
        <f>hyperlink("http://dspace.library.uu.nl/handle/1874/258189","Een hofdichter en een speelreis in 1692 F C Wieder 1940")</f>
        <v>0</v>
      </c>
    </row>
    <row r="3786" spans="2:4">
      <c r="B3786">
        <v>62</v>
      </c>
      <c r="C3786" s="1">
        <f>hyperlink("https://hetutrechtsarchief.nl/collectie/F064885C5826569DAB00554ADFB34778","De oudste geschiedenis der joden te Utrecht Jac Zwarts 99-112 1929")</f>
        <v>0</v>
      </c>
      <c r="D3786" s="1">
        <f>hyperlink("http://dspace.library.uu.nl/handle/1874/258190","Gegevens omtrent de geschiedenis der Vechtstreek in het Rijks-Archief te Utrecht Jac Zwarts 1938")</f>
        <v>0</v>
      </c>
    </row>
    <row r="3787" spans="2:4">
      <c r="B3787">
        <v>52</v>
      </c>
      <c r="C3787" s="1">
        <f>hyperlink("https://hetutrechtsarchief.nl/collectie/2545740FA58C5CE9A244DCE24D20FF17","Grepen uit de geschiedenis van Maarssen Arie de Zwart 100-103 2010")</f>
        <v>0</v>
      </c>
      <c r="D3787" s="1">
        <f>hyperlink("http://dspace.library.uu.nl/handle/1874/258191","Harteveld de plaets van den hr David Mendes da Silva te Maarssen Jac Zwarts 1938")</f>
        <v>0</v>
      </c>
    </row>
    <row r="3788" spans="2:4">
      <c r="B3788">
        <v>54</v>
      </c>
      <c r="C3788" s="1">
        <f>hyperlink("https://hetutrechtsarchief.nl/collectie/23962E35F0535D0FA550C13F099CA1BF","De klokken van de Nicola -kerk te Utrecht in hun omgeving W van der Elst 102-119 1927")</f>
        <v>0</v>
      </c>
      <c r="D3788" s="1">
        <f>hyperlink("http://dspace.library.uu.nl/handle/1874/258192","De Laan van Niftarlake te Tienhoven J W Verburgt 1938")</f>
        <v>0</v>
      </c>
    </row>
    <row r="3789" spans="2:4">
      <c r="B3789">
        <v>57</v>
      </c>
      <c r="C3789" s="1">
        <f>hyperlink("https://hetutrechtsarchief.nl/collectie/0ED5F556B61D5E188027337CB261A117","Zorgvliet een renteniershuis aan de Dorpsstraat Jan van der Heijden 7-11 ill 1998")</f>
        <v>0</v>
      </c>
      <c r="D3789" s="1">
        <f>hyperlink("http://dspace.library.uu.nl/handle/1874/258193","Het Slot Goudesteyn aan de Vecht te Maarssen door Jan van der Heijden 1637-1712 A E Rientjes 1938")</f>
        <v>0</v>
      </c>
    </row>
    <row r="3790" spans="2:4">
      <c r="B3790">
        <v>51</v>
      </c>
      <c r="C3790" s="1">
        <f>hyperlink("https://hetutrechtsarchief.nl/collectie/AC37F71C347355EE96CF1D1ECFC9179E","Rede uitgesproken door den heer A van den Berkhof praesident van de commissie van beheer van het Universiteitshuis op 17 januari 1946 1946")</f>
        <v>0</v>
      </c>
      <c r="D3790" s="1">
        <f>hyperlink("http://dspace.library.uu.nl/handle/1874/258194","De Commissie voor de Vecht en het O en W Plassengebied Commissie voor de Vecht en het Oostelijk en Westelijk Plassengebied 1938-1969")</f>
        <v>0</v>
      </c>
    </row>
    <row r="3791" spans="2:4">
      <c r="B3791">
        <v>63</v>
      </c>
      <c r="C3791" s="1">
        <f>hyperlink("https://hetutrechtsarchief.nl/collectie/0A7BBBEF97AA571AA3E7AF2177028300","De Kaatsbaan te Maarssen A E Rientjes 17-21 1948")</f>
        <v>0</v>
      </c>
      <c r="D3791" s="1">
        <f>hyperlink("http://dspace.library.uu.nl/handle/1874/258195","Vechtoever bij Maarssen A E Rientjes 1939")</f>
        <v>0</v>
      </c>
    </row>
    <row r="3792" spans="2:4">
      <c r="B3792">
        <v>58</v>
      </c>
      <c r="C3792" s="1">
        <f>hyperlink("https://hetutrechtsarchief.nl/collectie/98EF41D2B9D6599B8324531AAE5B4F73","Dr A J van de Weijde 33-34 1932")</f>
        <v>0</v>
      </c>
      <c r="D3792" s="1">
        <f>hyperlink("http://dspace.library.uu.nl/handle/1874/258371","Donkervliet A F van Goelst Meijer 1942")</f>
        <v>0</v>
      </c>
    </row>
    <row r="3793" spans="2:4">
      <c r="B3793">
        <v>60</v>
      </c>
      <c r="C3793" s="1">
        <f>hyperlink("https://hetutrechtsarchief.nl/collectie/22148C18DD52575A92A7F614F0B5B58B","RK-kerk Onze Lieve Vrouw Tenhemelopneming te Kockengen 150 jaar geleden gebouwd Martin Verweij 4-14 2004")</f>
        <v>0</v>
      </c>
      <c r="D3793" s="1">
        <f>hyperlink("http://dspace.library.uu.nl/handle/1874/258372","Parochie O L Vrouw ten Hemelopneming te Oudenrijn Stadsdam-De Meern L J van der Heijden 1942")</f>
        <v>0</v>
      </c>
    </row>
    <row r="3794" spans="2:4">
      <c r="B3794">
        <v>62</v>
      </c>
      <c r="C3794" s="1">
        <f>hyperlink("https://hetutrechtsarchief.nl/collectie/17F7F6C950805B4FB41A1F956B09F48B","Fonds van algemeene Weldadigheid rond 1830 Arie de Zwart 108-112 2013")</f>
        <v>0</v>
      </c>
      <c r="D3794" s="1">
        <f>hyperlink("http://dspace.library.uu.nl/handle/1874/258373","Het Fonds van algemeene Weldadigheid te Maarssen en Nieuw-Maarsseveen A E Rientjes 1942")</f>
        <v>0</v>
      </c>
    </row>
    <row r="3795" spans="2:4">
      <c r="B3795">
        <v>92</v>
      </c>
      <c r="C3795" s="1">
        <f>hyperlink("https://hetutrechtsarchief.nl/collectie/E30B7F2F88135827B4E0DB052751A006","Zestiende-eeuwsche wandelingen door Nederland medeged door D Th Enklaar 125 -172 1933")</f>
        <v>0</v>
      </c>
      <c r="D3795" s="1">
        <f>hyperlink("http://dspace.library.uu.nl/handle/1874/258374","Zestiende-eeuwsche wandelingen door Nederland D Th Enklaar 125 -172 1933")</f>
        <v>0</v>
      </c>
    </row>
    <row r="3796" spans="2:4">
      <c r="B3796">
        <v>100</v>
      </c>
      <c r="C3796" s="1">
        <f>hyperlink("https://hetutrechtsarchief.nl/collectie/6C818740F7C650138689D88F3981300C","Het karakter van Johan van Oldenbarnevelt een verkenning door de historicus A J Veenendaal Sr Dick Kaajan 8 -19 2012")</f>
        <v>0</v>
      </c>
      <c r="D3796" s="1">
        <f>hyperlink("http://dspace.library.uu.nl/handle/1874/258375","Het karakter van Johan van Oldenbarnevelt een verkenning door de historicus A J Veenendaal Sr Dick Kaajan 8 -19 2012")</f>
        <v>0</v>
      </c>
    </row>
    <row r="3797" spans="2:4">
      <c r="B3797">
        <v>99</v>
      </c>
      <c r="C3797" s="1">
        <f>hyperlink("https://hetutrechtsarchief.nl/collectie/C6212218D50C5D5DB388CE76C2F345E8","Nathan Hilversum Amersfoort 1873-1959 volharding en verdriet van een joodse ondernemer Jan H Lodewijks 20 -39 2011")</f>
        <v>0</v>
      </c>
      <c r="D3797" s="1">
        <f>hyperlink("http://dspace.library.uu.nl/handle/1874/258376","Nathan Hilversum Amersfoort 1873-1959 volharding en verdriet van een joodse ondernemer Jan H Lodewijks 20 -39 2012")</f>
        <v>0</v>
      </c>
    </row>
    <row r="3798" spans="2:4">
      <c r="B3798">
        <v>86</v>
      </c>
      <c r="C3798" s="1">
        <f>hyperlink("https://hetutrechtsarchief.nl/collectie/5B283744341854098B989E4373896119","Middeleeuwse waterlopen in Maarsbergen en het schouwrecht van Woudenberg Margriet Mijnssen-Dutilh en Willem van Maren 40 -512 2012")</f>
        <v>0</v>
      </c>
      <c r="D3798" s="1">
        <f>hyperlink("http://dspace.library.uu.nl/handle/1874/258377","Middeleeuwse waterlopen in Maarsbergen en het schouwrecht van Woudenberg Willem van Mijnssen-Dulith Margriet Maren 40 -51 2012")</f>
        <v>0</v>
      </c>
    </row>
    <row r="3799" spans="2:4">
      <c r="B3799">
        <v>100</v>
      </c>
      <c r="C3799" s="1">
        <f>hyperlink("https://hetutrechtsarchief.nl/collectie/BFE86A758FDF5E6FA4F9FF8BAAF2CBEF","H F Hartogh Heys van Zouteveen en A M Tromp van Holst twee invloedrijke inwoners van Amersfoort Patricia Debie 52 -77 2012")</f>
        <v>0</v>
      </c>
      <c r="D3799" s="1">
        <f>hyperlink("http://dspace.library.uu.nl/handle/1874/258378","H F Hartogh Heys van Zouteveen en A M Tromp van Holst twee invloedrijke inwoners van Amersfoort Patricia Debie 52 -77 2012")</f>
        <v>0</v>
      </c>
    </row>
    <row r="3800" spans="2:4">
      <c r="B3800">
        <v>100</v>
      </c>
      <c r="C3800" s="1">
        <f>hyperlink("https://hetutrechtsarchief.nl/collectie/B1A039825D125F32A5EFCEE36E07ED00","Tegen de stroom in de laatste tachtig jaar van de lutherse gemeente Amersfoort 1929-2009 Gerard Raven 78 -113 2012")</f>
        <v>0</v>
      </c>
      <c r="D3800" s="1">
        <f>hyperlink("http://dspace.library.uu.nl/handle/1874/258379","Tegen de stroom in de laatste tachtig jaar van de lutherse gemeente Amersfoort 1929-2009 Gerard Raven 78 -113 2012")</f>
        <v>0</v>
      </c>
    </row>
    <row r="3801" spans="2:4">
      <c r="B3801">
        <v>89</v>
      </c>
      <c r="C3801" s="1">
        <f>hyperlink("https://hetutrechtsarchief.nl/collectie/BA64F19A19F754ADB07BE685FFCE46C8","Aankopen van Amersfoortse laken door het cisterci nzerinnenklooster Leeuwenhorst rond 1500 Geertruida de Moor en Ronald van der Spiegel 114 -121 2012")</f>
        <v>0</v>
      </c>
      <c r="D3801" s="1">
        <f>hyperlink("http://dspace.library.uu.nl/handle/1874/258380","Aankopen van Amersfoorts laken door het cisterci nzerinnenklooster Leeuwenhorst rond 1500 Ronald van der Moor Geertruida de Spiegel 114 -121 2012")</f>
        <v>0</v>
      </c>
    </row>
    <row r="3802" spans="2:4">
      <c r="B3802">
        <v>92</v>
      </c>
      <c r="C3802" s="1">
        <f>hyperlink("https://hetutrechtsarchief.nl/collectie/D8DCB43C2EAD5FC58DEB6973B5CB97D0","Monumenten voor de eeuwigheid grafheuvels en andere prehistorische grafmonumenten in Amersfoort en omgeving Maarten van Dijk en Wilma van den Heuvel 122 -143 2012")</f>
        <v>0</v>
      </c>
      <c r="D3802" s="1">
        <f>hyperlink("http://dspace.library.uu.nl/handle/1874/258381","Monumenten voor de eeuwigheid grafheuvels en andere prehistorische grafmonumenten in Amersfoort en omgeving Wilma van den Dijk Maarten van Heuvel 122 -143 2012")</f>
        <v>0</v>
      </c>
    </row>
    <row r="3803" spans="2:4">
      <c r="B3803">
        <v>56</v>
      </c>
      <c r="C3803" s="1">
        <f>hyperlink("https://hetutrechtsarchief.nl/collectie/474F211B8B7C5E069BD6734CBAEDEA2B","Twee tentoonstellingen - de J 36 1953")</f>
        <v>0</v>
      </c>
      <c r="D3803" s="1">
        <f>hyperlink("http://dspace.library.uu.nl/handle/1874/258409","Een kijkje op de tentoonstelling Amstel W F Grevenstuk 1943")</f>
        <v>0</v>
      </c>
    </row>
    <row r="3804" spans="2:4">
      <c r="B3804">
        <v>58</v>
      </c>
      <c r="C3804" s="1">
        <f>hyperlink("https://hetutrechtsarchief.nl/collectie/DB5E961BBA855358834419687F6F17B0","De leden van de gerechten Nieuw-Maarsseveen Oud-Maarsseveen en Neerdijk en hun taken tussen 1731-1795 Ron van Maanen 6-11 1999")</f>
        <v>0</v>
      </c>
      <c r="D3804" s="1">
        <f>hyperlink("http://dspace.library.uu.nl/handle/1874/258542","De Heerlijkheid en gemeente Maarsseveen nu Maarsseveen verdwijnt als gemeente C van Dorp 1949")</f>
        <v>0</v>
      </c>
    </row>
    <row r="3805" spans="2:4">
      <c r="B3805">
        <v>55</v>
      </c>
      <c r="C3805" s="1">
        <f>hyperlink("https://hetutrechtsarchief.nl/collectie/92AAA7306F0086D0E0534701000A1E21","Het huis in het water Dick van de Kamp 66-67 2019")</f>
        <v>0</v>
      </c>
      <c r="D3805" s="1">
        <f>hyperlink("http://dspace.library.uu.nl/handle/1874/258543","Oude huisdeuren in de gouw Nifterlake C van Dorp 1947")</f>
        <v>0</v>
      </c>
    </row>
    <row r="3806" spans="2:4">
      <c r="B3806">
        <v>58</v>
      </c>
      <c r="C3806" s="1">
        <f>hyperlink("https://hetutrechtsarchief.nl/collectie/6D49E85FEAA9536691C70C0FAE163064","De boekhandel in vroeger eeuwen 47-48 1949")</f>
        <v>0</v>
      </c>
      <c r="D3806" s="1">
        <f>hyperlink("http://dspace.library.uu.nl/handle/1874/258544","Het dorp Ter Aa en omgeving in vroeger eeuwen W F Grevenstuk 1947")</f>
        <v>0</v>
      </c>
    </row>
    <row r="3807" spans="2:4">
      <c r="B3807">
        <v>54</v>
      </c>
      <c r="C3807" s="1">
        <f>hyperlink("https://hetutrechtsarchief.nl/collectie/75C328C048BB515BA586CA1ACC186E09","De ambachtsheren van Vreeland J Jonker-Duynstee 88-103 2016")</f>
        <v>0</v>
      </c>
      <c r="D3807" s="1">
        <f>hyperlink("http://dspace.library.uu.nl/handle/1874/258545","De ambachtsheerlijkheid Waverveen W F Grevenstuk 1949")</f>
        <v>0</v>
      </c>
    </row>
    <row r="3808" spans="2:4">
      <c r="B3808">
        <v>69</v>
      </c>
      <c r="C3808" s="1">
        <f>hyperlink("https://hetutrechtsarchief.nl/collectie/F85D8455D381580F9235C31583EAA62D","Stamlijst der Heeren van Abcoude W H Koomans 1-3 tab 1951")</f>
        <v>0</v>
      </c>
      <c r="D3808" s="1">
        <f>hyperlink("http://dspace.library.uu.nl/handle/1874/258546","Inval der Pruisen in Abcoude W H Koomans 1946")</f>
        <v>0</v>
      </c>
    </row>
    <row r="3809" spans="2:4">
      <c r="B3809">
        <v>89</v>
      </c>
      <c r="C3809" s="1">
        <f>hyperlink("https://hetutrechtsarchief.nl/collectie/F29A280F69F85F8298AC13D475283FFD","Abcouder paardenmarkt W H Koomans 9-14 ill 1946")</f>
        <v>0</v>
      </c>
      <c r="D3809" s="1">
        <f>hyperlink("http://dspace.library.uu.nl/handle/1874/258547","Abcouder paardenmarkt W H Koomans 1946")</f>
        <v>0</v>
      </c>
    </row>
    <row r="3810" spans="2:4">
      <c r="B3810">
        <v>95</v>
      </c>
      <c r="C3810" s="1">
        <f>hyperlink("https://hetutrechtsarchief.nl/collectie/AAFE0D5EF1A0502B87F3E0F69C26BB6D","Pibo Ovitius van Abbema tweede predikant van Nigtevecht eerste predikant van Zuilen A E Rientjes 10-19 ill 1949")</f>
        <v>0</v>
      </c>
      <c r="D3810" s="1">
        <f>hyperlink("http://dspace.library.uu.nl/handle/1874/258548","Pibo Ovitius van Abbema tweede predikant van Nigtevecht eerste predikant van Zuilen A E Rientjes 1949")</f>
        <v>0</v>
      </c>
    </row>
    <row r="3811" spans="2:4">
      <c r="B3811">
        <v>62</v>
      </c>
      <c r="C3811" s="1">
        <f>hyperlink("https://hetutrechtsarchief.nl/collectie/0A7BBBEF97AA571AA3E7AF2177028300","De Kaatsbaan te Maarssen A E Rientjes 17-21 1948")</f>
        <v>0</v>
      </c>
      <c r="D3811" s="1">
        <f>hyperlink("http://dspace.library.uu.nl/handle/1874/258549","Hoornoord of de Groote Omloop te Maarssen A E Rientjes 1945")</f>
        <v>0</v>
      </c>
    </row>
    <row r="3812" spans="2:4">
      <c r="B3812">
        <v>84</v>
      </c>
      <c r="C3812" s="1">
        <f>hyperlink("https://hetutrechtsarchief.nl/collectie/4DEAF514F85D5CFC9A5EDD35602384EA","Het sluishuisje te Maarssen - A E R 1-3 ill 1947")</f>
        <v>0</v>
      </c>
      <c r="D3812" s="1">
        <f>hyperlink("http://dspace.library.uu.nl/handle/1874/258550","Het sluishuisje te Maarssen A E Rientjes 1947")</f>
        <v>0</v>
      </c>
    </row>
    <row r="3813" spans="2:4">
      <c r="B3813">
        <v>94</v>
      </c>
      <c r="C3813" s="1">
        <f>hyperlink("https://hetutrechtsarchief.nl/collectie/B21ED83FE07852369055858FBA1502FC","Wildemannen schildhouders van het wapen van Zuilen A E Rientjes 1-8 ill 1946")</f>
        <v>0</v>
      </c>
      <c r="D3813" s="1">
        <f>hyperlink("http://dspace.library.uu.nl/handle/1874/258551","Wildemannen schildhouders van het wapen van Zuilen A E Rientjes 1946")</f>
        <v>0</v>
      </c>
    </row>
    <row r="3814" spans="2:4">
      <c r="B3814">
        <v>61</v>
      </c>
      <c r="C3814" s="1">
        <f>hyperlink("https://hetutrechtsarchief.nl/collectie/12102A7FD3015525B8214A13748A9E4F","Het oude en nieuwe wapen van de gemeente Maarssen A E Rientjes 14-17 ill 1950")</f>
        <v>0</v>
      </c>
      <c r="D3814" s="1">
        <f>hyperlink("http://dspace.library.uu.nl/handle/1874/258552","Groot en klein Leeuwenvecht bij Maarssen A E Rientjes 1945")</f>
        <v>0</v>
      </c>
    </row>
    <row r="3815" spans="2:4">
      <c r="B3815">
        <v>93</v>
      </c>
      <c r="C3815" s="1">
        <f>hyperlink("https://hetutrechtsarchief.nl/collectie/0A7BBBEF97AA571AA3E7AF2177028300","De Kaatsbaan te Maarssen A E Rientjes 17-21 1948")</f>
        <v>0</v>
      </c>
      <c r="D3815" s="1">
        <f>hyperlink("http://dspace.library.uu.nl/handle/1874/258554","De Kaatsbaan te Maarssen A E Rientjes 1948")</f>
        <v>0</v>
      </c>
    </row>
    <row r="3816" spans="2:4">
      <c r="B3816">
        <v>69</v>
      </c>
      <c r="C3816" s="1">
        <f>hyperlink("https://hetutrechtsarchief.nl/collectie/0A7BBBEF97AA571AA3E7AF2177028300","De Kaatsbaan te Maarssen A E Rientjes 17-21 1948")</f>
        <v>0</v>
      </c>
      <c r="D3816" s="1">
        <f>hyperlink("http://dspace.library.uu.nl/handle/1874/258555","Het huis de Boomgaard te Maarsseveen A E Rientjes 1947")</f>
        <v>0</v>
      </c>
    </row>
    <row r="3817" spans="2:4">
      <c r="B3817">
        <v>55</v>
      </c>
      <c r="C3817" s="1">
        <f>hyperlink("https://hetutrechtsarchief.nl/collectie/6C9936AC7F3F5723AC888D552E65FF43","Het Armenland en buitenarmen van Ruwiel deel 1 G Versloot 80-89 2013")</f>
        <v>0</v>
      </c>
      <c r="D3817" s="1">
        <f>hyperlink("http://dspace.library.uu.nl/handle/1874/258556","Het Armenland te Nigtevecht een herinnering aan de Doopsgezinden J W Verburgt 1945")</f>
        <v>0</v>
      </c>
    </row>
    <row r="3818" spans="2:4">
      <c r="B3818">
        <v>53</v>
      </c>
      <c r="C3818" s="1">
        <f>hyperlink("https://hetutrechtsarchief.nl/collectie/AB8E939997E35EFD87C50093288410CB","Een Romeins graanschip in Woerden J K Haalebos 68-95 ill plgr tek 1997")</f>
        <v>0</v>
      </c>
      <c r="D3818" s="1">
        <f>hyperlink("http://dspace.library.uu.nl/handle/1874/258557","Een rouw- of begrafenisschild in de R K Kerk van Abcoude J Waterkamp 1949")</f>
        <v>0</v>
      </c>
    </row>
    <row r="3819" spans="2:4">
      <c r="B3819">
        <v>54</v>
      </c>
      <c r="C3819" s="1">
        <f>hyperlink("https://hetutrechtsarchief.nl/collectie/12102A7FD3015525B8214A13748A9E4F","Het oude en nieuwe wapen van de gemeente Maarssen A E Rientjes 14-17 ill 1950")</f>
        <v>0</v>
      </c>
      <c r="D3819" s="1">
        <f>hyperlink("http://dspace.library.uu.nl/handle/1874/258558","Luxemburg Overkerck de pauwenhof van den heer Pereira te Maarssen Jac Zwarts 1947")</f>
        <v>0</v>
      </c>
    </row>
    <row r="3820" spans="2:4">
      <c r="B3820">
        <v>58</v>
      </c>
      <c r="C3820" s="1">
        <f>hyperlink("https://hetutrechtsarchief.nl/collectie/EFDF0712BDEF56D29513EF794EA3E7E9","Donkere wolken boven drie voormalige buitenplaatsen Hans Sagel 44-46 2010")</f>
        <v>0</v>
      </c>
      <c r="D3820" s="1">
        <f>hyperlink("http://dspace.library.uu.nl/handle/1874/258559","Het hek van de voormalige buitenplaats Hoffwerck J W N van Achterbergh 1948")</f>
        <v>0</v>
      </c>
    </row>
    <row r="3821" spans="2:4">
      <c r="B3821">
        <v>66</v>
      </c>
      <c r="C3821" s="1">
        <f>hyperlink("https://hetutrechtsarchief.nl/collectie/57DA07B84FD8579C8CF24AB4ACDAB037","De Ned Herv Kerk te Kockengen Herma M van den Berg 73-85 ill 1959")</f>
        <v>0</v>
      </c>
      <c r="D3821" s="1">
        <f>hyperlink("http://dspace.library.uu.nl/handle/1874/258560","De Ned Herv Kerk te Loenen a d Vecht Ferd B Jantzen 1949")</f>
        <v>0</v>
      </c>
    </row>
    <row r="3822" spans="2:4">
      <c r="B3822">
        <v>55</v>
      </c>
      <c r="C3822" s="1">
        <f>hyperlink("https://hetutrechtsarchief.nl/collectie/98706A74789954B99D11233A6534F16B","Over Laat-Middeleeuwse nonnen en begijnen Arie A Manten 17-26 2007")</f>
        <v>0</v>
      </c>
      <c r="D3822" s="1">
        <f>hyperlink("http://dspace.library.uu.nl/handle/1874/258561","Een middeleeuwsch gebed uit Loenen tegen besmettelijke ziekten A E Rientjes 1947")</f>
        <v>0</v>
      </c>
    </row>
    <row r="3823" spans="2:4">
      <c r="B3823">
        <v>92</v>
      </c>
      <c r="C3823" s="1">
        <f>hyperlink("https://hetutrechtsarchief.nl/collectie/F85D8455D381580F9235C31583EAA62D","Stamlijst der Heeren van Abcoude W H Koomans 1-3 tab 1951")</f>
        <v>0</v>
      </c>
      <c r="D3823" s="1">
        <f>hyperlink("http://dspace.library.uu.nl/handle/1874/258664","Stamlijst der Heeren van Abcoude W H Koomans 1951")</f>
        <v>0</v>
      </c>
    </row>
    <row r="3824" spans="2:4">
      <c r="B3824">
        <v>61</v>
      </c>
      <c r="C3824" s="1">
        <f>hyperlink("https://hetutrechtsarchief.nl/collectie/F85D8455D381580F9235C31583EAA62D","Stamlijst der Heeren van Abcoude W H Koomans 1-3 tab 1951")</f>
        <v>0</v>
      </c>
      <c r="D3824" s="1">
        <f>hyperlink("http://dspace.library.uu.nl/handle/1874/258665","Oude koopbrieven uit Abcoude W H Koomans 1953")</f>
        <v>0</v>
      </c>
    </row>
    <row r="3825" spans="2:4">
      <c r="B3825">
        <v>84</v>
      </c>
      <c r="C3825" s="1">
        <f>hyperlink("https://hetutrechtsarchief.nl/collectie/1CC8A5E305F5534886330D719622E5B1","Abcoude en omgeving W H Koomans 15-39 ill krt 1951")</f>
        <v>0</v>
      </c>
      <c r="D3825" s="1">
        <f>hyperlink("http://dspace.library.uu.nl/handle/1874/258666","Abcoude en omgeving W H Koomans 1951")</f>
        <v>0</v>
      </c>
    </row>
    <row r="3826" spans="2:4">
      <c r="B3826">
        <v>94</v>
      </c>
      <c r="C3826" s="1">
        <f>hyperlink("https://hetutrechtsarchief.nl/collectie/B95E37E3E9975A48A0D4DE0BBCDC2991","Sprokkelingen betreffende de geschiedenis van de Vechtstreek R van Luttervelt 4-9 ill 1950")</f>
        <v>0</v>
      </c>
      <c r="D3826" s="1">
        <f>hyperlink("http://dspace.library.uu.nl/handle/1874/258667","Sprokkelingen betreffende de geschiedenis van de Vechtstreek R van Luttervelt 1950-1957")</f>
        <v>0</v>
      </c>
    </row>
    <row r="3827" spans="2:4">
      <c r="B3827">
        <v>93</v>
      </c>
      <c r="C3827" s="1">
        <f>hyperlink("https://hetutrechtsarchief.nl/collectie/2E7178B931CD5669BF4409344934F747","De Breedstraat te Maarssen vroeger en nu A E Rientjes 4-13 ill 1951")</f>
        <v>0</v>
      </c>
      <c r="D3827" s="1">
        <f>hyperlink("http://dspace.library.uu.nl/handle/1874/258668","De Breedstraat te Maarssen vroeger en nu A E Rientjes 1951")</f>
        <v>0</v>
      </c>
    </row>
    <row r="3828" spans="2:4">
      <c r="B3828">
        <v>93</v>
      </c>
      <c r="C3828" s="1">
        <f>hyperlink("https://hetutrechtsarchief.nl/collectie/12102A7FD3015525B8214A13748A9E4F","Het oude en nieuwe wapen van de gemeente Maarssen A E Rientjes 14-17 ill 1950")</f>
        <v>0</v>
      </c>
      <c r="D3828" s="1">
        <f>hyperlink("http://dspace.library.uu.nl/handle/1874/258669","Het oude en nieuwe wapen van de gemeente Maarssen A E Rientjes 1950")</f>
        <v>0</v>
      </c>
    </row>
    <row r="3829" spans="2:4">
      <c r="B3829">
        <v>56</v>
      </c>
      <c r="C3829" s="1">
        <f>hyperlink("https://hetutrechtsarchief.nl/collectie/F433AFA607425A109024B7F6DF267816","De kerkzang bij het Gilde-jubileum - E J H en J Waterkamp 16-17 1931")</f>
        <v>0</v>
      </c>
      <c r="D3829" s="1">
        <f>hyperlink("http://dspace.library.uu.nl/handle/1874/258670","Het koorkapschild te Abcoude J M J Waterkamp 1950")</f>
        <v>0</v>
      </c>
    </row>
    <row r="3830" spans="2:4">
      <c r="B3830">
        <v>94</v>
      </c>
      <c r="C3830" s="1">
        <f>hyperlink("https://hetutrechtsarchief.nl/collectie/B81409A9A3E05EF19BF0A2548679AF79","Oud Utrechts zilver in Vecht- en Geinstreek A E Rientjes 3-7 ill 1952")</f>
        <v>0</v>
      </c>
      <c r="D3830" s="1">
        <f>hyperlink("http://dspace.library.uu.nl/handle/1874/258671","Oud Utrechts zilver in Vecht- en Geinstreek A E Rientjes 1952")</f>
        <v>0</v>
      </c>
    </row>
    <row r="3831" spans="2:4">
      <c r="B3831">
        <v>59</v>
      </c>
      <c r="C3831" s="1">
        <f>hyperlink("https://hetutrechtsarchief.nl/collectie/4F104CCDA20551389BD518777E72A34A","De St Michaelskapel op den Domtoren A E Rientjes 35-46 ill 1929")</f>
        <v>0</v>
      </c>
      <c r="D3831" s="1">
        <f>hyperlink("http://dspace.library.uu.nl/handle/1874/258672","Een tafelbel gevonden te Kockengen A E Rientjes 1950")</f>
        <v>0</v>
      </c>
    </row>
    <row r="3832" spans="2:4">
      <c r="B3832">
        <v>57</v>
      </c>
      <c r="C3832" s="1">
        <f>hyperlink("https://hetutrechtsarchief.nl/collectie/EDD2217A6F625080892AF73CD1C049E2","Het adresboek slot Zuylen Joep Grave 2 1986")</f>
        <v>0</v>
      </c>
      <c r="D3832" s="1">
        <f>hyperlink("http://dspace.library.uu.nl/handle/1874/258673","Het Slot Zuylen 1952")</f>
        <v>0</v>
      </c>
    </row>
    <row r="3833" spans="2:4">
      <c r="B3833">
        <v>62</v>
      </c>
      <c r="C3833" s="1">
        <f>hyperlink("https://hetutrechtsarchief.nl/collectie/0A7BBBEF97AA571AA3E7AF2177028300","De Kaatsbaan te Maarssen A E Rientjes 17-21 1948")</f>
        <v>0</v>
      </c>
      <c r="D3833" s="1">
        <f>hyperlink("http://dspace.library.uu.nl/handle/1874/258719","Spruytenburg onder Maarssen A E Rientjes 1955")</f>
        <v>0</v>
      </c>
    </row>
    <row r="3834" spans="2:4">
      <c r="B3834">
        <v>96</v>
      </c>
      <c r="C3834" s="1">
        <f>hyperlink("https://hetutrechtsarchief.nl/collectie/2A54F83E23E25ACA866B80DF8803B158","Schets van de crisis der kerkelijke Reformatie in de dorpen van de provincie Utrecht 1580-1620 G van der Zee 1-97 1956")</f>
        <v>0</v>
      </c>
      <c r="D3834" s="1">
        <f>hyperlink("http://dspace.library.uu.nl/handle/1874/258720","Schets van de crisis der kerkelijke Reformatie in de dorpen van de provincie Utrecht plm 1580-1620 G van der Zee 1956")</f>
        <v>0</v>
      </c>
    </row>
    <row r="3835" spans="2:4">
      <c r="B3835">
        <v>88</v>
      </c>
      <c r="C3835" s="1">
        <f>hyperlink("https://hetutrechtsarchief.nl/collectie/9933BB59B08D58D7BADBD90E394292DF","De oudheidkundige vondsten bij de restauratie van de Ned Herv Kerk te Kockengen C C van de Graft 45-46 1957")</f>
        <v>0</v>
      </c>
      <c r="D3835" s="1">
        <f>hyperlink("http://dspace.library.uu.nl/handle/1874/258721","De oudheidkundige vondsten bij de restauratie van de Ned Herv Kerk te Kockengen A E Rientjes 1956")</f>
        <v>0</v>
      </c>
    </row>
    <row r="3836" spans="2:4">
      <c r="B3836">
        <v>54</v>
      </c>
      <c r="C3836" s="1">
        <f>hyperlink("https://hetutrechtsarchief.nl/collectie/C557F88DA1F1E908E0538F04000A6BE6","Verdwenen tuinen De tuin van het huis De Roode Poort Tolien Wilmer 16 2021")</f>
        <v>0</v>
      </c>
      <c r="D3836" s="1">
        <f>hyperlink("http://dspace.library.uu.nl/handle/1874/258722","Een vondst in de tuin van het voormalige Huis Ter Meer te Maarssen N Wissema-Goossens 1957")</f>
        <v>0</v>
      </c>
    </row>
    <row r="3837" spans="2:4">
      <c r="B3837">
        <v>65</v>
      </c>
      <c r="C3837" s="1">
        <f>hyperlink("https://hetutrechtsarchief.nl/collectie/0A7BBBEF97AA571AA3E7AF2177028300","De Kaatsbaan te Maarssen A E Rientjes 17-21 1948")</f>
        <v>0</v>
      </c>
      <c r="D3837" s="1">
        <f>hyperlink("http://dspace.library.uu.nl/handle/1874/258723","Het kasteel Oostwaard aan de Vecht bij Maarssen A E Rientjes 1958")</f>
        <v>0</v>
      </c>
    </row>
    <row r="3838" spans="2:4">
      <c r="B3838">
        <v>67</v>
      </c>
      <c r="C3838" s="1">
        <f>hyperlink("https://hetutrechtsarchief.nl/collectie/0A7BBBEF97AA571AA3E7AF2177028300","De Kaatsbaan te Maarssen A E Rientjes 17-21 1948")</f>
        <v>0</v>
      </c>
      <c r="D3838" s="1">
        <f>hyperlink("http://dspace.library.uu.nl/handle/1874/258724","Kaart van het Huis ter Meer te Maarssen A E Rientjes 1958")</f>
        <v>0</v>
      </c>
    </row>
    <row r="3839" spans="2:4">
      <c r="B3839">
        <v>59</v>
      </c>
      <c r="C3839" s="1">
        <f>hyperlink("https://hetutrechtsarchief.nl/collectie/5EBCBFC2AF62519EBEDE556DC2E02BE9","De hoofdpoort van de ridderhofstad Gunterstein te Breukelen H J van Es 6-20 2008")</f>
        <v>0</v>
      </c>
      <c r="D3839" s="1">
        <f>hyperlink("http://dspace.library.uu.nl/handle/1874/258725","Zilveren schotel afkomstig van de Vrouwe van Guntersteyn te Breukelen A E Rientjes 1955")</f>
        <v>0</v>
      </c>
    </row>
    <row r="3840" spans="2:4">
      <c r="B3840">
        <v>56</v>
      </c>
      <c r="C3840" s="1">
        <f>hyperlink("https://hetutrechtsarchief.nl/collectie/31B8B28B727252F1A8899DED4007CDE7","De Eembrug Douwe van der Meulen 66-73 2016")</f>
        <v>0</v>
      </c>
      <c r="D3840" s="1">
        <f>hyperlink("http://dspace.library.uu.nl/handle/1874/258726","Oud-Baambrugge G van der Zee 1954")</f>
        <v>0</v>
      </c>
    </row>
    <row r="3841" spans="2:4">
      <c r="B3841">
        <v>60</v>
      </c>
      <c r="C3841" s="1">
        <f>hyperlink("https://hetutrechtsarchief.nl/collectie/F85D8455D381580F9235C31583EAA62D","Stamlijst der Heeren van Abcoude W H Koomans 1-3 tab 1951")</f>
        <v>0</v>
      </c>
      <c r="D3841" s="1">
        <f>hyperlink("http://dspace.library.uu.nl/handle/1874/258727","Zwerftocht van het ijzeren hek Markvelt van Abcou W H Koomans 1958")</f>
        <v>0</v>
      </c>
    </row>
    <row r="3842" spans="2:4">
      <c r="B3842">
        <v>58</v>
      </c>
      <c r="C3842" s="1">
        <f>hyperlink("https://hetutrechtsarchief.nl/collectie/689635E1852A51E9A619AEB9FB233E9D","Oude huizennamen in ere hersteld - E 70 1929")</f>
        <v>0</v>
      </c>
      <c r="D3842" s="1">
        <f>hyperlink("http://dspace.library.uu.nl/handle/1874/258849","Oude namen van straten e d te Abcoude P H Pompe 1959")</f>
        <v>0</v>
      </c>
    </row>
    <row r="3843" spans="2:4">
      <c r="B3843">
        <v>64</v>
      </c>
      <c r="C3843" s="1">
        <f>hyperlink("https://hetutrechtsarchief.nl/collectie/3225905DA46959ACB86CA816D79C5DC7","Het Gemeenlandshuis te Nieuwersluis bouwhistorisch onderzocht L B Wevers 55-64 1999")</f>
        <v>0</v>
      </c>
      <c r="D3843" s="1">
        <f>hyperlink("http://dspace.library.uu.nl/handle/1874/258936","Het Gemenelandshuis te Nieuwersluis J H van den Hoek Ostende 1963")</f>
        <v>0</v>
      </c>
    </row>
    <row r="3844" spans="2:4">
      <c r="B3844">
        <v>62</v>
      </c>
      <c r="C3844" s="1">
        <f>hyperlink("https://hetutrechtsarchief.nl/collectie/58A3038C4FA4594CA00A273A2C01F660","Watermolens aan de Vecht bij Utrecht J H van den Hoek Ostende 1-12 ill 1964")</f>
        <v>0</v>
      </c>
      <c r="D3844" s="1">
        <f>hyperlink("http://dspace.library.uu.nl/handle/1874/258937","De Voetangel J H van den Hoek Ostende 1960")</f>
        <v>0</v>
      </c>
    </row>
    <row r="3845" spans="2:4">
      <c r="B3845">
        <v>61</v>
      </c>
      <c r="C3845" s="1">
        <f>hyperlink("https://hetutrechtsarchief.nl/collectie/78CCC507ADF45CC3AD1D6E9740711359","De buitenplaats Roserust te Loenen E Munnig Schmidt 43-61 2002")</f>
        <v>0</v>
      </c>
      <c r="D3845" s="1">
        <f>hyperlink("http://dspace.library.uu.nl/handle/1874/258938","De buitenplaats Koppelrust te Abcoude A F van Goelst Meyer 1960")</f>
        <v>0</v>
      </c>
    </row>
    <row r="3846" spans="2:4">
      <c r="B3846">
        <v>94</v>
      </c>
      <c r="C3846" s="1">
        <f>hyperlink("https://hetutrechtsarchief.nl/collectie/812C70A6723C5C0C9D66EF0B2082E028","Iets over de geschiedenis van Nifterlake D P Blok 1-20 1962")</f>
        <v>0</v>
      </c>
      <c r="D3846" s="1">
        <f>hyperlink("http://dspace.library.uu.nl/handle/1874/258939","Iets over de geschiedenis van Niftarlake D P Blok 1962")</f>
        <v>0</v>
      </c>
    </row>
    <row r="3847" spans="2:4">
      <c r="B3847">
        <v>65</v>
      </c>
      <c r="C3847" s="1">
        <f>hyperlink("https://hetutrechtsarchief.nl/collectie/4A019F450F4A5D988ED8F12BD390FF3B","De restauratie van de Domkerk T van Hoogevest 1-15 ill 1987")</f>
        <v>0</v>
      </c>
      <c r="D3847" s="1">
        <f>hyperlink("http://dspace.library.uu.nl/handle/1874/258940","Restauratie van de Ned Hervormde Kerk te Nigtevecht Ferd B Jantzen 1967")</f>
        <v>0</v>
      </c>
    </row>
    <row r="3848" spans="2:4">
      <c r="B3848">
        <v>94</v>
      </c>
      <c r="C3848" s="1">
        <f>hyperlink("https://hetutrechtsarchief.nl/collectie/58A3038C4FA4594CA00A273A2C01F660","Watermolens aan de Vecht bij Utrecht J H van den Hoek Ostende 1-12 ill 1964")</f>
        <v>0</v>
      </c>
      <c r="D3848" s="1">
        <f>hyperlink("http://dspace.library.uu.nl/handle/1874/258941","Watermolens aan de Vecht bij Utrecht J H van den Hoek Ostende 1964")</f>
        <v>0</v>
      </c>
    </row>
    <row r="3849" spans="2:4">
      <c r="B3849">
        <v>52</v>
      </c>
      <c r="C3849" s="1">
        <f>hyperlink("https://hetutrechtsarchief.nl/collectie/58A3038C4FA4594CA00A273A2C01F660","Watermolens aan de Vecht bij Utrecht J H van den Hoek Ostende 1-12 ill 1964")</f>
        <v>0</v>
      </c>
      <c r="D3849" s="1">
        <f>hyperlink("http://dspace.library.uu.nl/handle/1874/258942","Verhaal van een reis eindigende op Kalorama s avonds 14 augustus 1830 J H van den Hoek Ostende 1966")</f>
        <v>0</v>
      </c>
    </row>
    <row r="3850" spans="2:4">
      <c r="B3850">
        <v>68</v>
      </c>
      <c r="C3850" s="1">
        <f>hyperlink("https://hetutrechtsarchief.nl/collectie/58A3038C4FA4594CA00A273A2C01F660","Watermolens aan de Vecht bij Utrecht J H van den Hoek Ostende 1-12 ill 1964")</f>
        <v>0</v>
      </c>
      <c r="D3850" s="1">
        <f>hyperlink("http://dspace.library.uu.nl/handle/1874/258943","De molen De Kraai te Westbroek J H van den Hoek Ostende 1965")</f>
        <v>0</v>
      </c>
    </row>
    <row r="3851" spans="2:4">
      <c r="B3851">
        <v>60</v>
      </c>
      <c r="C3851" s="1">
        <f>hyperlink("https://hetutrechtsarchief.nl/collectie/E210A45F547A5A75B4510FAD9683340A","Terugblik Historische Kring Baarn Marjo Stam 66-75 2014")</f>
        <v>0</v>
      </c>
      <c r="D3851" s="1">
        <f>hyperlink("http://dspace.library.uu.nl/handle/1874/258963","Waarom een Historische kring Maarssen R Pos 1972")</f>
        <v>0</v>
      </c>
    </row>
    <row r="3852" spans="2:4">
      <c r="B3852">
        <v>96</v>
      </c>
      <c r="C3852" s="1">
        <f>hyperlink("https://hetutrechtsarchief.nl/collectie/706A74A8805450638F1CFAA64D66A596","Handwissel en dertiende penning een voorstudie L Hardenberg 19-39 1970")</f>
        <v>0</v>
      </c>
      <c r="D3852" s="1">
        <f>hyperlink("http://dspace.library.uu.nl/handle/1874/258964","Handwissel en dertiende penning een voorstudie L Hardenberg 1970")</f>
        <v>0</v>
      </c>
    </row>
    <row r="3853" spans="2:4">
      <c r="B3853">
        <v>69</v>
      </c>
      <c r="C3853" s="1">
        <f>hyperlink("https://hetutrechtsarchief.nl/collectie/7AD9F1E1292D50C793E03C5DC1E9A7F5","Omstandig verhaal van den inval der Pruisische Troepen in ons land in de maand September van den jare 1787 C W Maan 19-54 ill 1971")</f>
        <v>0</v>
      </c>
      <c r="D3853" s="1">
        <f>hyperlink("http://dspace.library.uu.nl/handle/1874/258965","Omstandig verhaal van alles wat mij in den loop van dertien achtereenvolgende dagen overkomen is bij gelegenheid van den inval der Pruissische Troepen in ons land in de maand September van den jare 1787 C W Maan 1971")</f>
        <v>0</v>
      </c>
    </row>
    <row r="3854" spans="2:4">
      <c r="B3854">
        <v>93</v>
      </c>
      <c r="C3854" s="1">
        <f>hyperlink("https://hetutrechtsarchief.nl/collectie/5F0C767DE802572CBDDFAC6538005229","Een eeuw geleden de redding van de Vecht M N G Dukes 6-10 krt 1975")</f>
        <v>0</v>
      </c>
      <c r="D3854" s="1">
        <f>hyperlink("http://dspace.library.uu.nl/handle/1874/258966","Een eeuw geleden de redding van de Vecht M N G Dukes 1975")</f>
        <v>0</v>
      </c>
    </row>
    <row r="3855" spans="2:4">
      <c r="B3855">
        <v>59</v>
      </c>
      <c r="C3855" s="1">
        <f>hyperlink("https://hetutrechtsarchief.nl/collectie/367C4B1FF61F58DEB6687ABCD3BEE826","Meetpunten in de toren van de Ned Herv kerk te Abcoude Wim Timmer 252 2005")</f>
        <v>0</v>
      </c>
      <c r="D3855" s="1">
        <f>hyperlink("http://dspace.library.uu.nl/handle/1874/258967","Beschrijving van de 3 rouwborden in de Ned Herv Kerk te Abcoude A Grevenstuk 1973")</f>
        <v>0</v>
      </c>
    </row>
    <row r="3856" spans="2:4">
      <c r="B3856">
        <v>56</v>
      </c>
      <c r="C3856" s="1">
        <f>hyperlink("https://hetutrechtsarchief.nl/collectie/296994BB5B0C54039F2EED5FA76355A4","Het kerkorgel te Benschop E van Oosterom 41-42 1958")</f>
        <v>0</v>
      </c>
      <c r="D3856" s="1">
        <f>hyperlink("http://dspace.library.uu.nl/handle/1874/258968","Het B tz-orgel te Breukelen Gert Oost 1976")</f>
        <v>0</v>
      </c>
    </row>
    <row r="3857" spans="2:4">
      <c r="B3857">
        <v>55</v>
      </c>
      <c r="C3857" s="1">
        <f>hyperlink("https://hetutrechtsarchief.nl/collectie/41B1DA065AA75759B99E67BB00685AAA","Het uiterlijk van den ouden Schouwburg - van den Berg 4-7 1943")</f>
        <v>0</v>
      </c>
      <c r="D3857" s="1">
        <f>hyperlink("http://dspace.library.uu.nl/handle/1874/258969","Het buiten Cromwijck door Isaac de Moucheron J W Niemeyer 1973")</f>
        <v>0</v>
      </c>
    </row>
    <row r="3858" spans="2:4">
      <c r="B3858">
        <v>54</v>
      </c>
      <c r="C3858" s="1">
        <f>hyperlink("https://hetutrechtsarchief.nl/collectie/033EB0266644546EA4B85A4A01232CAF","Ruygenhof en de geschiedenis van de fruitschuur Juliette J M A M Jonker-Duynstee en E Munnig Schmidt 57-67 2015")</f>
        <v>0</v>
      </c>
      <c r="D3858" s="1">
        <f>hyperlink("http://dspace.library.uu.nl/handle/1874/258970","En dit is nou het station van Loenen of een eerste aanzet tot de geschiedenis van de buitenplaats Nieuwerhoek te Loenen E Munnig Schmidt 1976")</f>
        <v>0</v>
      </c>
    </row>
    <row r="3859" spans="2:4">
      <c r="B3859">
        <v>56</v>
      </c>
      <c r="C3859" s="1">
        <f>hyperlink("https://hetutrechtsarchief.nl/collectie/2B5131E792665E1ABA32558D8AE520A6","Hoe Utrechts Balije expectanten wierf J Belonje 95-96 1987")</f>
        <v>0</v>
      </c>
      <c r="D3859" s="1">
        <f>hyperlink("http://dspace.library.uu.nl/handle/1874/258971","Ouderhoek bij Fort Nieuwersluis J Belonje 1968")</f>
        <v>0</v>
      </c>
    </row>
    <row r="3860" spans="2:4">
      <c r="B3860">
        <v>55</v>
      </c>
      <c r="C3860" s="1">
        <f>hyperlink("https://hetutrechtsarchief.nl/collectie/0CE853DFD0B25817AF7A493BFD430701","Rakende het modderen in de Vecht M A Dukes-Greup 60-62 1983")</f>
        <v>0</v>
      </c>
      <c r="D3860" s="1">
        <f>hyperlink("http://dspace.library.uu.nl/handle/1874/259052","Papieren in een schoenendoos M N G Dukes-Greup M A Dukes 1975")</f>
        <v>0</v>
      </c>
    </row>
    <row r="3861" spans="2:4">
      <c r="B3861">
        <v>60</v>
      </c>
      <c r="C3861" s="1">
        <f>hyperlink("https://hetutrechtsarchief.nl/collectie/D3CA3256ED4C59CA823B7481FF147040","De grenzen van Den Dolder M Raven 71-72 1965")</f>
        <v>0</v>
      </c>
      <c r="D3861" s="1">
        <f>hyperlink("http://dspace.library.uu.nl/handle/1874/259053","Legenden van Oudaen M N G Dukes 1976")</f>
        <v>0</v>
      </c>
    </row>
    <row r="3862" spans="2:4">
      <c r="B3862">
        <v>63</v>
      </c>
      <c r="C3862" s="1">
        <f>hyperlink("https://hetutrechtsarchief.nl/collectie/539B6798E8A75293936571FEEBB4A77F","Beelden en stucwerk van de Van Logterens in de Vechtstreek E Munnig Schmidt 78-81 2007")</f>
        <v>0</v>
      </c>
      <c r="D3862" s="1">
        <f>hyperlink("http://dspace.library.uu.nl/handle/1874/259054","Vroeg stucwerk aan de Vecht E Munning Schmidt 1977")</f>
        <v>0</v>
      </c>
    </row>
    <row r="3863" spans="2:4">
      <c r="B3863">
        <v>53</v>
      </c>
      <c r="C3863" s="1">
        <f>hyperlink("https://hetutrechtsarchief.nl/collectie/D86AA7377F75535BBC129018E8FE6636","Amelisweerd 48 1978")</f>
        <v>0</v>
      </c>
      <c r="D3863" s="1">
        <f>hyperlink("http://dspace.library.uu.nl/handle/1874/259055","Vredenoord 1978")</f>
        <v>0</v>
      </c>
    </row>
    <row r="3864" spans="2:4">
      <c r="B3864">
        <v>60</v>
      </c>
      <c r="C3864" s="1">
        <f>hyperlink("https://hetutrechtsarchief.nl/collectie/7C4259E0F60A51D08D0D3D7BE22ACF0C","Honderd jaar tussen Vecht en Angstel Oudheidkundig Genootschap Niftarlake Edward Munnig Schmidt 122-123 2013")</f>
        <v>0</v>
      </c>
      <c r="D3864" s="1">
        <f>hyperlink("http://dspace.library.uu.nl/handle/1874/259056","Excursie Utrecht 1979 Oudheidkundig Genootschap Niftarlake A J A M Lisman 1979")</f>
        <v>0</v>
      </c>
    </row>
    <row r="3865" spans="2:4">
      <c r="B3865">
        <v>67</v>
      </c>
      <c r="C3865" s="1">
        <f>hyperlink("https://hetutrechtsarchief.nl/collectie/55420415F3BF5838A935D2155F24C6F1","Reizen in de Vechtstreek 63-65 1954")</f>
        <v>0</v>
      </c>
      <c r="D3865" s="1">
        <f>hyperlink("http://dspace.library.uu.nl/handle/1874/259057","Restauraties in de Vechtstreek R Apell 1976-1977")</f>
        <v>0</v>
      </c>
    </row>
    <row r="3866" spans="2:4">
      <c r="B3866">
        <v>60</v>
      </c>
      <c r="C3866" s="1">
        <f>hyperlink("https://hetutrechtsarchief.nl/collectie/CA2C9D729A8F5AB4A5D137AEFB8EC0A7","De topografisch tekenaar Chris Schut overleden A J A M Lisman 80-81 2000")</f>
        <v>0</v>
      </c>
      <c r="D3866" s="1">
        <f>hyperlink("http://dspace.library.uu.nl/handle/1874/259058","Vechtallerlei Chris Schut A J A M Lisman 1976")</f>
        <v>0</v>
      </c>
    </row>
    <row r="3867" spans="2:4">
      <c r="B3867">
        <v>57</v>
      </c>
      <c r="C3867" s="1">
        <f>hyperlink("https://hetutrechtsarchief.nl/collectie/C9615A5032985FD799EB18B917AACBD2","Moment voor een monument theekoepel aan de Vecht 11 ill 1991")</f>
        <v>0</v>
      </c>
      <c r="D3867" s="1">
        <f>hyperlink("http://dspace.library.uu.nl/handle/1874/259059","Joodse riten en symbolen hun betekenis voor de tuinkoepels aan de Vecht D Dekker 1977")</f>
        <v>0</v>
      </c>
    </row>
    <row r="3868" spans="2:4">
      <c r="B3868">
        <v>61</v>
      </c>
      <c r="C3868" s="1">
        <f>hyperlink("https://hetutrechtsarchief.nl/collectie/5CD377A592D65235B41B22941A17F230","Toegangshekken in de Vechtstreek A J A M Lisman 21-70 ill 1994")</f>
        <v>0</v>
      </c>
      <c r="D3868" s="1">
        <f>hyperlink("http://dspace.library.uu.nl/handle/1874/259060","Gaan en komen in de Vechtstreek R T van de Geer 1977")</f>
        <v>0</v>
      </c>
    </row>
    <row r="3869" spans="2:4">
      <c r="B3869">
        <v>53</v>
      </c>
      <c r="C3869" s="1">
        <f>hyperlink("https://hetutrechtsarchief.nl/collectie/3A47C0FCB4DC51719FA4B410B713EF1F","Tijdmeting in de middeleeuwen H Platelle 66-77 ill 1972")</f>
        <v>0</v>
      </c>
      <c r="D3869" s="1">
        <f>hyperlink("http://dspace.library.uu.nl/handle/1874/259061","De Stinzeflora in de zuidelijke Vechtparken H J Wolters-van Liere J A Wolters 1978")</f>
        <v>0</v>
      </c>
    </row>
    <row r="3870" spans="2:4">
      <c r="B3870">
        <v>54</v>
      </c>
      <c r="C3870" s="1">
        <f>hyperlink("https://hetutrechtsarchief.nl/collectie/CFF2DE2553DB5DA5A96BDE7B2036A1FA","Het zandpad tussen Utrecht en Breukelen 17e eeuwse ordonnanties M A Dukes-Greup 47-54 1987")</f>
        <v>0</v>
      </c>
      <c r="D3870" s="1">
        <f>hyperlink("http://dspace.library.uu.nl/handle/1874/259062","Het ontroerde Nederland een oorlogsverslag uit 1679 M A Dukes-Greup 1979")</f>
        <v>0</v>
      </c>
    </row>
    <row r="3871" spans="2:4">
      <c r="B3871">
        <v>60</v>
      </c>
      <c r="C3871" s="1">
        <f>hyperlink("https://hetutrechtsarchief.nl/collectie/C0FD2739C64B53CC8B96CC78733C2841","De oude geografie en de ontginning van de Vechtstreek G J Borger 105-108 krt 1991")</f>
        <v>0</v>
      </c>
      <c r="D3871" s="1">
        <f>hyperlink("http://dspace.library.uu.nl/handle/1874/259063","Sporen van prehistorie en bewoning in de Vechtstreek R de Zwarte 1979")</f>
        <v>0</v>
      </c>
    </row>
    <row r="3872" spans="2:4">
      <c r="B3872">
        <v>68</v>
      </c>
      <c r="C3872" s="1">
        <f>hyperlink("https://hetutrechtsarchief.nl/collectie/68156BA414DF5494811B1AF3339822F2","Monumentenzorg in Utrecht 1989")</f>
        <v>0</v>
      </c>
      <c r="D3872" s="1">
        <f>hyperlink("http://dspace.library.uu.nl/handle/1874/259064","Monumentenzorg in de Vechtstreek R Apell 1978-1980")</f>
        <v>0</v>
      </c>
    </row>
    <row r="3873" spans="2:4">
      <c r="B3873">
        <v>51</v>
      </c>
      <c r="C3873" s="1">
        <f>hyperlink("https://hetutrechtsarchief.nl/collectie/D50A6B5C93DA5F8A9987AEDA3325C1C5","De Buurkerk te Utrecht en hare bouwgeschiedenis E J Haslinghuis 122-148 ill 1926")</f>
        <v>0</v>
      </c>
      <c r="D3873" s="1">
        <f>hyperlink("http://dspace.library.uu.nl/handle/1874/259065","Den vrolyke tuchtheer een Abcouder raadsel A J Hanou 1976")</f>
        <v>0</v>
      </c>
    </row>
    <row r="3874" spans="2:4">
      <c r="B3874">
        <v>63</v>
      </c>
      <c r="C3874" s="1">
        <f>hyperlink("https://hetutrechtsarchief.nl/collectie/4A019F450F4A5D988ED8F12BD390FF3B","De restauratie van de Domkerk T van Hoogevest 1-15 ill 1987")</f>
        <v>0</v>
      </c>
      <c r="D3874" s="1">
        <f>hyperlink("http://dspace.library.uu.nl/handle/1874/259066","Restauraties aan de kerk van Breukelen F J ter Beek 1977")</f>
        <v>0</v>
      </c>
    </row>
    <row r="3875" spans="2:4">
      <c r="B3875">
        <v>58</v>
      </c>
      <c r="C3875" s="1">
        <f>hyperlink("https://hetutrechtsarchief.nl/collectie/024BC3DB31065234AB2AA049A88E8F8C","Het consistorie van den officiaal - B 34-35 1927")</f>
        <v>0</v>
      </c>
      <c r="D3875" s="1">
        <f>hyperlink("http://dspace.library.uu.nl/handle/1874/259068","Het inrijhek van Vreedenhoff A J A M Lisman 1977")</f>
        <v>0</v>
      </c>
    </row>
    <row r="3876" spans="2:4">
      <c r="B3876">
        <v>53</v>
      </c>
      <c r="C3876" s="1">
        <f>hyperlink("https://hetutrechtsarchief.nl/collectie/86CF25209B0551B58CEC3EEAB4680B63","Aan de werkgroep neogotiek 57 1972")</f>
        <v>0</v>
      </c>
      <c r="D3876" s="1">
        <f>hyperlink("http://dspace.library.uu.nl/handle/1874/259069","Niftarlake kroniek 1977")</f>
        <v>0</v>
      </c>
    </row>
    <row r="3877" spans="2:4">
      <c r="B3877">
        <v>54</v>
      </c>
      <c r="C3877" s="1">
        <f>hyperlink("https://hetutrechtsarchief.nl/collectie/4377E99359F55800993681C942C58A05","Recre ren tussen Utrecht Muiden A J A M Lisman 63-69 ill 1986")</f>
        <v>0</v>
      </c>
      <c r="D3877" s="1">
        <f>hyperlink("http://dspace.library.uu.nl/handle/1874/259070","Vreedenhoff s gastenboek 1880-1905 A J A M Lisman 1978")</f>
        <v>0</v>
      </c>
    </row>
    <row r="3878" spans="2:4">
      <c r="B3878">
        <v>58</v>
      </c>
      <c r="C3878" s="1">
        <f>hyperlink("https://hetutrechtsarchief.nl/collectie/6FECE1A802525C0E94AD51606C5BF2CA","De Uithof een verdwenen buitenplaats te Harmelen J F van Rooijen 69-75 2001")</f>
        <v>0</v>
      </c>
      <c r="D3878" s="1">
        <f>hyperlink("http://dspace.library.uu.nl/handle/1874/259071","18de eeuwse inventaris van een verdwenen buitenplaats Ouderhoek H H Pijzel-Dommisse 1978")</f>
        <v>0</v>
      </c>
    </row>
    <row r="3879" spans="2:4">
      <c r="B3879">
        <v>56</v>
      </c>
      <c r="C3879" s="1">
        <f>hyperlink("https://hetutrechtsarchief.nl/collectie/C0B18C51FBF5547B9FC44A8DE634D221","Gerrit Zegelaar een 18e-eeuwse kunstschilder uit Loenen a d Vecht E Munnig Schmidt 62-83 2002")</f>
        <v>0</v>
      </c>
      <c r="D3879" s="1">
        <f>hyperlink("http://dspace.library.uu.nl/handle/1874/259072","Tuingereedschap en tuinmeubilair op een 18e eeuwse buitenplaats E Munnig Schmidt 1979")</f>
        <v>0</v>
      </c>
    </row>
    <row r="3880" spans="2:4">
      <c r="B3880">
        <v>53</v>
      </c>
      <c r="C3880" s="1">
        <f>hyperlink("https://hetutrechtsarchief.nl/collectie/1AF7B8D8117A5780860D087FF3231168","Het verleden van onze steden mogelijkheden tot beheer en behoud stedelijke archeologie H L de Groot 102 -107 ill 1998")</f>
        <v>0</v>
      </c>
      <c r="D3880" s="1">
        <f>hyperlink("http://dspace.library.uu.nl/handle/1874/259073","Het veengebied van Maarssenbroek enige bijzonderheden over de bewoning op basis van archeologische vondsten Th G van Dijk 1977")</f>
        <v>0</v>
      </c>
    </row>
    <row r="3881" spans="2:4">
      <c r="B3881">
        <v>61</v>
      </c>
      <c r="C3881" s="1">
        <f>hyperlink("https://hetutrechtsarchief.nl/collectie/E24033325AB25065A35FE5EC56EA66C4","De gemeentelijke indeling door de eeuwen heen Henk Jan Derksen 18-32 2007")</f>
        <v>0</v>
      </c>
      <c r="D3881" s="1">
        <f>hyperlink("http://dspace.library.uu.nl/handle/1874/259074","De Heerenhofstede Rupelmonde door de eeuwen heen J H Stefels 1978")</f>
        <v>0</v>
      </c>
    </row>
    <row r="3882" spans="2:4">
      <c r="B3882">
        <v>64</v>
      </c>
      <c r="C3882" s="1">
        <f>hyperlink("https://hetutrechtsarchief.nl/collectie/D415FE8D1BCF5EEBAF704BE922693432","Een stukje geschiedenis van het station Nieuwersluis H J Doude van Troostwijk 66-72 ill 1997")</f>
        <v>0</v>
      </c>
      <c r="D3882" s="1">
        <f>hyperlink("http://dspace.library.uu.nl/handle/1874/259075","Sterreschans geschiedenis van bouwwerken en terreinen L W Doude van Troostwijk 1979")</f>
        <v>0</v>
      </c>
    </row>
    <row r="3883" spans="2:4">
      <c r="B3883">
        <v>55</v>
      </c>
      <c r="C3883" s="1">
        <f>hyperlink("https://hetutrechtsarchief.nl/collectie/5B6EE0B76ED05E6D9657F96C0125257A","De kerk van Oud-Zuilen F Schoonheim 102 ill 1977")</f>
        <v>0</v>
      </c>
      <c r="D3883" s="1">
        <f>hyperlink("http://dspace.library.uu.nl/handle/1874/259076","Belle terug op Zuylen Simone Dubois 1977")</f>
        <v>0</v>
      </c>
    </row>
    <row r="3884" spans="2:4">
      <c r="B3884">
        <v>59</v>
      </c>
      <c r="C3884" s="1">
        <f>hyperlink("https://hetutrechtsarchief.nl/collectie/A6ADA426E41D5A3DA3D4A5E8C0C2ED5B","Hervormde kerk te Benschop gerestaureerd J G M Boon 134-135 1959")</f>
        <v>0</v>
      </c>
      <c r="D3884" s="1">
        <f>hyperlink("http://dspace.library.uu.nl/handle/1874/259149","De Hervormde Kerk te Breukelen F J ter Beek 1985")</f>
        <v>0</v>
      </c>
    </row>
    <row r="3885" spans="2:4">
      <c r="B3885">
        <v>97</v>
      </c>
      <c r="C3885" s="1">
        <f>hyperlink("https://hetutrechtsarchief.nl/collectie/4E05BFA12FCF5DA49D777E7B83DB39F5","Modderen in de Vecht en toemaak van het land J Daams 25-30 ill 1986")</f>
        <v>0</v>
      </c>
      <c r="D3885" s="1">
        <f>hyperlink("http://dspace.library.uu.nl/handle/1874/259150","Modderen in de Vecht en toemaak van het land J Daams 25-30 1986")</f>
        <v>0</v>
      </c>
    </row>
    <row r="3886" spans="2:4">
      <c r="B3886">
        <v>100</v>
      </c>
      <c r="C3886" s="1">
        <f>hyperlink("https://hetutrechtsarchief.nl/collectie/BB2E0F5831295E1A8F1370FCC17F3D8E","Het verveningsbedrijf in de Vechtstreek J Daams 31-37 1986")</f>
        <v>0</v>
      </c>
      <c r="D3886" s="1">
        <f>hyperlink("http://dspace.library.uu.nl/handle/1874/259151","Het verveningsbedrijf in de Vechtstreek J Daams 31-37 1986")</f>
        <v>0</v>
      </c>
    </row>
    <row r="3887" spans="2:4">
      <c r="B3887">
        <v>95</v>
      </c>
      <c r="C3887" s="1">
        <f>hyperlink("https://hetutrechtsarchief.nl/collectie/6E23F7FB1F9A5024A42B390308CE47A6","Verkeerswegen over en langs de Vecht A van Hulzen 97-103 ill 1986")</f>
        <v>0</v>
      </c>
      <c r="D3887" s="1">
        <f>hyperlink("http://dspace.library.uu.nl/handle/1874/259152","Verkeerswegen over en langs de Vecht A van Hulzen 96-103 1986")</f>
        <v>0</v>
      </c>
    </row>
    <row r="3888" spans="2:4">
      <c r="B3888">
        <v>61</v>
      </c>
      <c r="C3888" s="1">
        <f>hyperlink("https://hetutrechtsarchief.nl/collectie/979CADC1E4CFDCF8E0534701000A6613","Driehonderd jaar De Zegepraalende Vecht Wally Smits 125-129 2019")</f>
        <v>0</v>
      </c>
      <c r="D3888" s="1">
        <f>hyperlink("http://dspace.library.uu.nl/handle/1874/259153","Het 18de eeuwse plaatwerk De Zegepralende Vecht A J A M Lisman 71-79 1986")</f>
        <v>0</v>
      </c>
    </row>
    <row r="3889" spans="2:4">
      <c r="B3889">
        <v>93</v>
      </c>
      <c r="C3889" s="1">
        <f>hyperlink("https://hetutrechtsarchief.nl/collectie/4377E99359F55800993681C942C58A05","Recre ren tussen Utrecht Muiden A J A M Lisman 63-69 ill 1986")</f>
        <v>0</v>
      </c>
      <c r="D3889" s="1">
        <f>hyperlink("http://dspace.library.uu.nl/handle/1874/259154","Recre ren tussen Utrecht Muiden A J A M Lisman 63-70 1986")</f>
        <v>0</v>
      </c>
    </row>
    <row r="3890" spans="2:4">
      <c r="B3890">
        <v>57</v>
      </c>
      <c r="C3890" s="1">
        <f>hyperlink("https://hetutrechtsarchief.nl/collectie/7EBCB2FCF4915A718051B1A5D45084F9","De middelnederlandse mystieke literatuur en de Moderne Devotie Guido de Baere 3-18 ill 1997")</f>
        <v>0</v>
      </c>
      <c r="D3890" s="1">
        <f>hyperlink("http://dspace.library.uu.nl/handle/1874/259155","De Vecht in de Nederlandse literatuur een keuze uit po zie en proza Gertrude Recter 86-95 1986")</f>
        <v>0</v>
      </c>
    </row>
    <row r="3891" spans="2:4">
      <c r="B3891">
        <v>60</v>
      </c>
      <c r="C3891" s="1">
        <f>hyperlink("https://hetutrechtsarchief.nl/collectie/E2FEE9C84C8E5395948A1A6EC4BD49FD","1 4 doosjes met afbeeldingen van Zeister buitenplaatsen JanHein Heimel 52-53 2012")</f>
        <v>0</v>
      </c>
      <c r="D3891" s="1">
        <f>hyperlink("http://dspace.library.uu.nl/handle/1874/259156","Bokaal met afbeelding van de buitenplaats Over-Holland H H Pijzel-Dommisse 80-85 1986")</f>
        <v>0</v>
      </c>
    </row>
    <row r="3892" spans="2:4">
      <c r="B3892">
        <v>58</v>
      </c>
      <c r="C3892" s="1">
        <f>hyperlink("https://hetutrechtsarchief.nl/collectie/4377E99359F55800993681C942C58A05","Recre ren tussen Utrecht Muiden A J A M Lisman 63-69 ill 1986")</f>
        <v>0</v>
      </c>
      <c r="D3892" s="1">
        <f>hyperlink("http://dspace.library.uu.nl/handle/1874/259157","Veertig miljoen arbeidsters aan de Vecht A J A M Lisman 55-62 1986")</f>
        <v>0</v>
      </c>
    </row>
    <row r="3893" spans="2:4">
      <c r="B3893">
        <v>58</v>
      </c>
      <c r="C3893" s="1">
        <f>hyperlink("https://hetutrechtsarchief.nl/collectie/44ABA814A40D58BCA57CBA3380B3A54F","De keuze Loosdrechts porselein Conny G Bogaard 69 ill 1996")</f>
        <v>0</v>
      </c>
      <c r="D3893" s="1">
        <f>hyperlink("http://dspace.library.uu.nl/handle/1874/259158","Loosdrechts porselein H M A Breukink-Peeze 47-54 1986")</f>
        <v>0</v>
      </c>
    </row>
    <row r="3894" spans="2:4">
      <c r="B3894">
        <v>57</v>
      </c>
      <c r="C3894" s="1">
        <f>hyperlink("https://hetutrechtsarchief.nl/collectie/58A3038C4FA4594CA00A273A2C01F660","Watermolens aan de Vecht bij Utrecht J H van den Hoek Ostende 1-12 ill 1964")</f>
        <v>0</v>
      </c>
      <c r="D3894" s="1">
        <f>hyperlink("http://dspace.library.uu.nl/handle/1874/259159","Molens langs de Vecht Gein Angstel en Winkel en in het Oostelijk en Westelijk Plassengebied J H van den Hoek Ostende 120-134 1986")</f>
        <v>0</v>
      </c>
    </row>
    <row r="3895" spans="2:4">
      <c r="B3895">
        <v>97</v>
      </c>
      <c r="C3895" s="1">
        <f>hyperlink("https://hetutrechtsarchief.nl/collectie/F7EABA49F4BA54C18C5AC4E7C5C9B932","Steen- en Pannenbakkerijen langs de Vecht F H Landzaat 13-24 ill 1986")</f>
        <v>0</v>
      </c>
      <c r="D3895" s="1">
        <f>hyperlink("http://dspace.library.uu.nl/handle/1874/259160","Steen- en pannenbakkerijen langs de Vecht F H Landzaat 13-24 1986")</f>
        <v>0</v>
      </c>
    </row>
    <row r="3896" spans="2:4">
      <c r="B3896">
        <v>95</v>
      </c>
      <c r="C3896" s="1">
        <f>hyperlink("https://hetutrechtsarchief.nl/collectie/F86AD82DE0E4552E906BAABC630172AF","Utrechtse pijpenmakerijen langs de Vecht P K Smiesing 9-12 ill 1986")</f>
        <v>0</v>
      </c>
      <c r="D3896" s="1">
        <f>hyperlink("http://dspace.library.uu.nl/handle/1874/259161","Utrechtse pijpenmakerijen langs de Vecht P K Smiessing 8-12 1986")</f>
        <v>0</v>
      </c>
    </row>
    <row r="3897" spans="2:4">
      <c r="B3897">
        <v>53</v>
      </c>
      <c r="C3897" s="1">
        <f>hyperlink("https://hetutrechtsarchief.nl/collectie/D75A1D4A9B655F37A649CC7EED2CDCDD","Gemeentevoorlichting Utrecht geven van informatie is hele klus 14-15 1985")</f>
        <v>0</v>
      </c>
      <c r="D3897" s="1">
        <f>hyperlink("http://dspace.library.uu.nl/handle/1874/259162","Stichting en gedaanteverwisselingen van Fort Nieuwersluis J Belonje 42-46 1987")</f>
        <v>0</v>
      </c>
    </row>
    <row r="3898" spans="2:4">
      <c r="B3898">
        <v>100</v>
      </c>
      <c r="C3898" s="1">
        <f>hyperlink("https://hetutrechtsarchief.nl/collectie/CFF2DE2553DB5DA5A96BDE7B2036A1FA","Het zandpad tussen Utrecht en Breukelen 17e eeuwse ordonnanties M A Dukes-Greup 47-54 1987")</f>
        <v>0</v>
      </c>
      <c r="D3898" s="1">
        <f>hyperlink("http://dspace.library.uu.nl/handle/1874/259163","Het zandpad tussen Utrecht en Breukelen 17e eeuwse ordonnanties M A Dukes-Greup 47-54 1987")</f>
        <v>0</v>
      </c>
    </row>
    <row r="3899" spans="2:4">
      <c r="B3899">
        <v>57</v>
      </c>
      <c r="C3899" s="1">
        <f>hyperlink("https://hetutrechtsarchief.nl/collectie/14B4056FA4FD56E59886F277DB0FEE59","Gezondheidszorg in Soest in de periode 1880-1910 Ton Hartman 30-37 2014")</f>
        <v>0</v>
      </c>
      <c r="D3899" s="1">
        <f>hyperlink("http://dspace.library.uu.nl/handle/1874/259164","De gezondheidstoestand in de Vechtstreek rond 1900 R Wartena S Wartena 28-36 1987")</f>
        <v>0</v>
      </c>
    </row>
    <row r="3900" spans="2:4">
      <c r="B3900">
        <v>95</v>
      </c>
      <c r="C3900" s="1">
        <f>hyperlink("https://hetutrechtsarchief.nl/collectie/0CE853DFD0B25817AF7A493BFD430701","Rakende het modderen in de Vecht M A Dukes-Greup 60-62 1983")</f>
        <v>0</v>
      </c>
      <c r="D3900" s="1">
        <f>hyperlink("http://dspace.library.uu.nl/handle/1874/259165","Rakende het modderen in de Vecht M A Dukes-Greup 1983")</f>
        <v>0</v>
      </c>
    </row>
    <row r="3901" spans="2:4">
      <c r="B3901">
        <v>54</v>
      </c>
      <c r="C3901" s="1">
        <f>hyperlink("https://hetutrechtsarchief.nl/collectie/5EBCBFC2AF62519EBEDE556DC2E02BE9","De hoofdpoort van de ridderhofstad Gunterstein te Breukelen H J van Es 6-20 2008")</f>
        <v>0</v>
      </c>
      <c r="D3901" s="1">
        <f>hyperlink("http://dspace.library.uu.nl/handle/1874/259166","De verbouwing van de ridderhofstad Loenersloot tot 18e eeuws landhuis E Velzen P W M van Munnig Schmidt 1985")</f>
        <v>0</v>
      </c>
    </row>
    <row r="3902" spans="2:4">
      <c r="B3902">
        <v>57</v>
      </c>
      <c r="C3902" s="1">
        <f>hyperlink("https://hetutrechtsarchief.nl/collectie/6D9C2F91D9E15EB7AABA03B0807E2656","Een waarschijnlijk uitgestorven geslacht Van Hengel A B van Hengel 205-212 1943")</f>
        <v>0</v>
      </c>
      <c r="D3902" s="1">
        <f>hyperlink("http://dspace.library.uu.nl/handle/1874/259167","Loenen mogelijke bakermat van het golfspel S J H van Hengel 104-110 1986")</f>
        <v>0</v>
      </c>
    </row>
    <row r="3903" spans="2:4">
      <c r="B3903">
        <v>54</v>
      </c>
      <c r="C3903" s="1">
        <f>hyperlink("https://hetutrechtsarchief.nl/collectie/E135D72FF11C51E988CA6B723FA2DFE6","Jacob Storck 1641-ca 1693 kunstschilder en de Vecht E Munnig Schmidt 23-36 2005")</f>
        <v>0</v>
      </c>
      <c r="D3903" s="1">
        <f>hyperlink("http://dspace.library.uu.nl/handle/1874/259168","Nicolaas Bastert 1854-1930 kunstschilder A J A M Lisman 25-27 1987")</f>
        <v>0</v>
      </c>
    </row>
    <row r="3904" spans="2:4">
      <c r="B3904">
        <v>97</v>
      </c>
      <c r="C3904" s="1">
        <f>hyperlink("https://hetutrechtsarchief.nl/collectie/5D59F242995A50DEAEF9C1ABD0E3410C","Het geslacht Van Zuylen W N A van Tuyll van Serooskerken 38-41 ill 1987")</f>
        <v>0</v>
      </c>
      <c r="D3904" s="1">
        <f>hyperlink("http://dspace.library.uu.nl/handle/1874/259169","Het geslacht Van Zuylen W N A van Tuyll van Serooskerken 38-41 1987")</f>
        <v>0</v>
      </c>
    </row>
    <row r="3905" spans="2:4">
      <c r="B3905">
        <v>54</v>
      </c>
      <c r="C3905" s="1">
        <f>hyperlink("https://hetutrechtsarchief.nl/collectie/4377E99359F55800993681C942C58A05","Recre ren tussen Utrecht Muiden A J A M Lisman 63-69 ill 1986")</f>
        <v>0</v>
      </c>
      <c r="D3905" s="1">
        <f>hyperlink("http://dspace.library.uu.nl/handle/1874/259170","Fabriek Cromwijck wordt weer huis Cromwijck A J A M Lisman 55-58 1987")</f>
        <v>0</v>
      </c>
    </row>
    <row r="3906" spans="2:4">
      <c r="B3906">
        <v>51</v>
      </c>
      <c r="C3906" s="1">
        <f>hyperlink("https://hetutrechtsarchief.nl/collectie/2E329D50459350DBB0AA48ACEE84F066","Utrechtse Dom tragische zaak Joh H Stolk 75 1972")</f>
        <v>0</v>
      </c>
      <c r="D3906" s="1">
        <f>hyperlink("http://dspace.library.uu.nl/handle/1874/259171","Vechtstroom Jacob Molenkamp 37 1987")</f>
        <v>0</v>
      </c>
    </row>
    <row r="3907" spans="2:4">
      <c r="B3907">
        <v>69</v>
      </c>
      <c r="C3907" s="1">
        <f>hyperlink("https://hetutrechtsarchief.nl/collectie/5D81E79A93A95C4E9032308A91AD6686","De bacchante van Boom en Bosch E Munnig Schmidt 66-69 2012")</f>
        <v>0</v>
      </c>
      <c r="D3907" s="1">
        <f>hyperlink("http://dspace.library.uu.nl/handle/1874/259172","Boom en Bosch E Munnig Schmidt 1985")</f>
        <v>0</v>
      </c>
    </row>
    <row r="3908" spans="2:4">
      <c r="B3908">
        <v>56</v>
      </c>
      <c r="C3908" s="1">
        <f>hyperlink("https://hetutrechtsarchief.nl/collectie/F780BE1BDFAE5641B784AABE34A87712","Feestrede uitgesproken door den Praeses van Olympia den Heer H B verLoren van Themaat ter gelegenheid van het 65-jarig bestaan op 12 Dec 1905 1-2 1905")</f>
        <v>0</v>
      </c>
      <c r="D3908" s="1">
        <f>hyperlink("http://dspace.library.uu.nl/handle/1874/259173","Een bloemlezing uit de Jaar- en Excursieverslagen van de eerste 35 jaren ter gelegenheid van het 70-jarig bestaan van Niftarlake A J A M Lisman 1982")</f>
        <v>0</v>
      </c>
    </row>
    <row r="3909" spans="2:4">
      <c r="B3909">
        <v>58</v>
      </c>
      <c r="C3909" s="1">
        <f>hyperlink("https://hetutrechtsarchief.nl/collectie/C7A137B7A805550A86BF3968CF79B2FC","Toezicht op de zedelijkheid A J van der Weijde 77-79 1926")</f>
        <v>0</v>
      </c>
      <c r="D3909" s="1">
        <f>hyperlink("http://dspace.library.uu.nl/handle/1874/259174","Een gezicht op de Oostelijke Vechtoever uit de 17e eeuw 1982")</f>
        <v>0</v>
      </c>
    </row>
    <row r="3910" spans="2:4">
      <c r="B3910">
        <v>66</v>
      </c>
      <c r="C3910" s="1">
        <f>hyperlink("https://hetutrechtsarchief.nl/collectie/58A3038C4FA4594CA00A273A2C01F660","Watermolens aan de Vecht bij Utrecht J H van den Hoek Ostende 1-12 ill 1964")</f>
        <v>0</v>
      </c>
      <c r="D3910" s="1">
        <f>hyperlink("http://dspace.library.uu.nl/handle/1874/259175","Jacob Olie als fotograaf van de Vechtstreek J H van den Hoek Ostende 1982")</f>
        <v>0</v>
      </c>
    </row>
    <row r="3911" spans="2:4">
      <c r="B3911">
        <v>55</v>
      </c>
      <c r="C3911" s="1">
        <f>hyperlink("https://hetutrechtsarchief.nl/collectie/174D34B93417543AB44F5082E81BCD52","De geschiedenis van deken Roes 10 - 11 1982")</f>
        <v>0</v>
      </c>
      <c r="D3911" s="1">
        <f>hyperlink("http://dspace.library.uu.nl/handle/1874/259176","De schrijfkunst van drie generaties Grevenstuk D G Carasso 1981")</f>
        <v>0</v>
      </c>
    </row>
    <row r="3912" spans="2:4">
      <c r="B3912">
        <v>61</v>
      </c>
      <c r="C3912" s="1">
        <f>hyperlink("https://hetutrechtsarchief.nl/collectie/1128FB1E13B15EB285C61E8321C1AD4B","Jhr W H de Beaufort N J C M Kappeyne van de Coppello 13 Personalia portr 1949")</f>
        <v>0</v>
      </c>
      <c r="D3912" s="1">
        <f>hyperlink("http://dspace.library.uu.nl/handle/1874/259177","De inbraak in Nijenrode N J C M Kappeyne van de Coppello 1982")</f>
        <v>0</v>
      </c>
    </row>
    <row r="3913" spans="2:4">
      <c r="B3913">
        <v>64</v>
      </c>
      <c r="C3913" s="1">
        <f>hyperlink("https://hetutrechtsarchief.nl/collectie/5042EC5273BC57E8BBB3DA81F7675E9D","Vegtvliet te Breukelen v r en na de renovatie van ca 1750 R Plomp 193-200 2006")</f>
        <v>0</v>
      </c>
      <c r="D3913" s="1">
        <f>hyperlink("http://dspace.library.uu.nl/handle/1874/259178","Vegtvliet te Breukelen als zomerverblijf 1665-1854 R Plomp 1983")</f>
        <v>0</v>
      </c>
    </row>
    <row r="3914" spans="2:4">
      <c r="B3914">
        <v>70</v>
      </c>
      <c r="C3914" s="1">
        <f>hyperlink("https://hetutrechtsarchief.nl/collectie/78CCC507ADF45CC3AD1D6E9740711359","De buitenplaats Roserust te Loenen E Munnig Schmidt 43-61 2002")</f>
        <v>0</v>
      </c>
      <c r="D3914" s="1">
        <f>hyperlink("http://dspace.library.uu.nl/handle/1874/259179","Het Huis Kerkzigt te Loenen E Munnig Schmidt 1980")</f>
        <v>0</v>
      </c>
    </row>
    <row r="3915" spans="2:4">
      <c r="B3915">
        <v>57</v>
      </c>
      <c r="C3915" s="1">
        <f>hyperlink("https://hetutrechtsarchief.nl/collectie/CE121A83727850CE8382D1CBDB6BA46D","Meer licht op P J Lutgers kunstschilder te Loenen E Munnig Schmidt 146-149 2004")</f>
        <v>0</v>
      </c>
      <c r="D3915" s="1">
        <f>hyperlink("http://dspace.library.uu.nl/handle/1874/259180","P J Lutgers een Loenense tekenaar aquarellist en schilder E Munnig Schmidt 1982")</f>
        <v>0</v>
      </c>
    </row>
    <row r="3916" spans="2:4">
      <c r="B3916">
        <v>55</v>
      </c>
      <c r="C3916" s="1">
        <f>hyperlink("https://hetutrechtsarchief.nl/collectie/A9E272E54A4B5248A8A711E65A87044E","Schilderkunst in Utrechts Overkwartier in de zeventiende eeuw Marten Jan Bok 1-24 ill 1993")</f>
        <v>0</v>
      </c>
      <c r="D3916" s="1">
        <f>hyperlink("http://dspace.library.uu.nl/handle/1874/259181","Hoogerlust in de achttiende en negentiende eeuw buitenverblijf en kostschool J W Gunning 1984")</f>
        <v>0</v>
      </c>
    </row>
    <row r="3917" spans="2:4">
      <c r="B3917">
        <v>59</v>
      </c>
      <c r="C3917" s="1">
        <f>hyperlink("https://hetutrechtsarchief.nl/collectie/55B4B7F621085159A785B07856C0881A","Willem van Oranje 1-104 ill 1984")</f>
        <v>0</v>
      </c>
      <c r="D3917" s="1">
        <f>hyperlink("http://dspace.library.uu.nl/handle/1874/259182","Willem van Leusden Y Visser 1980")</f>
        <v>0</v>
      </c>
    </row>
    <row r="3918" spans="2:4">
      <c r="B3918">
        <v>57</v>
      </c>
      <c r="C3918" s="1">
        <f>hyperlink("https://hetutrechtsarchief.nl/collectie/A216AF3C83325E4D82B001467E63434D","Onbekende buitenplaats te Loenersloot J Belonje 61-62 1971")</f>
        <v>0</v>
      </c>
      <c r="D3918" s="1">
        <f>hyperlink("http://dspace.library.uu.nl/handle/1874/259183","Het buitenplaatsje Kattenburg of Ruymzicht onder Maarssen J Belonje 1981")</f>
        <v>0</v>
      </c>
    </row>
    <row r="3919" spans="2:4">
      <c r="B3919">
        <v>61</v>
      </c>
      <c r="C3919" s="1">
        <f>hyperlink("https://hetutrechtsarchief.nl/collectie/32467B33F99350EA8447EE83A37FA285","Oostervecht en de glasfabriek van Van der Mersch E Munnig Schmidt 125-144 2004")</f>
        <v>0</v>
      </c>
      <c r="D3919" s="1">
        <f>hyperlink("http://dspace.library.uu.nl/handle/1874/259184","Twee onbekende afbeeldingen van Vijverhof E Munnig Schmidt 1982")</f>
        <v>0</v>
      </c>
    </row>
    <row r="3920" spans="2:4">
      <c r="B3920">
        <v>54</v>
      </c>
      <c r="C3920" s="1">
        <f>hyperlink("https://hetutrechtsarchief.nl/collectie/D3AC86763AE850F480B4FD7F038001A1","Het verhaal van een pension de Nieuwe Kamp 3-4 1986")</f>
        <v>0</v>
      </c>
      <c r="D3920" s="1">
        <f>hyperlink("http://dspace.library.uu.nl/handle/1874/259185","De zonnewijzers aan hotel De Kampioen te Nieuwersluis M J Hagen 1983")</f>
        <v>0</v>
      </c>
    </row>
    <row r="3921" spans="2:4">
      <c r="B3921">
        <v>53</v>
      </c>
      <c r="C3921" s="1">
        <f>hyperlink("https://hetutrechtsarchief.nl/collectie/8A575860B9DA53769BD98BFF460A1BF7","Achttienhoven Westbroek Maarsseveen Tienhoven 9-43 Mengelwerk ill 1958")</f>
        <v>0</v>
      </c>
      <c r="D3921" s="1">
        <f>hyperlink("http://dspace.library.uu.nl/handle/1874/259186","Antoni Waterlo f ecit in Maarsseveen Ben P J Broos 1984")</f>
        <v>0</v>
      </c>
    </row>
    <row r="3922" spans="2:4">
      <c r="B3922">
        <v>64</v>
      </c>
      <c r="C3922" s="1">
        <f>hyperlink("https://hetutrechtsarchief.nl/collectie/D0BBDC4867FD5EB1B4142A38FA1C0062","Het stuijversgeld van de Nederlandse Hervormde Kerk te Soest E Heupers 105-111 1958")</f>
        <v>0</v>
      </c>
      <c r="D3922" s="1">
        <f>hyperlink("http://dspace.library.uu.nl/handle/1874/259187","De oude luidklok in de toren van de Nederlandse Hervormde Kerk te Wilnis Utr C Verwoerd 1982")</f>
        <v>0</v>
      </c>
    </row>
    <row r="3923" spans="2:4">
      <c r="B3923">
        <v>67</v>
      </c>
      <c r="C3923" s="1">
        <f>hyperlink("https://hetutrechtsarchief.nl/collectie/E534FB8CD57E5D62B8A86D290CE4AF71","De kaart van Utrecht in het jaar 690 Y M Donkersloot-de Vrij 105-107 ill 1990")</f>
        <v>0</v>
      </c>
      <c r="D3923" s="1">
        <f>hyperlink("http://dspace.library.uu.nl/handle/1874/259188","Een kaart van de Vechtstreek uit 1914 Y M Donkersloot-de Vrij 1985")</f>
        <v>0</v>
      </c>
    </row>
    <row r="3924" spans="2:4">
      <c r="B3924">
        <v>59</v>
      </c>
      <c r="C3924" s="1">
        <f>hyperlink("https://hetutrechtsarchief.nl/collectie/6641560B81AAF2EEE0534701000AE39F","Verdwenen buitenplaatsen langs de Vecht de Angstel en het Gein E Munnig Schmidt 22-43 2017")</f>
        <v>0</v>
      </c>
      <c r="D3924" s="1">
        <f>hyperlink("http://dspace.library.uu.nl/handle/1874/259378","Heerenhuyzingen en boerenhofstedes aan de Angstel 1816-1820 E Munnig Schmidt 24-46 1988")</f>
        <v>0</v>
      </c>
    </row>
    <row r="3925" spans="2:4">
      <c r="B3925">
        <v>56</v>
      </c>
      <c r="C3925" s="1">
        <f>hyperlink("https://hetutrechtsarchief.nl/collectie/C0B18C51FBF5547B9FC44A8DE634D221","Gerrit Zegelaar een 18e-eeuwse kunstschilder uit Loenen a d Vecht E Munnig Schmidt 62-83 2002")</f>
        <v>0</v>
      </c>
      <c r="D3925" s="1">
        <f>hyperlink("http://dspace.library.uu.nl/handle/1874/259379","J J Cremer 19e eeuws schrijver en Loenen aan de Vecht A J A M Lisman 47-52 1988")</f>
        <v>0</v>
      </c>
    </row>
    <row r="3926" spans="2:4">
      <c r="B3926">
        <v>67</v>
      </c>
      <c r="C3926" s="1">
        <f>hyperlink("https://hetutrechtsarchief.nl/collectie/55420415F3BF5838A935D2155F24C6F1","Reizen in de Vechtstreek 63-65 1954")</f>
        <v>0</v>
      </c>
      <c r="D3926" s="1">
        <f>hyperlink("http://dspace.library.uu.nl/handle/1874/259380","Dialecten in de Vechtstreek T van Veen 53-55 1988")</f>
        <v>0</v>
      </c>
    </row>
    <row r="3927" spans="2:4">
      <c r="B3927">
        <v>62</v>
      </c>
      <c r="C3927" s="1">
        <f>hyperlink("https://hetutrechtsarchief.nl/collectie/5CD377A592D65235B41B22941A17F230","Toegangshekken in de Vechtstreek A J A M Lisman 21-70 ill 1994")</f>
        <v>0</v>
      </c>
      <c r="D3927" s="1">
        <f>hyperlink("http://dspace.library.uu.nl/handle/1874/259381","Drie zeldzame litho s uit de Vechtstreek A J A M Lisman 56-59 1988")</f>
        <v>0</v>
      </c>
    </row>
    <row r="3928" spans="2:4">
      <c r="B3928">
        <v>62</v>
      </c>
      <c r="C3928" s="1">
        <f>hyperlink("https://hetutrechtsarchief.nl/collectie/01F118E379D45ABE8151DBA4EC2E2302","Verdwenen buitenplaatsen - K 89-90 1935")</f>
        <v>0</v>
      </c>
      <c r="D3928" s="1">
        <f>hyperlink("http://dspace.library.uu.nl/handle/1874/259545","Verdwenen buitenplaatsen in Vreeland De Nes J Boerstra 23-37 1989")</f>
        <v>0</v>
      </c>
    </row>
    <row r="3929" spans="2:4">
      <c r="B3929">
        <v>68</v>
      </c>
      <c r="C3929" s="1">
        <f>hyperlink("https://hetutrechtsarchief.nl/collectie/A03B7A4FBC0D581AAA30E91B502094A0","Drie verdwenen buitenplaatsen aan de Angstel te Baambrugge de bewoners en hun buren D L H Slebos 49-85 1998")</f>
        <v>0</v>
      </c>
      <c r="D3929" s="1">
        <f>hyperlink("http://dspace.library.uu.nl/handle/1874/259546","Ipenburg een verdwenen buitenplaats aan de westzijde van de Angstel tussen Abcoude en Baambrugge D L H Slebos 42-55 1989")</f>
        <v>0</v>
      </c>
    </row>
    <row r="3930" spans="2:4">
      <c r="B3930">
        <v>98</v>
      </c>
      <c r="C3930" s="1">
        <f>hyperlink("https://hetutrechtsarchief.nl/collectie/AA088FB168015620B4CB5DC436CF9E64","De hofstede Groenevelt te Vreeland E E Brandes-de Lestrieux Hendricks 63-74 1989")</f>
        <v>0</v>
      </c>
      <c r="D3930" s="1">
        <f>hyperlink("http://dspace.library.uu.nl/handle/1874/259547","De hofstede Groenevelt te Vreeland E E Brandes-de Lestrieux Hendrichs 63-73 1989")</f>
        <v>0</v>
      </c>
    </row>
    <row r="3931" spans="2:4">
      <c r="B3931">
        <v>60</v>
      </c>
      <c r="C3931" s="1">
        <f>hyperlink("https://hetutrechtsarchief.nl/collectie/6BC7EFFDFF3551AB99137B27A3AAE554","Elsenburg E Munnig Schmidt 30-37 2001")</f>
        <v>0</v>
      </c>
      <c r="D3931" s="1">
        <f>hyperlink("http://dspace.library.uu.nl/handle/1874/259548","Welgelegen E Boerstra J Munnig Schmidt 1990")</f>
        <v>0</v>
      </c>
    </row>
    <row r="3932" spans="2:4">
      <c r="B3932">
        <v>69</v>
      </c>
      <c r="C3932" s="1">
        <f>hyperlink("https://hetutrechtsarchief.nl/collectie/CE121A83727850CE8382D1CBDB6BA46D","Meer licht op P J Lutgers kunstschilder te Loenen E Munnig Schmidt 146-149 2004")</f>
        <v>0</v>
      </c>
      <c r="D3932" s="1">
        <f>hyperlink("http://dspace.library.uu.nl/handle/1874/259549","Een beeldhouwsters atelier te Loenen E Munnig Schmidt 50-56 1990")</f>
        <v>0</v>
      </c>
    </row>
    <row r="3933" spans="2:4">
      <c r="B3933">
        <v>56</v>
      </c>
      <c r="C3933" s="1">
        <f>hyperlink("https://hetutrechtsarchief.nl/collectie/9DA9F25B759941E9E0534701000A19E0","Een bavelaar uit de Vechtstreek E Munnig Schmidt 115-117 2019")</f>
        <v>0</v>
      </c>
      <c r="D3933" s="1">
        <f>hyperlink("http://dspace.library.uu.nl/handle/1874/259550","Brugzicht te Vreeland J Munnig Schmidt E Boerstra 34-52 1992")</f>
        <v>0</v>
      </c>
    </row>
    <row r="3934" spans="2:4">
      <c r="B3934">
        <v>57</v>
      </c>
      <c r="C3934" s="1">
        <f>hyperlink("https://hetutrechtsarchief.nl/collectie/86D38414736B57048ED8A6D67276EC38","Utrecht s Rijnverbinding in den loop der eeuwen J Vink 89-96 1928")</f>
        <v>0</v>
      </c>
      <c r="D3934" s="1">
        <f>hyperlink("http://dspace.library.uu.nl/handle/1874/259551","Utrechtse reisbeschrijvingen van 1836 en 1837 her-uitgegeven A J A M Lisman 38-41 1989")</f>
        <v>0</v>
      </c>
    </row>
    <row r="3935" spans="2:4">
      <c r="B3935">
        <v>58</v>
      </c>
      <c r="C3935" s="1">
        <f>hyperlink("https://hetutrechtsarchief.nl/collectie/19511D21B284564AA18028FE72F64A17","De Van Logterens in de Vechtstreek E Munnig Schmidt 23-38 2006")</f>
        <v>0</v>
      </c>
      <c r="D3935" s="1">
        <f>hyperlink("http://dspace.library.uu.nl/handle/1874/259552","Een zilveren huwelijkspenning op Nieuwerhoek E Munnig Schmidt 38-48 1991")</f>
        <v>0</v>
      </c>
    </row>
    <row r="3936" spans="2:4">
      <c r="B3936">
        <v>59</v>
      </c>
      <c r="C3936" s="1">
        <f>hyperlink("https://hetutrechtsarchief.nl/collectie/5CD377A592D65235B41B22941A17F230","Toegangshekken in de Vechtstreek A J A M Lisman 21-70 ill 1994")</f>
        <v>0</v>
      </c>
      <c r="D3936" s="1">
        <f>hyperlink("http://dspace.library.uu.nl/handle/1874/259553","Huis Gansenhoef te Maarssen in zilver A J A M Lisman 50-54 1991")</f>
        <v>0</v>
      </c>
    </row>
    <row r="3937" spans="2:4">
      <c r="B3937">
        <v>68</v>
      </c>
      <c r="C3937" s="1">
        <f>hyperlink("https://hetutrechtsarchief.nl/collectie/DB368BAAB42655EAB2B27BD729AEA823","De Zegepraalende Vecht voor buitenlanders E Munnig Schmidt 51-54 1999")</f>
        <v>0</v>
      </c>
      <c r="D3937" s="1">
        <f>hyperlink("http://dspace.library.uu.nl/handle/1874/259554","De Heerenhofstede Bree vecht te Vreeland E Boerstra J Munnig Schmidt 55-68 1991")</f>
        <v>0</v>
      </c>
    </row>
    <row r="3938" spans="2:4">
      <c r="B3938">
        <v>64</v>
      </c>
      <c r="C3938" s="1">
        <f>hyperlink("https://hetutrechtsarchief.nl/collectie/0CE853DFD0B25817AF7A493BFD430701","Rakende het modderen in de Vecht M A Dukes-Greup 60-62 1983")</f>
        <v>0</v>
      </c>
      <c r="D3938" s="1">
        <f>hyperlink("http://dspace.library.uu.nl/handle/1874/259555","Van der Burch van Oudaen een memorie M A Dukes-Greup 69-72 1991")</f>
        <v>0</v>
      </c>
    </row>
    <row r="3939" spans="2:4">
      <c r="B3939">
        <v>59</v>
      </c>
      <c r="C3939" s="1">
        <f>hyperlink("https://hetutrechtsarchief.nl/collectie/112BFCED1A0657B88AA02BAC127BAD2E","De Vechtstreek van Utrecht tot Muiden en het Loosdrechtse Plassengebied Irma Gondrie 40-47 2009")</f>
        <v>0</v>
      </c>
      <c r="D3939" s="1">
        <f>hyperlink("http://dspace.library.uu.nl/handle/1874/259556","Het Utrechtse veenrecht en het ontstaan van het Plassengebied M A Dukes-Greup 73-79 1991")</f>
        <v>0</v>
      </c>
    </row>
    <row r="3940" spans="2:4">
      <c r="B3940">
        <v>54</v>
      </c>
      <c r="C3940" s="1">
        <f>hyperlink("https://hetutrechtsarchief.nl/collectie/8FCDAAE37D235CF398497937DB797933","Dr J P Fockema Andreae 60 jaar W A F Bannier 57 1939")</f>
        <v>0</v>
      </c>
      <c r="D3940" s="1">
        <f>hyperlink("http://dspace.library.uu.nl/handle/1874/259557","Huis Fluijtestijn nogmaals na 70 jaar A J A M Lisman 57 1990")</f>
        <v>0</v>
      </c>
    </row>
    <row r="3941" spans="2:4">
      <c r="B3941">
        <v>55</v>
      </c>
      <c r="C3941" s="1">
        <f>hyperlink("https://hetutrechtsarchief.nl/collectie/9B0D557D96645B7ABEC382ED4493E241","Nieuwe Leersumers van destijds Peter van Oosten de Boer 7-14 2006")</f>
        <v>0</v>
      </c>
      <c r="D3941" s="1">
        <f>hyperlink("http://dspace.library.uu.nl/handle/1874/259558","Nieuwersluis van torenfort tot commandopost D T Koen 24-37 1991")</f>
        <v>0</v>
      </c>
    </row>
    <row r="3942" spans="2:4">
      <c r="B3942">
        <v>91</v>
      </c>
      <c r="C3942" s="1">
        <f>hyperlink("https://hetutrechtsarchief.nl/collectie/AE9B0A64F69F55BAAEA8ACFA592312B7","Lindenhoff en Donkervliet opnieuw bezocht E Munnig Schmidt 22-37 ill krt portr 1997")</f>
        <v>0</v>
      </c>
      <c r="D3942" s="1">
        <f>hyperlink("http://dspace.library.uu.nl/handle/1874/260186","Lindenhoff en Donkervliet opnieuw bezocht E Munnig Schmidt 22-37 1997")</f>
        <v>0</v>
      </c>
    </row>
    <row r="3943" spans="2:4">
      <c r="B3943">
        <v>95</v>
      </c>
      <c r="C3943" s="1">
        <f>hyperlink("https://hetutrechtsarchief.nl/collectie/CE750317C1C85FB9B054AC004631F3C2","Over de eerste automobielen en de race Parijs-Amsterdam in 1898 A J A M Lisman 56-65 ill portr 1997")</f>
        <v>0</v>
      </c>
      <c r="D3943" s="1">
        <f>hyperlink("http://dspace.library.uu.nl/handle/1874/260187","Over de eerste automobielen en de race Parijs-Amsterdam in 1898 A J A M Lisman 56-65 1997")</f>
        <v>0</v>
      </c>
    </row>
    <row r="3944" spans="2:4">
      <c r="B3944">
        <v>98</v>
      </c>
      <c r="C3944" s="1">
        <f>hyperlink("https://hetutrechtsarchief.nl/collectie/D415FE8D1BCF5EEBAF704BE922693432","Een stukje geschiedenis van het station Nieuwersluis H J Doude van Troostwijk 66-72 ill 1997")</f>
        <v>0</v>
      </c>
      <c r="D3944" s="1">
        <f>hyperlink("http://dspace.library.uu.nl/handle/1874/260188","Een stukje geschiedenis van het station Nieuwersluis H J Doude van Troostwijk 66-72 1997")</f>
        <v>0</v>
      </c>
    </row>
    <row r="3945" spans="2:4">
      <c r="B3945">
        <v>90</v>
      </c>
      <c r="C3945" s="1">
        <f>hyperlink("https://hetutrechtsarchief.nl/collectie/DBF23C6CEF4559C09B40F93AA32E47FD","Hoffwerk een verdwenen buitenplaats E Munnig Schmidt 38-55 ill portr tab 1997")</f>
        <v>0</v>
      </c>
      <c r="D3945" s="1">
        <f>hyperlink("http://dspace.library.uu.nl/handle/1874/260189","Hoffwerk een verdwenen buitenplaats E Munnig Schmidt 38-55 1997")</f>
        <v>0</v>
      </c>
    </row>
    <row r="3946" spans="2:4">
      <c r="B3946">
        <v>58</v>
      </c>
      <c r="C3946" s="1">
        <f>hyperlink("https://hetutrechtsarchief.nl/collectie/5CD377A592D65235B41B22941A17F230","Toegangshekken in de Vechtstreek A J A M Lisman 21-70 ill 1994")</f>
        <v>0</v>
      </c>
      <c r="D3946" s="1">
        <f>hyperlink("http://dspace.library.uu.nl/handle/1874/260190","VreedenHoff Eureka A J A M Lisman 25-31 1995")</f>
        <v>0</v>
      </c>
    </row>
    <row r="3947" spans="2:4">
      <c r="B3947">
        <v>61</v>
      </c>
      <c r="C3947" s="1">
        <f>hyperlink("https://hetutrechtsarchief.nl/collectie/0188B2D378BC5D04A793AA92E3B964CE","Oranjerieplanten op Kasteel Cronenburg te Loenen E Munnig Schmidt 128-132 2002")</f>
        <v>0</v>
      </c>
      <c r="D3947" s="1">
        <f>hyperlink("http://dspace.library.uu.nl/handle/1874/260191","Kasteel Cronenburgh een poging tot visualisering E Munnig Schmidt 21-24 1995")</f>
        <v>0</v>
      </c>
    </row>
    <row r="3948" spans="2:4">
      <c r="B3948">
        <v>97</v>
      </c>
      <c r="C3948" s="1">
        <f>hyperlink("https://hetutrechtsarchief.nl/collectie/5CD377A592D65235B41B22941A17F230","Toegangshekken in de Vechtstreek A J A M Lisman 21-70 ill 1994")</f>
        <v>0</v>
      </c>
      <c r="D3948" s="1">
        <f>hyperlink("http://dspace.library.uu.nl/handle/1874/260192","Toegangshekken in de Vechtstreek A J A M Lisman 21-70 1994")</f>
        <v>0</v>
      </c>
    </row>
    <row r="3949" spans="2:4">
      <c r="B3949">
        <v>52</v>
      </c>
      <c r="C3949" s="1">
        <f>hyperlink("https://hetutrechtsarchief.nl/collectie/615C253F51725A4EB523EF81E3E8D0C9","De buitenplaats Ouderhoek te Nieuwersluis terug aan de Vecht E Munnig Schmidt 32-37 2012")</f>
        <v>0</v>
      </c>
      <c r="D3949" s="1">
        <f>hyperlink("http://dspace.library.uu.nl/handle/1874/260193","Adriaan Paets van Troostwijk 1752-1837 bewoner van Sterreschans te Nieuwersluis Uit hem kwam het geslacht Doude van Troostwijk voort E Munnig Schmidt 22-27 1993")</f>
        <v>0</v>
      </c>
    </row>
    <row r="3950" spans="2:4">
      <c r="B3950">
        <v>58</v>
      </c>
      <c r="C3950" s="1">
        <f>hyperlink("https://hetutrechtsarchief.nl/collectie/6641560B81ADF2EEE0534701000AE39F","De hofstede Oost en Vegt E Munnig Schmidt 58-62 2017")</f>
        <v>0</v>
      </c>
      <c r="D3950" s="1">
        <f>hyperlink("http://dspace.library.uu.nl/handle/1874/260194","Slotsigt Slotzigt Slotzicht E Boerstra J Munnig Schmidt 28-52 1993")</f>
        <v>0</v>
      </c>
    </row>
    <row r="3951" spans="2:4">
      <c r="B3951">
        <v>74</v>
      </c>
      <c r="C3951" s="1">
        <f>hyperlink("https://hetutrechtsarchief.nl/collectie/B20D2FB350855FB680A310D110291C32","Iets over het verenigingsleven in Abcoude en Baambrugge in het eerste kwart van de 20ste eeuw J E Wustenhoff 62-63 2000")</f>
        <v>0</v>
      </c>
      <c r="D3951" s="1">
        <f>hyperlink("http://dspace.library.uu.nl/handle/1874/260195","De watertollen in Abcoude en Baambrugge in de 18e en het eerste kwart van de 19e eeuw J E Wustenhoff 54-59 1993")</f>
        <v>0</v>
      </c>
    </row>
    <row r="3952" spans="2:4">
      <c r="B3952">
        <v>70</v>
      </c>
      <c r="C3952" s="1">
        <f>hyperlink("https://hetutrechtsarchief.nl/collectie/0188B2D378BC5D04A793AA92E3B964CE","Oranjerieplanten op Kasteel Cronenburg te Loenen E Munnig Schmidt 128-132 2002")</f>
        <v>0</v>
      </c>
      <c r="D3952" s="1">
        <f>hyperlink("http://dspace.library.uu.nl/handle/1874/260196","Een onbekend schilderij van Kasteel Cronenburgh te Loenen E Munnig Schmidt 60-66 1993")</f>
        <v>0</v>
      </c>
    </row>
    <row r="3953" spans="2:4">
      <c r="B3953">
        <v>55</v>
      </c>
      <c r="C3953" s="1">
        <f>hyperlink("https://hetutrechtsarchief.nl/collectie/77DDBF4A3A7B50ADA4597055ACD0B110","Overzichtswerk Utrechtse buitenplaatsen ontbreekt J rg Franken en Wendy van der Torre 9-14 2001")</f>
        <v>0</v>
      </c>
      <c r="D3953" s="1">
        <f>hyperlink("http://dspace.library.uu.nl/handle/1874/260197","Vleermuisonderzoek op Utrechtse buitenplaatsen aangesloten bij de Stichting PHB voorlopig rapport Floor van der Vliet 71-76 1994")</f>
        <v>0</v>
      </c>
    </row>
    <row r="3954" spans="2:4">
      <c r="B3954">
        <v>69</v>
      </c>
      <c r="C3954" s="1">
        <f>hyperlink("https://hetutrechtsarchief.nl/collectie/158B9B3548E65C8EAC9F8FDEB01513E3","Het buiten Gijnwens te Baambrugge E Munnig Schmidt 86-89 2012")</f>
        <v>0</v>
      </c>
      <c r="D3954" s="1">
        <f>hyperlink("http://dspace.library.uu.nl/handle/1874/260198","Binnenrust te Abcoude E Munnig Schmidt 69-79 1995")</f>
        <v>0</v>
      </c>
    </row>
    <row r="3955" spans="2:4">
      <c r="B3955">
        <v>63</v>
      </c>
      <c r="C3955" s="1">
        <f>hyperlink("https://hetutrechtsarchief.nl/collectie/0E6474208E3E58B2ACB8733D30ED4DD4","Breukelen en omgeving van 1000 tot 2000 Arie A Manten 153-218 1999")</f>
        <v>0</v>
      </c>
      <c r="D3955" s="1">
        <f>hyperlink("http://dspace.library.uu.nl/handle/1874/260199","Breukelen en omgeving in de Middeleeuwen twee interpretaties Arie A Manten 87-102 1996")</f>
        <v>0</v>
      </c>
    </row>
    <row r="3956" spans="2:4">
      <c r="B3956">
        <v>100</v>
      </c>
      <c r="C3956" s="1">
        <f>hyperlink("https://hetutrechtsarchief.nl/collectie/A03B7A4FBC0D581AAA30E91B502094A0","Drie verdwenen buitenplaatsen aan de Angstel te Baambrugge de bewoners en hun buren D L H Slebos 49-85 1998")</f>
        <v>0</v>
      </c>
      <c r="D3956" s="1">
        <f>hyperlink("http://dspace.library.uu.nl/handle/1874/260200","Drie verdwenen buitenplaatsen aan de Angstel te Baambrugge de bewoners en hun buren D L H Slebos 49-85 1998")</f>
        <v>0</v>
      </c>
    </row>
    <row r="3957" spans="2:4">
      <c r="B3957">
        <v>89</v>
      </c>
      <c r="C3957" s="1">
        <f>hyperlink("https://hetutrechtsarchief.nl/collectie/F737FB1EB49759078084AA4B24F8B21D","Nieuwersluis verkeersknooppunt in vroeger tijden J A F bew door E Munnig Schmidt 86-95 1998")</f>
        <v>0</v>
      </c>
      <c r="D3957" s="1">
        <f>hyperlink("http://dspace.library.uu.nl/handle/1874/260201","Nieuwersluis verkeersknooppunt in vroeger tijden E Backer J A F Munnig Schmidt 86-95 1998")</f>
        <v>0</v>
      </c>
    </row>
    <row r="3958" spans="2:4">
      <c r="B3958">
        <v>98</v>
      </c>
      <c r="C3958" s="1">
        <f>hyperlink("https://hetutrechtsarchief.nl/collectie/BD800CF9C1235A1AAF702534E1F455A8","Vechtgezichten op een 18e-eeuwse Delftsblauwe vaas 97-98 1998")</f>
        <v>0</v>
      </c>
      <c r="D3958" s="1">
        <f>hyperlink("http://dspace.library.uu.nl/handle/1874/260202","Vechtgezichten op een 18e-eeuwse Delftsblauwe vaas 96-98 1998")</f>
        <v>0</v>
      </c>
    </row>
    <row r="3959" spans="2:4">
      <c r="B3959">
        <v>90</v>
      </c>
      <c r="C3959" s="1">
        <f>hyperlink("https://hetutrechtsarchief.nl/collectie/F17EF5B405875D8EAC8484B74E88EAA6","Restauratieplan voor de Vecht Dick Mol en Inge Willems van Beveren 101-109 1998")</f>
        <v>0</v>
      </c>
      <c r="D3959" s="1">
        <f>hyperlink("http://dspace.library.uu.nl/handle/1874/260203","Restauratieplan voor de Vecht Inge Mol Dick Willems van Beveren 101-109 1998")</f>
        <v>0</v>
      </c>
    </row>
    <row r="3960" spans="2:4">
      <c r="B3960">
        <v>96</v>
      </c>
      <c r="C3960" s="1">
        <f>hyperlink("https://hetutrechtsarchief.nl/collectie/532AE5FA3B1C5CD8ABE5F3B2C6AD105D","Floris II FLorisz van de Boekhorst ca 1300-tussen 1383 en 1389 onder meer baljuw van Delf- en Schieland en kasteelheer van Vreeland Geertruida de Moor 23-48 ill portr tab 1998")</f>
        <v>0</v>
      </c>
      <c r="D3960" s="1">
        <f>hyperlink("http://dspace.library.uu.nl/handle/1874/260204","Floris II Florisz van de Boekhorst ca 1300-tussen 1383 en 1389 onder meer baljuw van Delf- en Schieland en kasteelheer van Vreeland Geertruida de Moor 23-48 1998")</f>
        <v>0</v>
      </c>
    </row>
    <row r="3961" spans="2:4">
      <c r="B3961">
        <v>60</v>
      </c>
      <c r="C3961" s="1">
        <f>hyperlink("https://hetutrechtsarchief.nl/collectie/8C1E818C79445DC989A0241D20E56E1C","De laatste dagen van de Duitse Keizer Cees Jansen 10-11 2015")</f>
        <v>0</v>
      </c>
      <c r="D3961" s="1">
        <f>hyperlink("http://dspace.library.uu.nl/handle/1874/260205","Floris laatste dagen in de Vechtstreek J W Verkaik 106-111 1995")</f>
        <v>0</v>
      </c>
    </row>
    <row r="3962" spans="2:4">
      <c r="B3962">
        <v>65</v>
      </c>
      <c r="C3962" s="1">
        <f>hyperlink("https://hetutrechtsarchief.nl/collectie/6BC7EFFDFF3551AB99137B27A3AAE554","Elsenburg E Munnig Schmidt 30-37 2001")</f>
        <v>0</v>
      </c>
      <c r="D3962" s="1">
        <f>hyperlink("http://dspace.library.uu.nl/handle/1874/260206","Beek en Hoff E Munnig Schmidt 32-55 1995")</f>
        <v>0</v>
      </c>
    </row>
    <row r="3963" spans="2:4">
      <c r="B3963">
        <v>55</v>
      </c>
      <c r="C3963" s="1">
        <f>hyperlink("https://hetutrechtsarchief.nl/collectie/C5AFF2C8C26952F393360B320EB623EE","Bach in Utrecht Johan Christiaan Snel 4 2000")</f>
        <v>0</v>
      </c>
      <c r="D3963" s="1">
        <f>hyperlink("http://dspace.library.uu.nl/handle/1874/260207","Seeker heerenhuys genaamt Oud Over Johan Christiaan Snel 80-105 1995")</f>
        <v>0</v>
      </c>
    </row>
    <row r="3964" spans="2:4">
      <c r="B3964">
        <v>74</v>
      </c>
      <c r="C3964" s="1">
        <f>hyperlink("https://hetutrechtsarchief.nl/collectie/19511D21B284564AA18028FE72F64A17","De Van Logterens in de Vechtstreek E Munnig Schmidt 23-38 2006")</f>
        <v>0</v>
      </c>
      <c r="D3964" s="1">
        <f>hyperlink("http://dspace.library.uu.nl/handle/1874/260208","Ignatius en Jan van Logteren beeldhouwers in de Vechtstreek E Munnig Schmidt 74-78 1996")</f>
        <v>0</v>
      </c>
    </row>
    <row r="3965" spans="2:4">
      <c r="B3965">
        <v>62</v>
      </c>
      <c r="C3965" s="1">
        <f>hyperlink("https://hetutrechtsarchief.nl/collectie/7C4259E0F60A51D08D0D3D7BE22ACF0C","Honderd jaar tussen Vecht en Angstel Oudheidkundig Genootschap Niftarlake Edward Munnig Schmidt 122-123 2013")</f>
        <v>0</v>
      </c>
      <c r="D3965" s="1">
        <f>hyperlink("http://dspace.library.uu.nl/handle/1874/260209","Jaarboekje van het Oudheidkundig Genootschap Niftarlake Oudheidkundig Genootschap Niftarlake 1913-")</f>
        <v>0</v>
      </c>
    </row>
    <row r="3966" spans="2:4">
      <c r="B3966">
        <v>60</v>
      </c>
      <c r="C3966" s="1">
        <f>hyperlink("https://hetutrechtsarchief.nl/collectie/8BFF576D3C0C55D48DBCB5AA1E0F19A8","Voortdijk een buitenplaatsje in Nederhorst den Berg uit de late Gouden Eeuw Els N G van Damme 40-53 2000")</f>
        <v>0</v>
      </c>
      <c r="D3966" s="1">
        <f>hyperlink("http://dspace.library.uu.nl/handle/1874/260210","De buitenplaats Vecht en Bergzigt alias Klemansplaats aan de Hinderdam 17e eeuw-1835 Els N G van Damme 21-33 1996")</f>
        <v>0</v>
      </c>
    </row>
    <row r="3967" spans="2:4">
      <c r="B3967">
        <v>59</v>
      </c>
      <c r="C3967" s="1">
        <f>hyperlink("https://hetutrechtsarchief.nl/collectie/539B6798E8A75293936571FEEBB4A77F","Beelden en stucwerk van de Van Logterens in de Vechtstreek E Munnig Schmidt 78-81 2007")</f>
        <v>0</v>
      </c>
      <c r="D3967" s="1">
        <f>hyperlink("http://dspace.library.uu.nl/handle/1874/260211","De zilveren-huwelijkspenning van de naamgevers van Nieuwerhoek E Munnig Schmidt 46-73 1996")</f>
        <v>0</v>
      </c>
    </row>
    <row r="3968" spans="2:4">
      <c r="B3968">
        <v>72</v>
      </c>
      <c r="C3968" s="1">
        <f>hyperlink("https://hetutrechtsarchief.nl/collectie/19511D21B284564AA18028FE72F64A17","De Van Logterens in de Vechtstreek E Munnig Schmidt 23-38 2006")</f>
        <v>0</v>
      </c>
      <c r="D3968" s="1">
        <f>hyperlink("http://dspace.library.uu.nl/handle/1874/260212","Datering van historische kaarten van de Vechtstreek E Munnig Schmidt 79-86 1996")</f>
        <v>0</v>
      </c>
    </row>
    <row r="3969" spans="2:4">
      <c r="B3969">
        <v>96</v>
      </c>
      <c r="C3969" s="1">
        <f>hyperlink("https://hetutrechtsarchief.nl/collectie/15E28D6A78E5590192BB90F729B9A4CC","Brief van den Utrechtschen burgemeester Aernt Dircxsz van Leijden over zijne zending naar den Prins van Oranje Antwerpen 26 Febr 1579 medeged door P J Blok 232 -246 1920")</f>
        <v>0</v>
      </c>
      <c r="D3969" s="1">
        <f>hyperlink("http://dspace.library.uu.nl/handle/1874/260382","Brief van den Utrechtschen burgemeester Aernt Dircxsz van Leijden over zijne zending naar den Prins van Oranje Antwerpen 26 Febr 1579 P J Blok 232 -246 1920")</f>
        <v>0</v>
      </c>
    </row>
    <row r="3970" spans="2:4">
      <c r="B3970">
        <v>68</v>
      </c>
      <c r="C3970" s="1">
        <f>hyperlink("https://hetutrechtsarchief.nl/collectie/4A30BDBC695A58D8B425370826E5C40E","Een Utrechtsch pamflet uit den Leycesterschen tijd medeged door S Muller Fz 231 -254 en In XLIV C 21 - Vol 11 1 - 19 1914-1922 p 231-254 2 1915")</f>
        <v>0</v>
      </c>
      <c r="D3970" s="1">
        <f>hyperlink("http://dspace.library.uu.nl/handle/1874/260383","Een Utrechtsch pamflet uit den Leycesterschen tijd S Muller 231 -254 1915")</f>
        <v>0</v>
      </c>
    </row>
    <row r="3971" spans="2:4">
      <c r="B3971">
        <v>100</v>
      </c>
      <c r="C3971" s="1">
        <f>hyperlink("https://hetutrechtsarchief.nl/collectie/69255180E3D55D6685E63A2981491F42","Plafondstuk huis Doornburg te Maarssen E Munnig Schmidt 24-26 2000")</f>
        <v>0</v>
      </c>
      <c r="D3971" s="1">
        <f>hyperlink("http://dspace.library.uu.nl/handle/1874/260384","Plafondstuk huis Doornburg te Maarssen E Munnig Schmidt 24-26 2000")</f>
        <v>0</v>
      </c>
    </row>
    <row r="3972" spans="2:4">
      <c r="B3972">
        <v>95</v>
      </c>
      <c r="C3972" s="1">
        <f>hyperlink("https://hetutrechtsarchief.nl/collectie/01180B1459C0513BA2F79F61B8E9F099","Daelwijck Daelwijk Daalwijck of Daalwijk J Wasser en G J Esser 27-39 2000")</f>
        <v>0</v>
      </c>
      <c r="D3972" s="1">
        <f>hyperlink("http://dspace.library.uu.nl/handle/1874/260385","Daelwijck Daelwijk Daalwijck of Daalwijk G J Wasser J Esser 27-39 2000")</f>
        <v>0</v>
      </c>
    </row>
    <row r="3973" spans="2:4">
      <c r="B3973">
        <v>100</v>
      </c>
      <c r="C3973" s="1">
        <f>hyperlink("https://hetutrechtsarchief.nl/collectie/0D3F2A0CEEAB578CB768706844820E5A","Popta en Vreede Rijk geven hun geheimen prijs D L H Slebos 54-79 2000")</f>
        <v>0</v>
      </c>
      <c r="D3973" s="1">
        <f>hyperlink("http://dspace.library.uu.nl/handle/1874/260386","Popta en Vreede Rijk geven hun geheimen prijs D L H Slebos 54-79 2000")</f>
        <v>0</v>
      </c>
    </row>
    <row r="3974" spans="2:4">
      <c r="B3974">
        <v>100</v>
      </c>
      <c r="C3974" s="1">
        <f>hyperlink("https://hetutrechtsarchief.nl/collectie/CA2C9D729A8F5AB4A5D137AEFB8EC0A7","De topografisch tekenaar Chris Schut overleden A J A M Lisman 80-81 2000")</f>
        <v>0</v>
      </c>
      <c r="D3974" s="1">
        <f>hyperlink("http://dspace.library.uu.nl/handle/1874/260387","De topografisch tekenaar Chris Schut overleden A J A M Lisman 80-81 2000")</f>
        <v>0</v>
      </c>
    </row>
    <row r="3975" spans="2:4">
      <c r="B3975">
        <v>100</v>
      </c>
      <c r="C3975" s="1">
        <f>hyperlink("https://hetutrechtsarchief.nl/collectie/91B3480B6BE45240A4D966B61B117FFF","Het ideale buitenleven aan de oevers van de Vecht in de po zie van de 18e eeuw Willemien B de Vries 23-35 2003")</f>
        <v>0</v>
      </c>
      <c r="D3975" s="1">
        <f>hyperlink("http://dspace.library.uu.nl/handle/1874/260388","Het ideale buitenleven aan de oevers van de Vecht in de po zie van de 18e eeuw Willemien B de Vries 23-35 2003")</f>
        <v>0</v>
      </c>
    </row>
    <row r="3976" spans="2:4">
      <c r="B3976">
        <v>100</v>
      </c>
      <c r="C3976" s="1">
        <f>hyperlink("https://hetutrechtsarchief.nl/collectie/8A10FB21F5975E1C811AE98F4C3590A1","De dubbele ophaalbrug te Vreeland 36-37 2003")</f>
        <v>0</v>
      </c>
      <c r="D3976" s="1">
        <f>hyperlink("http://dspace.library.uu.nl/handle/1874/260389","De dubbele ophaalbrug te Vreeland 36-37 2003")</f>
        <v>0</v>
      </c>
    </row>
    <row r="3977" spans="2:4">
      <c r="B3977">
        <v>98</v>
      </c>
      <c r="C3977" s="1">
        <f>hyperlink("https://hetutrechtsarchief.nl/collectie/E073412256BE53AEBA2EB1AC27A601C5","De schilder Fredericus Jacobus van Rossum du Chattel 1856-1917 ontdekker van de Vecht J G van Rossum du Chattel 38-59 2003")</f>
        <v>0</v>
      </c>
      <c r="D3977" s="1">
        <f>hyperlink("http://dspace.library.uu.nl/handle/1874/260390","De schilder Fredericus Jacobus van Rossum du Chattel 1856-1917 ontdekker van de Vecht J G van Rossum du Chattel 38-60 2003")</f>
        <v>0</v>
      </c>
    </row>
    <row r="3978" spans="2:4">
      <c r="B3978">
        <v>55</v>
      </c>
      <c r="C3978" s="1">
        <f>hyperlink("https://hetutrechtsarchief.nl/collectie/D9F32486709C910EE0538F04000A2678","Engelbert Ploos van Amstel de eerste heer van Gunterstein Jan Willem Gunning 88-99 2021")</f>
        <v>0</v>
      </c>
      <c r="D3978" s="1">
        <f>hyperlink("http://dspace.library.uu.nl/handle/1874/260391","Zoo als t behoort een aannemingscontract voor Spruytenburg Jan Willem Gunning 61-65 2003")</f>
        <v>0</v>
      </c>
    </row>
    <row r="3979" spans="2:4">
      <c r="B3979">
        <v>100</v>
      </c>
      <c r="C3979" s="1">
        <f>hyperlink("https://hetutrechtsarchief.nl/collectie/96D752FB766D50CDB45E3A5495A41080","Meer Baambrugse buitenplaatsen D L H Slebos 66-100 2003")</f>
        <v>0</v>
      </c>
      <c r="D3979" s="1">
        <f>hyperlink("http://dspace.library.uu.nl/handle/1874/260392","Meer Baambrugse buitenplaatsen D L H Slebos 66-100 2003")</f>
        <v>0</v>
      </c>
    </row>
    <row r="3980" spans="2:4">
      <c r="B3980">
        <v>100</v>
      </c>
      <c r="C3980" s="1">
        <f>hyperlink("https://hetutrechtsarchief.nl/collectie/F1C69CD7848E5B24AFD0DFC966570ECD","Een afgewende ramp voor de Vecht en het Gein E Munnig Schmidt 26-28 1999")</f>
        <v>0</v>
      </c>
      <c r="D3980" s="1">
        <f>hyperlink("http://dspace.library.uu.nl/handle/1874/260393","Een afgewende ramp voor de Vecht en het Gein E Munnig Schmidt 26-28 1999")</f>
        <v>0</v>
      </c>
    </row>
    <row r="3981" spans="2:4">
      <c r="B3981">
        <v>100</v>
      </c>
      <c r="C3981" s="1">
        <f>hyperlink("https://hetutrechtsarchief.nl/collectie/0C281A3910665DBDA53EEEC2D27DE173","Apotheose van het buiten Wallesteyn E Munnig Schmidt 29-38 1999")</f>
        <v>0</v>
      </c>
      <c r="D3981" s="1">
        <f>hyperlink("http://dspace.library.uu.nl/handle/1874/260394","Apotheose van het buiten Wallesteyn E Munnig Schmidt 29-38 1999")</f>
        <v>0</v>
      </c>
    </row>
    <row r="3982" spans="2:4">
      <c r="B3982">
        <v>54</v>
      </c>
      <c r="C3982" s="1">
        <f>hyperlink("https://hetutrechtsarchief.nl/collectie/EEEFE9E5F6DD5568833B45FB950BFBB2","De muziektent in het park van Boom en Bosch Henk J van Es en A A Manten 59-62 1999")</f>
        <v>0</v>
      </c>
      <c r="D3982" s="1">
        <f>hyperlink("http://dspace.library.uu.nl/handle/1874/260395","Inveni De beelden van Boom en Bosch staan in Arnhem Dan el Marot en Ignatius van Logteren P M Fischer 39-50 1999")</f>
        <v>0</v>
      </c>
    </row>
    <row r="3983" spans="2:4">
      <c r="B3983">
        <v>100</v>
      </c>
      <c r="C3983" s="1">
        <f>hyperlink("https://hetutrechtsarchief.nl/collectie/3225905DA46959ACB86CA816D79C5DC7","Het Gemeenlandshuis te Nieuwersluis bouwhistorisch onderzocht L B Wevers 55-64 1999")</f>
        <v>0</v>
      </c>
      <c r="D3983" s="1">
        <f>hyperlink("http://dspace.library.uu.nl/handle/1874/260396","Het Gemeenlandshuis te Nieuwersluis bouwhistorisch onderzocht L B Wevers 55-64 1999")</f>
        <v>0</v>
      </c>
    </row>
    <row r="3984" spans="2:4">
      <c r="B3984">
        <v>100</v>
      </c>
      <c r="C3984" s="1">
        <f>hyperlink("https://hetutrechtsarchief.nl/collectie/30E0652AB18857D9854B3275C8757B2C","Johannes Gousset 1667-1733 schout van Abcoude D L H Slebos 65-72 1999")</f>
        <v>0</v>
      </c>
      <c r="D3984" s="1">
        <f>hyperlink("http://dspace.library.uu.nl/handle/1874/260397","Johannes Gousset 1667-1733 schout van Abcoude D L H Slebos 65-72 1999")</f>
        <v>0</v>
      </c>
    </row>
    <row r="3985" spans="2:4">
      <c r="B3985">
        <v>100</v>
      </c>
      <c r="C3985" s="1">
        <f>hyperlink("https://hetutrechtsarchief.nl/collectie/BEA470965088542691AE71EF5E9583FB","De tekenaar J Lutgens 1836-1919 onbekend talent uit Loenen 73-81 1999")</f>
        <v>0</v>
      </c>
      <c r="D3985" s="1">
        <f>hyperlink("http://dspace.library.uu.nl/handle/1874/260398","De tekenaar J Lutgens 1836-1919 onbekend talent uit Loenen 73-81 1999")</f>
        <v>0</v>
      </c>
    </row>
    <row r="3986" spans="2:4">
      <c r="B3986">
        <v>99</v>
      </c>
      <c r="C3986" s="1">
        <f>hyperlink("https://hetutrechtsarchief.nl/collectie/19BEDF73993A5DECB05337C421B8A016","Hoffwerk over Holland en Rupelmonde door Hermanus Numan 1744-1820 getekend E Munnig Schmidt 23-29 2001")</f>
        <v>0</v>
      </c>
      <c r="D3986" s="1">
        <f>hyperlink("http://dspace.library.uu.nl/handle/1874/260399","Hoffwerk Over Holland en Rupelmonde door Hermanus Nieman 1744-1820 getekend E Munnig Schmidt 23-29 2001")</f>
        <v>0</v>
      </c>
    </row>
    <row r="3987" spans="2:4">
      <c r="B3987">
        <v>100</v>
      </c>
      <c r="C3987" s="1">
        <f>hyperlink("https://hetutrechtsarchief.nl/collectie/6BC7EFFDFF3551AB99137B27A3AAE554","Elsenburg E Munnig Schmidt 30-37 2001")</f>
        <v>0</v>
      </c>
      <c r="D3987" s="1">
        <f>hyperlink("http://dspace.library.uu.nl/handle/1874/260400","Elsenburg E Munnig Schmidt 30-37 2001")</f>
        <v>0</v>
      </c>
    </row>
    <row r="3988" spans="2:4">
      <c r="B3988">
        <v>100</v>
      </c>
      <c r="C3988" s="1">
        <f>hyperlink("https://hetutrechtsarchief.nl/collectie/CD6B79F82ADD5537BAE1914C040ABBBA","De schilder Jan Adam Kruseman 1804-1862 en Nieuwerhoek te Loenen 39-52 2001")</f>
        <v>0</v>
      </c>
      <c r="D3988" s="1">
        <f>hyperlink("http://dspace.library.uu.nl/handle/1874/260401","De schilder Jan Adam Kruseman 1804-1862 en Nieuwerhoek te Loenen 39-52 2001")</f>
        <v>0</v>
      </c>
    </row>
    <row r="3989" spans="2:4">
      <c r="B3989">
        <v>100</v>
      </c>
      <c r="C3989" s="1">
        <f>hyperlink("https://hetutrechtsarchief.nl/collectie/3089B176490358B6A76D09401C9CF6F2","Dortmont - Zorgvrij Rustenburg - Overdorp Poelesteyn - Oud Rustenburg drie in de geschiedenis nauw verweven buitenplaatsen in Baambrugge D L H Slebos 53-91 2001")</f>
        <v>0</v>
      </c>
      <c r="D3989" s="1">
        <f>hyperlink("http://dspace.library.uu.nl/handle/1874/260402","Dortmont - Zorgvrij Rustenburg - Overdorp Poelesteyn - Oud Rustenburg drie in de geschiedenis nauw verweven buitenplaatsen in Baambrugge D L H Slebos 53-91 2001")</f>
        <v>0</v>
      </c>
    </row>
    <row r="3990" spans="2:4">
      <c r="B3990">
        <v>100</v>
      </c>
      <c r="C3990" s="1">
        <f>hyperlink("https://hetutrechtsarchief.nl/collectie/19287126EC5C51E9BC119E0DB3A292E7","Het Chirurgijnshuis bij de kerk van Baambrugge D L H Slebos 92-104 2001")</f>
        <v>0</v>
      </c>
      <c r="D3990" s="1">
        <f>hyperlink("http://dspace.library.uu.nl/handle/1874/260403","Het chirurgijnshuis bij de kerk van Baambrugge D L H Slebos 92-104 2001")</f>
        <v>0</v>
      </c>
    </row>
    <row r="3991" spans="2:4">
      <c r="B3991">
        <v>100</v>
      </c>
      <c r="C3991" s="1">
        <f>hyperlink("https://hetutrechtsarchief.nl/collectie/6B13E69DA55E5363AA9DD781962836D6","Bereveld en Serrurier een magnifiek buiten aan de vergetelheid ontrukt en daarmee een weinig bekende Loenense tekenaar L P Serrurier E Munnig Schmidt 23-42 2002")</f>
        <v>0</v>
      </c>
      <c r="D3991" s="1">
        <f>hyperlink("http://dspace.library.uu.nl/handle/1874/260404","Bereveld en Serrurier een magnifiek buiten aan de vergetelheid ontrukt en daarmee een weinig bekende Loenense tekenaar L P Serrurier E Munnig Schmidt 23-42 2002")</f>
        <v>0</v>
      </c>
    </row>
    <row r="3992" spans="2:4">
      <c r="B3992">
        <v>100</v>
      </c>
      <c r="C3992" s="1">
        <f>hyperlink("https://hetutrechtsarchief.nl/collectie/78CCC507ADF45CC3AD1D6E9740711359","De buitenplaats Roserust te Loenen E Munnig Schmidt 43-61 2002")</f>
        <v>0</v>
      </c>
      <c r="D3992" s="1">
        <f>hyperlink("http://dspace.library.uu.nl/handle/1874/260405","De buitenplaats Roserust te Loenen E Munnig Schmidt 43-61 2002")</f>
        <v>0</v>
      </c>
    </row>
    <row r="3993" spans="2:4">
      <c r="B3993">
        <v>99</v>
      </c>
      <c r="C3993" s="1">
        <f>hyperlink("https://hetutrechtsarchief.nl/collectie/C0B18C51FBF5547B9FC44A8DE634D221","Gerrit Zegelaar een 18e-eeuwse kunstschilder uit Loenen a d Vecht E Munnig Schmidt 62-83 2002")</f>
        <v>0</v>
      </c>
      <c r="D3993" s="1">
        <f>hyperlink("http://dspace.library.uu.nl/handle/1874/260406","Gerrit Zegelaar een 18e-eeuwse kunstschilder uit Loenen a d Vecht E Munnig Schmidt 62-84 2002")</f>
        <v>0</v>
      </c>
    </row>
    <row r="3994" spans="2:4">
      <c r="B3994">
        <v>100</v>
      </c>
      <c r="C3994" s="1">
        <f>hyperlink("https://hetutrechtsarchief.nl/collectie/6BA27B7966A45461BCF118767CECC176","Een Amsterdams geslacht en vijf Abcouse buitenplaatsen de lotgevallen en wederwaardigheden met deze vijf objecten afzonderlijk verhaald D L H Slebos 85-127 2002")</f>
        <v>0</v>
      </c>
      <c r="D3994" s="1">
        <f>hyperlink("http://dspace.library.uu.nl/handle/1874/260407","Een Amsterdams geslacht en vijf Abcouse buitenplaatsen de lotgevallen en wederwaardigheden met deze vijf objecten afzonderlijk verhaald D L H Slebos 85-127 2002")</f>
        <v>0</v>
      </c>
    </row>
    <row r="3995" spans="2:4">
      <c r="B3995">
        <v>100</v>
      </c>
      <c r="C3995" s="1">
        <f>hyperlink("https://hetutrechtsarchief.nl/collectie/0188B2D378BC5D04A793AA92E3B964CE","Oranjerieplanten op Kasteel Cronenburg te Loenen E Munnig Schmidt 128-132 2002")</f>
        <v>0</v>
      </c>
      <c r="D3995" s="1">
        <f>hyperlink("http://dspace.library.uu.nl/handle/1874/260408","Oranjerieplanten op Kasteel Cronenburg te Loenen E Munnig Schmidt 128-132 2002")</f>
        <v>0</v>
      </c>
    </row>
    <row r="3996" spans="2:4">
      <c r="B3996">
        <v>58</v>
      </c>
      <c r="C3996" s="1">
        <f>hyperlink("https://hetutrechtsarchief.nl/collectie/873E0D71C44A54BE83736FF04FE9AA7B","Twee inventarissen van kerkelijke goederen toebehoorende aan de Oudmunster te Utrecht W J A Visser 172-176 1934")</f>
        <v>0</v>
      </c>
      <c r="D3996" s="1">
        <f>hyperlink("http://dspace.library.uu.nl/handle/1874/260409","Twee inventarissen van het huis Brederode J J Salverda de Grave 1 -172 1918")</f>
        <v>0</v>
      </c>
    </row>
    <row r="3997" spans="2:4">
      <c r="B3997">
        <v>89</v>
      </c>
      <c r="C3997" s="1">
        <f>hyperlink("https://hetutrechtsarchief.nl/collectie/68C0C74A394D5F5483F1F820F96FEE7E","Utrechts oorlogslasten 1572-1577 medeged door K Heeringa 125 -186 1923")</f>
        <v>0</v>
      </c>
      <c r="D3997" s="1">
        <f>hyperlink("http://dspace.library.uu.nl/handle/1874/260611","Utrechts oorlogslasten 1572-1577 K Heeringa 125-186 1923")</f>
        <v>0</v>
      </c>
    </row>
    <row r="3998" spans="2:4">
      <c r="B3998">
        <v>92</v>
      </c>
      <c r="C3998" s="1">
        <f>hyperlink("https://hetutrechtsarchief.nl/collectie/8E6724F0A684570FBC27FB0FD72ACA0C","De kerkelijke rechtspraak in het bisdom Utrecht v r het concilie van Trente lxxxvi-cx 1909")</f>
        <v>0</v>
      </c>
      <c r="D3998" s="1">
        <f>hyperlink("http://dspace.library.uu.nl/handle/1874/260612","De kerkelijke rechtspraak in het bisdom Utrecht v r het concilie van Trente J G C Joosting LXXXVI-CXI 1909")</f>
        <v>0</v>
      </c>
    </row>
    <row r="3999" spans="2:4">
      <c r="B3999">
        <v>87</v>
      </c>
      <c r="C3999" s="1">
        <f>hyperlink("https://hetutrechtsarchief.nl/collectie/AC81EA2667C8551C81AD0A6D042D3DD4","Het huis van de paus Paushuize gerestaureerd Steven Braat en Marceline Dolfin 22-23 2012")</f>
        <v>0</v>
      </c>
      <c r="D3999" s="1">
        <f>hyperlink("http://dspace.library.uu.nl/handle/1874/260613","Het huis van de paus Paushuize gerestaureerd Marceline Braat Steven Dolfin 22-23 2012")</f>
        <v>0</v>
      </c>
    </row>
    <row r="4000" spans="2:4">
      <c r="B4000">
        <v>56</v>
      </c>
      <c r="C4000" s="1">
        <f>hyperlink("https://hetutrechtsarchief.nl/collectie/C4F728B9A0300530E0538F04000AE8C4","Schilderij met onbekende dame Speurtocht naar een antwoord op drie vragen Maria Boersen 45-55 2021")</f>
        <v>0</v>
      </c>
      <c r="D4000" s="1">
        <f>hyperlink("http://dspace.library.uu.nl/handle/1874/260713","Het mysterie van de geschiedenis van de geschilderde kamer speurtocht naar een ensemble van Ferdinand Bol Magriet van Eikema Hommes 4-7 2012")</f>
        <v>0</v>
      </c>
    </row>
    <row r="4001" spans="2:4">
      <c r="B4001">
        <v>55</v>
      </c>
      <c r="C4001" s="1">
        <f>hyperlink("https://hetutrechtsarchief.nl/collectie/F0A1119AB1AF531A94E88576DCB9B3A4","Een reislustig kunstenaar met hart voor Amersfoort Hendrik Jan in museum Flehite Katjuscha Otte 2-3 2010")</f>
        <v>0</v>
      </c>
      <c r="D4001" s="1">
        <f>hyperlink("http://dspace.library.uu.nl/handle/1874/260875","Flehite historisch jaarboek voor Amersfoort en omstreken Stichting Museum Flehite Oudheidkundige Vereniging Flehite 2000 -")</f>
        <v>0</v>
      </c>
    </row>
    <row r="4002" spans="2:4">
      <c r="B4002">
        <v>95</v>
      </c>
      <c r="C4002" s="1">
        <f>hyperlink("https://hetutrechtsarchief.nl/collectie/D6A46E0912B6518B9F9C9AEC794D435B","Stukken betreffende het Stichtsche muntwezen ten tijde van bisschop David van Bourgondi medeged door D Th Enklaar 27 -52 1927")</f>
        <v>0</v>
      </c>
      <c r="D4002" s="1">
        <f>hyperlink("http://dspace.library.uu.nl/handle/1874/261189","Stukken betreffende het Stichtsche muntwezen ten tijde van bisschop David van Bourgondi D Th Enklaar 27 -52 1927")</f>
        <v>0</v>
      </c>
    </row>
    <row r="4003" spans="2:4">
      <c r="B4003">
        <v>89</v>
      </c>
      <c r="C4003" s="1">
        <f>hyperlink("https://hetutrechtsarchief.nl/collectie/03E20C8FDB7D582BBE86DBE1E290CEC3","Bescheiden betreffende den beeldenstorm van 1566 in de stad Utrecht medeged door J C J Kleijntjens en J W C van Campen 63 -245 1932")</f>
        <v>0</v>
      </c>
      <c r="D4003" s="1">
        <f>hyperlink("http://dspace.library.uu.nl/handle/1874/261190","Bescheiden betreffende den beeldenstorm van 1566 in de stad Utrecht J W C van Kleijntjens J C J Campen 63 -245 1932")</f>
        <v>0</v>
      </c>
    </row>
    <row r="4004" spans="2:4">
      <c r="B4004">
        <v>92</v>
      </c>
      <c r="C4004" s="1">
        <f>hyperlink("https://hetutrechtsarchief.nl/collectie/2B7B0FCC6AFF5A09BC61CE2CF40160C1","Visitatie-verslagen van de Johanniter-kloosters in Nederland 1495 1540 1594 medeged door E Wiersum en A Le Cosquino de Bussy 146 -340 1927")</f>
        <v>0</v>
      </c>
      <c r="D4004" s="1">
        <f>hyperlink("http://dspace.library.uu.nl/handle/1874/261191","Visitatie-verslagen van de Johanniterkloosters in Nederland 1495 1540 1594 A le Wiersum E Cosquino de Bussy 146 -340 1927")</f>
        <v>0</v>
      </c>
    </row>
    <row r="4005" spans="2:4">
      <c r="B4005">
        <v>92</v>
      </c>
      <c r="C4005" s="1">
        <f>hyperlink("https://hetutrechtsarchief.nl/collectie/5A1AB20E1ED2583CB1E08F68DDE71CAB","De oudste kapittelrekening van Oudmunster uit het jaar 1295 medeged door R van Roijen 1-50 1937")</f>
        <v>0</v>
      </c>
      <c r="D4005" s="1">
        <f>hyperlink("http://dspace.library.uu.nl/handle/1874/261953","De oudste kapittelrekening van Oudmunster uit het jaar 1295 R van Roijen 1 -50 1937")</f>
        <v>0</v>
      </c>
    </row>
    <row r="4006" spans="2:4">
      <c r="B4006">
        <v>51</v>
      </c>
      <c r="C4006" s="1">
        <f>hyperlink("https://hetutrechtsarchief.nl/collectie/4A1AA812B38153BB939D5601D682CB3C","De trots der Stichtse boeren blinken en verzinken van de SOL 1908-1973 Ton H M van Schaik 124-130 2014")</f>
        <v>0</v>
      </c>
      <c r="D4006" s="1">
        <f>hyperlink("http://dspace.library.uu.nl/handle/1874/261954","A Boot s journaal geschreven tijdens een verblijf in Engeland in 1628-1630 D H Boot Abraham Smit 62 -109 1936")</f>
        <v>0</v>
      </c>
    </row>
    <row r="4007" spans="2:4">
      <c r="B4007">
        <v>58</v>
      </c>
      <c r="C4007" s="1">
        <f>hyperlink("https://hetutrechtsarchief.nl/collectie/04A3B88E887C505C910D4E48ADD1DEFB","Brieven van Geert Groote datering en interpretatie R R Post 257-286 1965")</f>
        <v>0</v>
      </c>
      <c r="D4007" s="1">
        <f>hyperlink("http://dspace.library.uu.nl/handle/1874/261955","Brieven van Emanuel van Meeteren en van Pieter Bor Z W Sneller 261 -281 1935")</f>
        <v>0</v>
      </c>
    </row>
    <row r="4008" spans="2:4">
      <c r="B4008">
        <v>81</v>
      </c>
      <c r="C4008" s="1">
        <f>hyperlink("https://hetutrechtsarchief.nl/collectie/AEA3BBB341A553798B6CDD146E9C57FA","Brieven van Johannes de Wit aan Arend van Buchel en anderen uitg door A Hulshof en P S Breuning 87 -208 1939")</f>
        <v>0</v>
      </c>
      <c r="D4008" s="1">
        <f>hyperlink("http://dspace.library.uu.nl/handle/1874/262548","Brieven van Johannes de Wit aan Arend van Buchel en anderen P S Hulshof A Breuning 87 -208 dl 61 1940 p 60 -99 1939-1940")</f>
        <v>0</v>
      </c>
    </row>
    <row r="4009" spans="2:4">
      <c r="B4009">
        <v>54</v>
      </c>
      <c r="C4009" s="1">
        <f>hyperlink("https://hetutrechtsarchief.nl/collectie/83331E77D1B15144853C8D6F41BA4189","Emma Pauw van Utrecht en Steven van Zuijlen van de Haer L E Bosch 83-115 1861")</f>
        <v>0</v>
      </c>
      <c r="D4009" s="1">
        <f>hyperlink("http://dspace.library.uu.nl/handle/1874/262549","H A van Reede tot Drakenstein journaal van zijn verblijf aan de Kaap A Hulshof 1 -245 1941")</f>
        <v>0</v>
      </c>
    </row>
    <row r="4010" spans="2:4">
      <c r="B4010">
        <v>54</v>
      </c>
      <c r="C4010" s="1">
        <f>hyperlink("https://hetutrechtsarchief.nl/collectie/122E038EE332524F9E8EFF36F5B2362D","De stempelsnijder N P A Hulshof 303-307 1920")</f>
        <v>0</v>
      </c>
      <c r="D4010" s="1">
        <f>hyperlink("http://dspace.library.uu.nl/handle/1874/262550","Compagnie s dienaren aan de Kaap in 1685 A Hulshof 347 -369 1942")</f>
        <v>0</v>
      </c>
    </row>
    <row r="4011" spans="2:4">
      <c r="B4011">
        <v>91</v>
      </c>
      <c r="C4011" s="1">
        <f>hyperlink("https://hetutrechtsarchief.nl/collectie/AD467D82C48E5DF4BC6F5756C38BC0CF","Bijdrage tot de kennis van de Utrechtse maten en gewichten medeged door F Ketner 190 -198 1947")</f>
        <v>0</v>
      </c>
      <c r="D4011" s="1">
        <f>hyperlink("http://dspace.library.uu.nl/handle/1874/262551","Bijdrage tot de kennis van de Utrechtse maten en gewichten F Ketner 190 -198 1948")</f>
        <v>0</v>
      </c>
    </row>
    <row r="4012" spans="2:4">
      <c r="B4012">
        <v>57</v>
      </c>
      <c r="C4012" s="1">
        <f>hyperlink("https://hetutrechtsarchief.nl/collectie/D4D96EEFE6195BDFB32278D396433144","Onuitgegevene oorkonden betreffende het slot de stad en de heerlijkheid van IJselstein medeged door J J de Geer 78 -167 1860")</f>
        <v>0</v>
      </c>
      <c r="D4012" s="1">
        <f>hyperlink("http://dspace.library.uu.nl/handle/1874/262552","Onuitgegeven oorkonden betreffende de Noord-Nederlandse geschiedenis 1109-1249 A C F Koch 1 -33 1949")</f>
        <v>0</v>
      </c>
    </row>
    <row r="4013" spans="2:4">
      <c r="B4013">
        <v>51</v>
      </c>
      <c r="C4013" s="1">
        <f>hyperlink("https://hetutrechtsarchief.nl/collectie/FFE4E392C1C854D5A931E67C1F10FBAA","Levensberigt van wijlen den hoogleeraar Philippus Willem van Heusde A van Goudoever 161 -192 1840")</f>
        <v>0</v>
      </c>
      <c r="D4013" s="1">
        <f>hyperlink("http://dspace.library.uu.nl/handle/1874/262553","Een onbekend drama van Katholieke zijde over de moord op Prins Willem I B A Salius Panagius Vermaseren 121 -156 1949")</f>
        <v>0</v>
      </c>
    </row>
    <row r="4014" spans="2:4">
      <c r="B4014">
        <v>90</v>
      </c>
      <c r="C4014" s="1">
        <f>hyperlink("https://hetutrechtsarchief.nl/collectie/BFCEABCC7BAE52D5BAF4266BEE0B1701","De ontwerpen van de Unie van Utrecht medeged door P J van Winter 108 -177 1943")</f>
        <v>0</v>
      </c>
      <c r="D4014" s="1">
        <f>hyperlink("http://dspace.library.uu.nl/handle/1874/262554","De ontwerpen van de Unie van Utrecht P J van Winter 108 -178 1943")</f>
        <v>0</v>
      </c>
    </row>
    <row r="4015" spans="2:4">
      <c r="B4015">
        <v>97</v>
      </c>
      <c r="C4015" s="1">
        <f>hyperlink("https://hetutrechtsarchief.nl/collectie/0BE9A32D221B58ED9115555525764332","Heulestein en een middeleeuws schilderstuk J G M Boon 41-46 ill 1963")</f>
        <v>0</v>
      </c>
      <c r="D4015" s="1">
        <f>hyperlink("http://dspace.library.uu.nl/handle/1874/272441","Heulestein en een middeleeuws schilderstuk J G M Boon 41-46 1963")</f>
        <v>0</v>
      </c>
    </row>
    <row r="4016" spans="2:4">
      <c r="B4016">
        <v>100</v>
      </c>
      <c r="C4016" s="1">
        <f>hyperlink("https://hetutrechtsarchief.nl/collectie/F3B5162A5A2950E39283DA94B2B28A23","Pays mitten Schotten D Philips 20-22 1963")</f>
        <v>0</v>
      </c>
      <c r="D4016" s="1">
        <f>hyperlink("http://dspace.library.uu.nl/handle/1874/272442","Pays mitten Schotten D Philips 20-22 1963")</f>
        <v>0</v>
      </c>
    </row>
    <row r="4017" spans="2:4">
      <c r="B4017">
        <v>96</v>
      </c>
      <c r="C4017" s="1">
        <f>hyperlink("https://hetutrechtsarchief.nl/collectie/1676223A43785E4C975BE734689058A1","Rhenense gildetekens Aleid van de Bunt 26-28 ill 1963")</f>
        <v>0</v>
      </c>
      <c r="D4017" s="1">
        <f>hyperlink("http://dspace.library.uu.nl/handle/1874/272443","Rhenense gildetekens Aleid van de Bunt 26-28 1963")</f>
        <v>0</v>
      </c>
    </row>
    <row r="4018" spans="2:4">
      <c r="B4018">
        <v>96</v>
      </c>
      <c r="C4018" s="1">
        <f>hyperlink("https://hetutrechtsarchief.nl/collectie/44C566B09BE554A597C5E6752D47673A","Het station Driebergen-Zeist Wim Harzing 13-19 ill 1963")</f>
        <v>0</v>
      </c>
      <c r="D4018" s="1">
        <f>hyperlink("http://dspace.library.uu.nl/handle/1874/272444","Het station Driebergen-Zeist Wim Harzing 13-19 1963")</f>
        <v>0</v>
      </c>
    </row>
    <row r="4019" spans="2:4">
      <c r="B4019">
        <v>88</v>
      </c>
      <c r="C4019" s="1">
        <f>hyperlink("https://hetutrechtsarchief.nl/collectie/A71F49B8E64857AA8E9E0BF517C51B8D","Een aardrijkskundeles rond 1800 - de J 123-127 ill 1963")</f>
        <v>0</v>
      </c>
      <c r="D4019" s="1">
        <f>hyperlink("http://dspace.library.uu.nl/handle/1874/272445","Een aardrijkskundeles rond 1800 H de Jong 3-7 1963")</f>
        <v>0</v>
      </c>
    </row>
    <row r="4020" spans="2:4">
      <c r="B4020">
        <v>83</v>
      </c>
      <c r="C4020" s="1">
        <f>hyperlink("https://hetutrechtsarchief.nl/collectie/AFDD3EE130365C3C83779348AC1A44D6","Bij het graf van Paus Adriaan - de J 128-129 ill 1963")</f>
        <v>0</v>
      </c>
      <c r="D4020" s="1">
        <f>hyperlink("http://dspace.library.uu.nl/handle/1874/272446","Bij het graf van Paus Adriaan H de Jong 3-7 1963")</f>
        <v>0</v>
      </c>
    </row>
    <row r="4021" spans="2:4">
      <c r="B4021">
        <v>96</v>
      </c>
      <c r="C4021" s="1">
        <f>hyperlink("https://hetutrechtsarchief.nl/collectie/B7F525B428225ACA8B9888B68B7C55A8","Utrecht als monument B C van Beusekom 46-48 ill 1963")</f>
        <v>0</v>
      </c>
      <c r="D4021" s="1">
        <f>hyperlink("http://dspace.library.uu.nl/handle/1874/272447","Utrecht als monument B C van Beusekom 46-48 1963")</f>
        <v>0</v>
      </c>
    </row>
    <row r="4022" spans="2:4">
      <c r="B4022">
        <v>94</v>
      </c>
      <c r="C4022" s="1">
        <f>hyperlink("https://hetutrechtsarchief.nl/collectie/BC126BA00B0355A7A0ECF3B3E37D9A88","Johannes Decker Zimmerman - de J 55-57 1963")</f>
        <v>0</v>
      </c>
      <c r="D4022" s="1">
        <f>hyperlink("http://dspace.library.uu.nl/handle/1874/272537","Johannes Decker Zimmerman H de Jong 55-57 1963")</f>
        <v>0</v>
      </c>
    </row>
    <row r="4023" spans="2:4">
      <c r="B4023">
        <v>93</v>
      </c>
      <c r="C4023" s="1">
        <f>hyperlink("https://hetutrechtsarchief.nl/collectie/D2FBA9CE662553EB98AE9799DDF4C942","Geen dienstbodennood - H K 50 1963")</f>
        <v>0</v>
      </c>
      <c r="D4023" s="1">
        <f>hyperlink("http://dspace.library.uu.nl/handle/1874/272538","Geen dienstbodenbrood H K 50 1963")</f>
        <v>0</v>
      </c>
    </row>
    <row r="4024" spans="2:4">
      <c r="B4024">
        <v>96</v>
      </c>
      <c r="C4024" s="1">
        <f>hyperlink("https://hetutrechtsarchief.nl/collectie/F477D484DB685B77A097CA8A7DE2FA42","Herinneringen aan Prof Kern te Utrecht C Catharina van de Graft 61-63 portr 1963")</f>
        <v>0</v>
      </c>
      <c r="D4024" s="1">
        <f>hyperlink("http://dspace.library.uu.nl/handle/1874/272539","Herinneringen aan Prof Kern te Utrecht C Catharina van de Graft 61-63 1963")</f>
        <v>0</v>
      </c>
    </row>
    <row r="4025" spans="2:4">
      <c r="B4025">
        <v>100</v>
      </c>
      <c r="C4025" s="1">
        <f>hyperlink("https://hetutrechtsarchief.nl/collectie/1B3858E056F75D148E4B9ED68D9DE4E6","Iets uit de geschiedenis van kasteel Zuylesteyn Aleid van de Bunt 89-92 1963")</f>
        <v>0</v>
      </c>
      <c r="D4025" s="1">
        <f>hyperlink("http://dspace.library.uu.nl/handle/1874/272600","Iets uit de geschiedenis van kasteel Zuylesteyn Aleid van de Bunt 89-92 1963")</f>
        <v>0</v>
      </c>
    </row>
    <row r="4026" spans="2:4">
      <c r="B4026">
        <v>96</v>
      </c>
      <c r="C4026" s="1">
        <f>hyperlink("https://hetutrechtsarchief.nl/collectie/7B428AE740205A47B27217C5F9CC642A","De Korenwaard bij Amerongen E J Demoed 102-104 krt 1963")</f>
        <v>0</v>
      </c>
      <c r="D4026" s="1">
        <f>hyperlink("http://dspace.library.uu.nl/handle/1874/272601","De korenwaard bij Amerongen E J Demoed 102-104 1963")</f>
        <v>0</v>
      </c>
    </row>
    <row r="4027" spans="2:4">
      <c r="B4027">
        <v>91</v>
      </c>
      <c r="C4027" s="1">
        <f>hyperlink("https://hetutrechtsarchief.nl/collectie/53F6A2C7B7EB54C8AF10739C0F4AA4A4","Baarns gemeentehuis of de lotgevallen van een schoutenhuis en omgeving - de J 126-136 ill 1963")</f>
        <v>0</v>
      </c>
      <c r="D4027" s="1">
        <f>hyperlink("http://dspace.library.uu.nl/handle/1874/272602","Baarns gemeentehuis of de lotgevallen van een schoutenhuis en omgeving J K van Loon 126-134 1963")</f>
        <v>0</v>
      </c>
    </row>
    <row r="4028" spans="2:4">
      <c r="B4028">
        <v>97</v>
      </c>
      <c r="C4028" s="1">
        <f>hyperlink("https://hetutrechtsarchief.nl/collectie/5B34284E3A4058EAA11DA8385E41CFD6","De windmolens van het waterschap Lopik J G M Boon 108-110 ill 1963")</f>
        <v>0</v>
      </c>
      <c r="D4028" s="1">
        <f>hyperlink("http://dspace.library.uu.nl/handle/1874/272603","De windmolens van het waterschap Lopik J G M Boon 108-110 1963")</f>
        <v>0</v>
      </c>
    </row>
    <row r="4029" spans="2:4">
      <c r="B4029">
        <v>95</v>
      </c>
      <c r="C4029" s="1">
        <f>hyperlink("https://hetutrechtsarchief.nl/collectie/77D5FE60A3B25FD7A48A8A11B0E6CF54","De maires van Soest E Heupers 114-122 ill 1963")</f>
        <v>0</v>
      </c>
      <c r="D4029" s="1">
        <f>hyperlink("http://dspace.library.uu.nl/handle/1874/272604","De maires van Soest E Heupers 114-122 1963")</f>
        <v>0</v>
      </c>
    </row>
    <row r="4030" spans="2:4">
      <c r="B4030">
        <v>92</v>
      </c>
      <c r="C4030" s="1">
        <f>hyperlink("https://hetutrechtsarchief.nl/collectie/B68622B5938F5F54973EDA3B89DAC1ED","Winkelen in Utrecht omstreeks 1900 - de J 70-81 ill 1963")</f>
        <v>0</v>
      </c>
      <c r="D4030" s="1">
        <f>hyperlink("http://dspace.library.uu.nl/handle/1874/272605","Winkelen in Utrecht omstreeks 1900 H de Jong 70-81 1963")</f>
        <v>0</v>
      </c>
    </row>
    <row r="4031" spans="2:4">
      <c r="B4031">
        <v>100</v>
      </c>
      <c r="C4031" s="1">
        <f>hyperlink("https://hetutrechtsarchief.nl/collectie/BD7B77F965BB503AB2DEF38EE68FF123","Langs de Kromme Rijn J van Galen 93-95 1963")</f>
        <v>0</v>
      </c>
      <c r="D4031" s="1">
        <f>hyperlink("http://dspace.library.uu.nl/handle/1874/272606","Langs de Kromme Rijn J van Galen 93-95 1963")</f>
        <v>0</v>
      </c>
    </row>
    <row r="4032" spans="2:4">
      <c r="B4032">
        <v>100</v>
      </c>
      <c r="C4032" s="1">
        <f>hyperlink("https://hetutrechtsarchief.nl/collectie/A4293288501A52508E8B31D5082C31AC","De topografische atlas van het gemeentearchief van Utrecht en de jubileum-tentoonstelling van Oud-Utrecht J W C van Campen 86-88 1963")</f>
        <v>0</v>
      </c>
      <c r="D4032" s="1">
        <f>hyperlink("http://dspace.library.uu.nl/handle/1874/272607","De topografische atlas van het Gemeente-Archief van Utrecht en de jubileum-tentoonstelling van Oud-Utrecht J W C van Campen 86-88 1963")</f>
        <v>0</v>
      </c>
    </row>
    <row r="4033" spans="2:4">
      <c r="B4033">
        <v>100</v>
      </c>
      <c r="C4033" s="1">
        <f>hyperlink("https://hetutrechtsarchief.nl/collectie/09F30E0C9FE956069F813F195D64DB44","De stadszangschool van J H Kufferath 1830-1862 C A J Bastiaenen 105-107 1963")</f>
        <v>0</v>
      </c>
      <c r="D4033" s="1">
        <f>hyperlink("http://dspace.library.uu.nl/handle/1874/272608","De stadszangschool van J H Kufferath 1830-1862 C A J Bastiaenen 105-107 1963")</f>
        <v>0</v>
      </c>
    </row>
    <row r="4034" spans="2:4">
      <c r="B4034">
        <v>98</v>
      </c>
      <c r="C4034" s="1">
        <f>hyperlink("https://hetutrechtsarchief.nl/collectie/18CE3E3E8E5D558D8D92D5516B8ECFD0","Plantengroei in Oud-Utrecht - H K 96-98 1963")</f>
        <v>0</v>
      </c>
      <c r="D4034" s="1">
        <f>hyperlink("http://dspace.library.uu.nl/handle/1874/272609","Plantengroei in Oud-Utrecht H K 96-98 1963")</f>
        <v>0</v>
      </c>
    </row>
    <row r="4035" spans="2:4">
      <c r="B4035">
        <v>65</v>
      </c>
      <c r="C4035" s="1">
        <f>hyperlink("https://hetutrechtsarchief.nl/collectie/F7698DCBB53856888822ED2D1D2104C0","Prefectus alferus E J Haslinghuis 110-111 1963")</f>
        <v>0</v>
      </c>
      <c r="D4035" s="1">
        <f>hyperlink("http://dspace.library.uu.nl/handle/1874/272610","Prefectus Alferus A J Campen J W C van Maris 123 nr 12 p 135 1963")</f>
        <v>0</v>
      </c>
    </row>
    <row r="4036" spans="2:4">
      <c r="B4036">
        <v>100</v>
      </c>
      <c r="C4036" s="1">
        <f>hyperlink("https://hetutrechtsarchief.nl/collectie/DAF87C600A395BAE9A225CD4D523DEC8","Aubade in Zuid-Tirol voor J Wagenaar C A J Bastiaenen 6-8 1964")</f>
        <v>0</v>
      </c>
      <c r="D4036" s="1">
        <f>hyperlink("http://dspace.library.uu.nl/handle/1874/272611","Aubade in Zuid-Tirol voor J Wagenaar C A J Bastiaenen 6-8 1964")</f>
        <v>0</v>
      </c>
    </row>
    <row r="4037" spans="2:4">
      <c r="B4037">
        <v>100</v>
      </c>
      <c r="C4037" s="1">
        <f>hyperlink("https://hetutrechtsarchief.nl/collectie/0370856478785150B6635A8823BBEC44","Hees en Den Dolder M Raven 5-6 1964")</f>
        <v>0</v>
      </c>
      <c r="D4037" s="1">
        <f>hyperlink("http://dspace.library.uu.nl/handle/1874/272612","Hees en Den Dolder M Raven 5-6 1964")</f>
        <v>0</v>
      </c>
    </row>
    <row r="4038" spans="2:4">
      <c r="B4038">
        <v>96</v>
      </c>
      <c r="C4038" s="1">
        <f>hyperlink("https://hetutrechtsarchief.nl/collectie/59974F274B2A58238F482C804120AF38","De Utrechtsche Dom te Gouda A G Ubaghs 8-10 ill 1964")</f>
        <v>0</v>
      </c>
      <c r="D4038" s="1">
        <f>hyperlink("http://dspace.library.uu.nl/handle/1874/272613","De Utrechtsche Dom te Gouda A G Ubaghs 8-10 1964")</f>
        <v>0</v>
      </c>
    </row>
    <row r="4039" spans="2:4">
      <c r="B4039">
        <v>95</v>
      </c>
      <c r="C4039" s="1">
        <f>hyperlink("https://hetutrechtsarchief.nl/collectie/09ABB5AC3CDD529CA565527BF4197C24","De grote- en kleine melm te Soest E Heupers 13-20 ill 1964")</f>
        <v>0</v>
      </c>
      <c r="D4039" s="1">
        <f>hyperlink("http://dspace.library.uu.nl/handle/1874/272693","De Grote en Kleine Melm te Soest E Heupers 13-20 1964")</f>
        <v>0</v>
      </c>
    </row>
    <row r="4040" spans="2:4">
      <c r="B4040">
        <v>98</v>
      </c>
      <c r="C4040" s="1">
        <f>hyperlink("https://hetutrechtsarchief.nl/collectie/E5E8B56542765B64873D2B172A98691D","Vondsten in en nabij de Kapittelkerk van St Pieter J W C van Campen 28-30 ill 1964")</f>
        <v>0</v>
      </c>
      <c r="D4040" s="1">
        <f>hyperlink("http://dspace.library.uu.nl/handle/1874/272694","Vondsten in en nabij de Kapittelkerk van St Pieter J W C van Campen 28-30 1964")</f>
        <v>0</v>
      </c>
    </row>
    <row r="4041" spans="2:4">
      <c r="B4041">
        <v>91</v>
      </c>
      <c r="C4041" s="1">
        <f>hyperlink("https://hetutrechtsarchief.nl/collectie/B33A7AC3B4935B3A8881C593A3A09B7D","Kasteel Vredenburg te Delft - de J 21-22 ill 1964")</f>
        <v>0</v>
      </c>
      <c r="D4041" s="1">
        <f>hyperlink("http://dspace.library.uu.nl/handle/1874/272695","Kasteel Vredenburg te Delft H de Jong 21-22 1964")</f>
        <v>0</v>
      </c>
    </row>
    <row r="4042" spans="2:4">
      <c r="B4042">
        <v>94</v>
      </c>
      <c r="C4042" s="1">
        <f>hyperlink("https://hetutrechtsarchief.nl/collectie/20B02C83A46C5C4DB679FEA38065A81A","Een museum jubileert - de J 26-27 1964")</f>
        <v>0</v>
      </c>
      <c r="D4042" s="1">
        <f>hyperlink("http://dspace.library.uu.nl/handle/1874/272696","Een museum jubileert H de Jong 26-27 1964")</f>
        <v>0</v>
      </c>
    </row>
    <row r="4043" spans="2:4">
      <c r="B4043">
        <v>62</v>
      </c>
      <c r="C4043" s="1">
        <f>hyperlink("https://hetutrechtsarchief.nl/collectie/78E03F859F6A552595E22EA9CAD88834","Huize Oudaen 8-9 ill 1984")</f>
        <v>0</v>
      </c>
      <c r="D4043" s="1">
        <f>hyperlink("http://dspace.library.uu.nl/handle/1874/272754","Huize De Bel 70 1964")</f>
        <v>0</v>
      </c>
    </row>
    <row r="4044" spans="2:4">
      <c r="B4044">
        <v>96</v>
      </c>
      <c r="C4044" s="1">
        <f>hyperlink("https://hetutrechtsarchief.nl/collectie/DC85D36090E15BF4AA86923797B5E53B","Een huishoudboek uit het begin van de 19e eeuw Aleid van de Bunt 106-110 portr 1964")</f>
        <v>0</v>
      </c>
      <c r="D4044" s="1">
        <f>hyperlink("http://dspace.library.uu.nl/handle/1874/272755","Een huishoudboek uit het begin van de 19e eeuw Aleid van de Bunt 106-110 1964")</f>
        <v>0</v>
      </c>
    </row>
    <row r="4045" spans="2:4">
      <c r="B4045">
        <v>88</v>
      </c>
      <c r="C4045" s="1">
        <f>hyperlink("https://hetutrechtsarchief.nl/collectie/9E9FF1F8F89E55EF8818C8CC3F96991A","Steenstraat en Holle Bilt 71-76 1964")</f>
        <v>0</v>
      </c>
      <c r="D4045" s="1">
        <f>hyperlink("http://dspace.library.uu.nl/handle/1874/272756","Steenstraat en Holle Bilt P H Damst 71-76 1964")</f>
        <v>0</v>
      </c>
    </row>
    <row r="4046" spans="2:4">
      <c r="B4046">
        <v>92</v>
      </c>
      <c r="C4046" s="1">
        <f>hyperlink("https://hetutrechtsarchief.nl/collectie/928AE164592854FBB55BAFDB051D2C2C","Het raadhuis Sparrendaal vroeger en nu Wim Harzing 33-43 51-57 ill 1964")</f>
        <v>0</v>
      </c>
      <c r="D4046" s="1">
        <f>hyperlink("http://dspace.library.uu.nl/handle/1874/272757","Het raadhuis Sparrendaal vroeger en nu Wim Harzing 33-43 nr 5 p 51-57 1964")</f>
        <v>0</v>
      </c>
    </row>
    <row r="4047" spans="2:4">
      <c r="B4047">
        <v>58</v>
      </c>
      <c r="C4047" s="1">
        <f>hyperlink("https://hetutrechtsarchief.nl/collectie/928AE164592854FBB55BAFDB051D2C2C","Het raadhuis Sparrendaal vroeger en nu Wim Harzing 33-43 51-57 ill 1964")</f>
        <v>0</v>
      </c>
      <c r="D4047" s="1">
        <f>hyperlink("http://dspace.library.uu.nl/handle/1874/272758","Het Schippershuis bedreigd met afbraak W Harzing 151-152 1964")</f>
        <v>0</v>
      </c>
    </row>
    <row r="4048" spans="2:4">
      <c r="B4048">
        <v>96</v>
      </c>
      <c r="C4048" s="1">
        <f>hyperlink("https://hetutrechtsarchief.nl/collectie/799C9B94BCE05997A8045C3F06EAA2FC","Vroedschapsmisere in Montfoort tijdens de Franse revolutie A C Hellema 85-91 ill 1964")</f>
        <v>0</v>
      </c>
      <c r="D4048" s="1">
        <f>hyperlink("http://dspace.library.uu.nl/handle/1874/272759","Vroedschapsmis re in Montfoort tijdens de Franse Revolutie A C Hellema 85-91 1964")</f>
        <v>0</v>
      </c>
    </row>
    <row r="4049" spans="2:4">
      <c r="B4049">
        <v>96</v>
      </c>
      <c r="C4049" s="1">
        <f>hyperlink("https://hetutrechtsarchief.nl/collectie/A89767481A2A55FFBB4DF924DAF6F5E5","Grensstenen en veldnamen E Heupers 98-105 ill 1964")</f>
        <v>0</v>
      </c>
      <c r="D4049" s="1">
        <f>hyperlink("http://dspace.library.uu.nl/handle/1874/272760","Grensstenen en veldnamen E Heupers 98-105 1964")</f>
        <v>0</v>
      </c>
    </row>
    <row r="4050" spans="2:4">
      <c r="B4050">
        <v>63</v>
      </c>
      <c r="C4050" s="1">
        <f>hyperlink("https://hetutrechtsarchief.nl/collectie/B7F525B428225ACA8B9888B68B7C55A8","Utrecht als monument B C van Beusekom 46-48 ill 1963")</f>
        <v>0</v>
      </c>
      <c r="D4050" s="1">
        <f>hyperlink("http://dspace.library.uu.nl/handle/1874/272761","De familienaam Cloetinc in Utrecht B C van Beusekom 46-47 1964")</f>
        <v>0</v>
      </c>
    </row>
    <row r="4051" spans="2:4">
      <c r="B4051">
        <v>95</v>
      </c>
      <c r="C4051" s="1">
        <f>hyperlink("https://hetutrechtsarchief.nl/collectie/A255287B3C7B5F9EAD498591AD5D945B","Herinnering aan molen De Kat 43 ill 1964")</f>
        <v>0</v>
      </c>
      <c r="D4051" s="1">
        <f>hyperlink("http://dspace.library.uu.nl/handle/1874/272762","Herinnering aan Molen de Kat 43 1964")</f>
        <v>0</v>
      </c>
    </row>
    <row r="4052" spans="2:4">
      <c r="B4052">
        <v>96</v>
      </c>
      <c r="C4052" s="1">
        <f>hyperlink("https://hetutrechtsarchief.nl/collectie/B4A64E6B1E94596F9A1FCD41F1148C49","Forten rondom Utrecht J D M Bardet 62-64 ill 1964")</f>
        <v>0</v>
      </c>
      <c r="D4052" s="1">
        <f>hyperlink("http://dspace.library.uu.nl/handle/1874/272763","Forten rondom Utrecht J D M Bardet 62-64 1964")</f>
        <v>0</v>
      </c>
    </row>
    <row r="4053" spans="2:4">
      <c r="B4053">
        <v>97</v>
      </c>
      <c r="C4053" s="1">
        <f>hyperlink("https://hetutrechtsarchief.nl/collectie/E44B57AC0C115508B8ED5B159896ED4A","In Utrecht zingt de tijd een klokkengeschiedenis Chris Bos 65-70 ill 1964")</f>
        <v>0</v>
      </c>
      <c r="D4053" s="1">
        <f>hyperlink("http://dspace.library.uu.nl/handle/1874/272764","In Utrecht zingt de tijd een klokkengeschiedenis Chris Bos 65-70 1964")</f>
        <v>0</v>
      </c>
    </row>
    <row r="4054" spans="2:4">
      <c r="B4054">
        <v>98</v>
      </c>
      <c r="C4054" s="1">
        <f>hyperlink("https://hetutrechtsarchief.nl/collectie/11AEC165DBD95ADFB409CE96740AF0AF","Beroep en bedrijf in het Utrecht van voor honderd jaar A Graafhuis 113-144 ill 1964")</f>
        <v>0</v>
      </c>
      <c r="D4054" s="1">
        <f>hyperlink("http://dspace.library.uu.nl/handle/1874/272765","Beroep en bedrijf in het Utrecht van voor honderd jaar A Graafhuis 113-144 1964")</f>
        <v>0</v>
      </c>
    </row>
    <row r="4055" spans="2:4">
      <c r="B4055">
        <v>93</v>
      </c>
      <c r="C4055" s="1">
        <f>hyperlink("https://hetutrechtsarchief.nl/collectie/3809BBBA21705CCC875DA5DB7B1F7DF0","De geschriften van Mr J W C van Campen 1928-1962 bibliografisch overzicht hem aangeboden bij zijn afscheid als gemeente-archivaris van Utrecht op 28 augustus 1964 samengesteld door A Graafhuis en J E A L Struick na p 96 portr 1964")</f>
        <v>0</v>
      </c>
      <c r="D4055" s="1">
        <f>hyperlink("http://dspace.library.uu.nl/handle/1874/272766","De geschriften van Mr J W C van Campen 1928 - 1962 bibliografisch overzicht hem aangeboden bij zijn afscheid als gemeente-archivaris van Utrecht op 28 Augustus 1964 samengest door A Graafhuis en J E A L Struick J E A L Graafhuis A Struick 1964")</f>
        <v>0</v>
      </c>
    </row>
    <row r="4056" spans="2:4">
      <c r="B4056">
        <v>96</v>
      </c>
      <c r="C4056" s="1">
        <f>hyperlink("https://hetutrechtsarchief.nl/collectie/DA95BABC005A5533926927AFD2A9B5A0","Begrafenispractijken in het oude Utrecht - de J 154-156 1964")</f>
        <v>0</v>
      </c>
      <c r="D4056" s="1">
        <f>hyperlink("http://dspace.library.uu.nl/handle/1874/272767","Begrafenispractijken in het oude Utrecht H de Jong 154-156 1964")</f>
        <v>0</v>
      </c>
    </row>
    <row r="4057" spans="2:4">
      <c r="B4057">
        <v>92</v>
      </c>
      <c r="C4057" s="1">
        <f>hyperlink("https://hetutrechtsarchief.nl/collectie/946DA0DC538F5E6B9933EFFF270D3980","Het tweede hoofdgebouw van de N S - de J 78-81 ill 1964")</f>
        <v>0</v>
      </c>
      <c r="D4057" s="1">
        <f>hyperlink("http://dspace.library.uu.nl/handle/1874/272768","Het Tweede Hoofdgebouw van de N S H de Jong 78-81 1964")</f>
        <v>0</v>
      </c>
    </row>
    <row r="4058" spans="2:4">
      <c r="B4058">
        <v>88</v>
      </c>
      <c r="C4058" s="1">
        <f>hyperlink("https://hetutrechtsarchief.nl/collectie/05755E9BA4A6576BAE385B429A0E327E","Risico s op reis - H K 145-147 1964")</f>
        <v>0</v>
      </c>
      <c r="D4058" s="1">
        <f>hyperlink("http://dspace.library.uu.nl/handle/1874/272769","Risico s op reis H Knoester 145-147 1964")</f>
        <v>0</v>
      </c>
    </row>
    <row r="4059" spans="2:4">
      <c r="B4059">
        <v>100</v>
      </c>
      <c r="C4059" s="1">
        <f>hyperlink("https://hetutrechtsarchief.nl/collectie/BF75A921703552DF8168C85B392428A5","Wandeling over de Utrechtse kermis in de 17e eeuw H J H Knoester 156-158 1964")</f>
        <v>0</v>
      </c>
      <c r="D4059" s="1">
        <f>hyperlink("http://dspace.library.uu.nl/handle/1874/272770","Wandeling over de Utrechtse kermis in de 17e eeuw H J H Knoester 156-158 1964")</f>
        <v>0</v>
      </c>
    </row>
    <row r="4060" spans="2:4">
      <c r="B4060">
        <v>92</v>
      </c>
      <c r="C4060" s="1">
        <f>hyperlink("https://hetutrechtsarchief.nl/collectie/3DE29A7CB38F5B3D8142493CA26024F2","Een oud huis in de Jacobijnestraat P J E Luykx 44-45 tek plgr 1964")</f>
        <v>0</v>
      </c>
      <c r="D4060" s="1">
        <f>hyperlink("http://dspace.library.uu.nl/handle/1874/272771","Een oud huis in de Jacobijnenstraat P J E Luykx 44-45 1964")</f>
        <v>0</v>
      </c>
    </row>
    <row r="4061" spans="2:4">
      <c r="B4061">
        <v>96</v>
      </c>
      <c r="C4061" s="1">
        <f>hyperlink("https://hetutrechtsarchief.nl/collectie/3A61E7180C835495B934D6BD757F2318","Het St Jobsgasthuis en zijn overblijfselen P J E Luykx 147-151 ill 1964")</f>
        <v>0</v>
      </c>
      <c r="D4061" s="1">
        <f>hyperlink("http://dspace.library.uu.nl/handle/1874/272772","Het St Jacobsgasthuis en zijn overblijfselen P J E Luykx 147-151 1964")</f>
        <v>0</v>
      </c>
    </row>
    <row r="4062" spans="2:4">
      <c r="B4062">
        <v>100</v>
      </c>
      <c r="C4062" s="1">
        <f>hyperlink("https://hetutrechtsarchief.nl/collectie/7DA4EAF07111500CADEC132707BB24D0","De geboorte van een dorp Veenendaal D Philips 57-60 1964")</f>
        <v>0</v>
      </c>
      <c r="D4062" s="1">
        <f>hyperlink("http://dspace.library.uu.nl/handle/1874/272773","De geboorte van een dorp Veenendaal D Philips 57-60 1964")</f>
        <v>0</v>
      </c>
    </row>
    <row r="4063" spans="2:4">
      <c r="B4063">
        <v>93</v>
      </c>
      <c r="C4063" s="1">
        <f>hyperlink("https://hetutrechtsarchief.nl/collectie/34C0665DB7685473A22C3737166EEA08","Ter nagedachtenis van Jhr Dr B M de Jonge van Ellemeet - v C 82-83 1962")</f>
        <v>0</v>
      </c>
      <c r="D4063" s="1">
        <f>hyperlink("http://dspace.library.uu.nl/handle/1874/272960","Ter nagedachtenis van Jhr Dr B M de Jonge van Ellemeet J W C van Campen 82-83 1962")</f>
        <v>0</v>
      </c>
    </row>
    <row r="4064" spans="2:4">
      <c r="B4064">
        <v>95</v>
      </c>
      <c r="C4064" s="1">
        <f>hyperlink("https://hetutrechtsarchief.nl/collectie/D54F5F61F9435AB5913B581A9799F8C0","Het cantonspark te Baarn 18-21 ill 1965")</f>
        <v>0</v>
      </c>
      <c r="D4064" s="1">
        <f>hyperlink("http://dspace.library.uu.nl/handle/1874/273004","Het Cantonspark te Baarn 18-21 1965")</f>
        <v>0</v>
      </c>
    </row>
    <row r="4065" spans="2:4">
      <c r="B4065">
        <v>100</v>
      </c>
      <c r="C4065" s="1">
        <f>hyperlink("https://hetutrechtsarchief.nl/collectie/786F15EE4D9350BC96610F938B9DCE5D","Ex-keizer Wilhelm II uit Doorn naar Engeland of Duitsland J J Beyerman 13-14 1965")</f>
        <v>0</v>
      </c>
      <c r="D4065" s="1">
        <f>hyperlink("http://dspace.library.uu.nl/handle/1874/273005","Ex-keizer Wilhelm II uit Doorn naar Engeland of Duitsland J J Beyerman 13-14 1965")</f>
        <v>0</v>
      </c>
    </row>
    <row r="4066" spans="2:4">
      <c r="B4066">
        <v>89</v>
      </c>
      <c r="C4066" s="1">
        <f>hyperlink("https://hetutrechtsarchief.nl/collectie/E38BEDC63A835EAE83C98F0FD9F26DB3","Schippers en spoorwegen 1837 - v C 21-23 1965")</f>
        <v>0</v>
      </c>
      <c r="D4066" s="1">
        <f>hyperlink("http://dspace.library.uu.nl/handle/1874/273006","Schippers en spoorwegen 1837 J W C van Campen 21-23 1965")</f>
        <v>0</v>
      </c>
    </row>
    <row r="4067" spans="2:4">
      <c r="B4067">
        <v>100</v>
      </c>
      <c r="C4067" s="1">
        <f>hyperlink("https://hetutrechtsarchief.nl/collectie/42CB2365671257F5AC48B7E3A52C5DEC","H C Andersen in Utrecht C Catharina van de Graft 9-11 1965")</f>
        <v>0</v>
      </c>
      <c r="D4067" s="1">
        <f>hyperlink("http://dspace.library.uu.nl/handle/1874/273007","H C Andersen in Utrecht C Catharina van de Graft 9-11 1965")</f>
        <v>0</v>
      </c>
    </row>
    <row r="4068" spans="2:4">
      <c r="B4068">
        <v>100</v>
      </c>
      <c r="C4068" s="1">
        <f>hyperlink("https://hetutrechtsarchief.nl/collectie/677195BE535C5E27A28DBED46033899C","Het silverpoppegoet van Clara Johanna Kriecx H Knoester 11-12 1965")</f>
        <v>0</v>
      </c>
      <c r="D4068" s="1">
        <f>hyperlink("http://dspace.library.uu.nl/handle/1874/273008","Het silverpoppegoet van Clara Johanna Kriecx H Knoester 11-12 1965")</f>
        <v>0</v>
      </c>
    </row>
    <row r="4069" spans="2:4">
      <c r="B4069">
        <v>100</v>
      </c>
      <c r="C4069" s="1">
        <f>hyperlink("https://hetutrechtsarchief.nl/collectie/A13CDCE7B32655D2B75FDC8982C9F65E","De bisschopsstad Utrecht J E A L Struick 2-7 1965")</f>
        <v>0</v>
      </c>
      <c r="D4069" s="1">
        <f>hyperlink("http://dspace.library.uu.nl/handle/1874/273009","De bisschopsstad Utrecht J E A L Struick 2-7 1965")</f>
        <v>0</v>
      </c>
    </row>
    <row r="4070" spans="2:4">
      <c r="B4070">
        <v>98</v>
      </c>
      <c r="C4070" s="1">
        <f>hyperlink("https://hetutrechtsarchief.nl/collectie/58F903BACC8B58159CB668ED0516F703","Heropening van het gerestaureerde raadhuis te Montfoort C L Temminck Groll 34-36 ill 1965")</f>
        <v>0</v>
      </c>
      <c r="D4070" s="1">
        <f>hyperlink("http://dspace.library.uu.nl/handle/1874/273149","Heropening van het gerestaureerde raadhuis te Montfoort C L Temminck Groll 34-36 1965")</f>
        <v>0</v>
      </c>
    </row>
    <row r="4071" spans="2:4">
      <c r="B4071">
        <v>100</v>
      </c>
      <c r="C4071" s="1">
        <f>hyperlink("https://hetutrechtsarchief.nl/collectie/5FE7940C27BA55898825E49624C84727","Prins Rupert van de Palts en het Rhenense Koningshuis Aleid van de Bunt 29-32 1965")</f>
        <v>0</v>
      </c>
      <c r="D4071" s="1">
        <f>hyperlink("http://dspace.library.uu.nl/handle/1874/273150","Prins Rupert van de Palts en het Rhenense Koningshuis Aleid van de Bunt 29-32 1965")</f>
        <v>0</v>
      </c>
    </row>
    <row r="4072" spans="2:4">
      <c r="B4072">
        <v>96</v>
      </c>
      <c r="C4072" s="1">
        <f>hyperlink("https://hetutrechtsarchief.nl/collectie/3CDA61B5EAB956C89AA784D096AFF71A","De herbergh op de nieuwe melm E Heupers 50-54 ill 1965")</f>
        <v>0</v>
      </c>
      <c r="D4072" s="1">
        <f>hyperlink("http://dspace.library.uu.nl/handle/1874/273151","De Herbergh op de Nieuwe Melm E Heupers 50-54 1965")</f>
        <v>0</v>
      </c>
    </row>
    <row r="4073" spans="2:4">
      <c r="B4073">
        <v>98</v>
      </c>
      <c r="C4073" s="1">
        <f>hyperlink("https://hetutrechtsarchief.nl/collectie/AB58AE53AC7F534F9CD3C92E78664999","De vroeg-romaanse reliefs gevonden in de Pieterskerk J E A L Struick 44-50 ill 1965")</f>
        <v>0</v>
      </c>
      <c r="D4073" s="1">
        <f>hyperlink("http://dspace.library.uu.nl/handle/1874/273152","De vroeg-romaanse reliefs gevonden in de Pieterskerk J E A L Struick 44-50 1965")</f>
        <v>0</v>
      </c>
    </row>
    <row r="4074" spans="2:4">
      <c r="B4074">
        <v>100</v>
      </c>
      <c r="C4074" s="1">
        <f>hyperlink("https://hetutrechtsarchief.nl/collectie/443C6EE2C8865F41978BABAF4653B6C4","Jan Gossaert genaamd Mabuse A J van de Ven 42-43 1965")</f>
        <v>0</v>
      </c>
      <c r="D4074" s="1">
        <f>hyperlink("http://dspace.library.uu.nl/handle/1874/273153","Jan Gossaert genaamd Mabuse A J van de Ven 42-43 1965")</f>
        <v>0</v>
      </c>
    </row>
    <row r="4075" spans="2:4">
      <c r="B4075">
        <v>100</v>
      </c>
      <c r="C4075" s="1">
        <f>hyperlink("https://hetutrechtsarchief.nl/collectie/D3CA3256ED4C59CA823B7481FF147040","De grenzen van Den Dolder M Raven 71-72 1965")</f>
        <v>0</v>
      </c>
      <c r="D4075" s="1">
        <f>hyperlink("http://dspace.library.uu.nl/handle/1874/273277","De grenzen van Den Dolder M Raven 71-72 1965")</f>
        <v>0</v>
      </c>
    </row>
    <row r="4076" spans="2:4">
      <c r="B4076">
        <v>97</v>
      </c>
      <c r="C4076" s="1">
        <f>hyperlink("https://hetutrechtsarchief.nl/collectie/AD0B2A742761510E97D107479343B9A2","Drie molenrestauraties in Utrecht C L Temminck Groll 91-94 ill 1965")</f>
        <v>0</v>
      </c>
      <c r="D4076" s="1">
        <f>hyperlink("http://dspace.library.uu.nl/handle/1874/273278","Drie molenrestauraties in Utrecht C L Temminck Groll 91-94 1965")</f>
        <v>0</v>
      </c>
    </row>
    <row r="4077" spans="2:4">
      <c r="B4077">
        <v>77</v>
      </c>
      <c r="C4077" s="1">
        <f>hyperlink("https://hetutrechtsarchief.nl/collectie/758290A916A559C086D8C0C36A7AC494","Een muntvondst te De Meern C A Kalee 25 1968")</f>
        <v>0</v>
      </c>
      <c r="D4077" s="1">
        <f>hyperlink("http://dspace.library.uu.nl/handle/1874/273279","Romeinse vondsten te De Meern C A Kalee 69-70 1965")</f>
        <v>0</v>
      </c>
    </row>
    <row r="4078" spans="2:4">
      <c r="B4078">
        <v>98</v>
      </c>
      <c r="C4078" s="1">
        <f>hyperlink("https://hetutrechtsarchief.nl/collectie/A519C83512CF50BAACF70E956E0A60BC","De vrouwe van Doorwerth aan de magistraat van Rhenen Aleid van de Bunt 80-83 ill 1965")</f>
        <v>0</v>
      </c>
      <c r="D4078" s="1">
        <f>hyperlink("http://dspace.library.uu.nl/handle/1874/273280","De Vrouwe van Doorwerth aan de magistraat van Rhenen Aleid van de Bunt 80-83 1965")</f>
        <v>0</v>
      </c>
    </row>
    <row r="4079" spans="2:4">
      <c r="B4079">
        <v>94</v>
      </c>
      <c r="C4079" s="1">
        <f>hyperlink("https://hetutrechtsarchief.nl/collectie/96648C260E0350698D3A557B1CEB4809","Maeterlinck en Utrecht H Wagenvoort 100-106 portr 1965")</f>
        <v>0</v>
      </c>
      <c r="D4079" s="1">
        <f>hyperlink("http://dspace.library.uu.nl/handle/1874/273281","Maeterlinck en Utrecht H Wagenvoort 100-106 1965")</f>
        <v>0</v>
      </c>
    </row>
    <row r="4080" spans="2:4">
      <c r="B4080">
        <v>100</v>
      </c>
      <c r="C4080" s="1">
        <f>hyperlink("https://hetutrechtsarchief.nl/collectie/795D3F0843A85EE983A1BBCA3D48DFDA","De ontwikkeling der gebeurtenissen van 753 J van Galen 57-61 1965")</f>
        <v>0</v>
      </c>
      <c r="D4080" s="1">
        <f>hyperlink("http://dspace.library.uu.nl/handle/1874/273282","De ontwikkeling der gebeurtenissen van 753 J van Galen 57-61 1965")</f>
        <v>0</v>
      </c>
    </row>
    <row r="4081" spans="2:4">
      <c r="B4081">
        <v>100</v>
      </c>
      <c r="C4081" s="1">
        <f>hyperlink("https://hetutrechtsarchief.nl/collectie/A432466A3FBB5CFC913F623449285BE7","Fran ois Halma boekverkoper en boekdrukker 1653-1722 C Catharina van de Graft 85-90 1965")</f>
        <v>0</v>
      </c>
      <c r="D4081" s="1">
        <f>hyperlink("http://dspace.library.uu.nl/handle/1874/273283","Fran ois Halma boekverkoper en boekdrukker 1653-1722 C Catharina van de Graft 85-90 1965")</f>
        <v>0</v>
      </c>
    </row>
    <row r="4082" spans="2:4">
      <c r="B4082">
        <v>100</v>
      </c>
      <c r="C4082" s="1">
        <f>hyperlink("https://hetutrechtsarchief.nl/collectie/14E1FD27767151D4BBE4D9D53164CB42","Vondsten uit Utrecht C Isings 95 1965")</f>
        <v>0</v>
      </c>
      <c r="D4082" s="1">
        <f>hyperlink("http://dspace.library.uu.nl/handle/1874/273284","Vondsten uit Utrecht C Isings 95 1965")</f>
        <v>0</v>
      </c>
    </row>
    <row r="4083" spans="2:4">
      <c r="B4083">
        <v>91</v>
      </c>
      <c r="C4083" s="1">
        <f>hyperlink("https://hetutrechtsarchief.nl/collectie/A833B845C4065ADD83AE9650796FD3C9","Wachten op het laatste woord - de J 78-80 ill 1965")</f>
        <v>0</v>
      </c>
      <c r="D4083" s="1">
        <f>hyperlink("http://dspace.library.uu.nl/handle/1874/273285","Wachten op het laatste woord H de Jong 78-80 1965")</f>
        <v>0</v>
      </c>
    </row>
    <row r="4084" spans="2:4">
      <c r="B4084">
        <v>89</v>
      </c>
      <c r="C4084" s="1">
        <f>hyperlink("https://hetutrechtsarchief.nl/collectie/513E20DCCDFC5A789C3FFA97041160C1","Amersfoort of Rhenen - H de J 4-6 ill 1966")</f>
        <v>0</v>
      </c>
      <c r="D4084" s="1">
        <f>hyperlink("http://dspace.library.uu.nl/handle/1874/273358","Amersfoort of Rhenen H de Jong 4-6 1966")</f>
        <v>0</v>
      </c>
    </row>
    <row r="4085" spans="2:4">
      <c r="B4085">
        <v>96</v>
      </c>
      <c r="C4085" s="1">
        <f>hyperlink("https://hetutrechtsarchief.nl/collectie/243B04961F2B59BF8412D5CEFC8F12B9","De Utrechtsche Beetwortel-suikerfabriek J W C van Campen 114-117 portr 1965")</f>
        <v>0</v>
      </c>
      <c r="D4085" s="1">
        <f>hyperlink("http://dspace.library.uu.nl/handle/1874/273359","De Utrechtsche Beetwortel-Suikerfabriek J W C van Campen 114-117 1965")</f>
        <v>0</v>
      </c>
    </row>
    <row r="4086" spans="2:4">
      <c r="B4086">
        <v>89</v>
      </c>
      <c r="C4086" s="1">
        <f>hyperlink("https://hetutrechtsarchief.nl/collectie/FEFA36885C2855588938527D7991355E","De dom van Utrecht - H de J 109-113 ill 1965")</f>
        <v>0</v>
      </c>
      <c r="D4086" s="1">
        <f>hyperlink("http://dspace.library.uu.nl/handle/1874/273360","De Dom van Utrecht H de Jong 109-113 1965")</f>
        <v>0</v>
      </c>
    </row>
    <row r="4087" spans="2:4">
      <c r="B4087">
        <v>87</v>
      </c>
      <c r="C4087" s="1">
        <f>hyperlink("https://hetutrechtsarchief.nl/collectie/4921BBA2AA4955E7AB559301D3305751","Huis Zoudenbalch te Utrecht C L Temminck Groll 118-119 ill plgr tek 1965")</f>
        <v>0</v>
      </c>
      <c r="D4087" s="1">
        <f>hyperlink("http://dspace.library.uu.nl/handle/1874/273361","Huis Zoudenbalch te Utrecht C L Temminck Groll 118-120 1965")</f>
        <v>0</v>
      </c>
    </row>
    <row r="4088" spans="2:4">
      <c r="B4088">
        <v>78</v>
      </c>
      <c r="C4088" s="1">
        <f>hyperlink("https://hetutrechtsarchief.nl/collectie/315116EB06A45B74838CAFCE3A4BF8BA","De Servetstraat - v C 1-4 portr 1966")</f>
        <v>0</v>
      </c>
      <c r="D4088" s="1">
        <f>hyperlink("http://dspace.library.uu.nl/handle/1874/273362","De Servetstraat J W C van Campen 1-4 1966")</f>
        <v>0</v>
      </c>
    </row>
    <row r="4089" spans="2:4">
      <c r="B4089">
        <v>95</v>
      </c>
      <c r="C4089" s="1">
        <f>hyperlink("https://hetutrechtsarchief.nl/collectie/47936941D6E353B7837574F79F8E0C67","Nog iets over de voormalige abdij Oudwijk Z van Doorn 9-11 plgr 1966")</f>
        <v>0</v>
      </c>
      <c r="D4089" s="1">
        <f>hyperlink("http://dspace.library.uu.nl/handle/1874/273363","Nog iets over de voormalige abdij Oudwijk Z van Doorn 9-13 1966")</f>
        <v>0</v>
      </c>
    </row>
    <row r="4090" spans="2:4">
      <c r="B4090">
        <v>95</v>
      </c>
      <c r="C4090" s="1">
        <f>hyperlink("https://hetutrechtsarchief.nl/collectie/05D83F2AD96B502A914507BF7A8D77A0","Adam Simons 1770-1834 C Catharina van de Graft 13-15 portr 1966")</f>
        <v>0</v>
      </c>
      <c r="D4090" s="1">
        <f>hyperlink("http://dspace.library.uu.nl/handle/1874/273364","Adam Simons 1770-1834 C Catharina van de Graft 13-15 1966")</f>
        <v>0</v>
      </c>
    </row>
    <row r="4091" spans="2:4">
      <c r="B4091">
        <v>92</v>
      </c>
      <c r="C4091" s="1">
        <f>hyperlink("https://hetutrechtsarchief.nl/collectie/2558A5795A1F5849BED89C5E2FFA31A1","De laatste Reede van Amerongen Aleid van de Bunt 36-40 ill portr 1966")</f>
        <v>0</v>
      </c>
      <c r="D4091" s="1">
        <f>hyperlink("http://dspace.library.uu.nl/handle/1874/273440","De laatste Reede van Amerongen Aleid van de Bunt 36-40 1966")</f>
        <v>0</v>
      </c>
    </row>
    <row r="4092" spans="2:4">
      <c r="B4092">
        <v>94</v>
      </c>
      <c r="C4092" s="1">
        <f>hyperlink("https://hetutrechtsarchief.nl/collectie/C806A625EDD35985B3C7C6FE39D1A1CF","Middeleeuwse muurschilderingen te Lopik C L Temminck Groll 26-29 ill plgr 1966")</f>
        <v>0</v>
      </c>
      <c r="D4092" s="1">
        <f>hyperlink("http://dspace.library.uu.nl/handle/1874/273441","Middeleeuwse muurschilderingen te Lopik C L Temminck Groll 26-29 1966")</f>
        <v>0</v>
      </c>
    </row>
    <row r="4093" spans="2:4">
      <c r="B4093">
        <v>100</v>
      </c>
      <c r="C4093" s="1">
        <f>hyperlink("https://hetutrechtsarchief.nl/collectie/C41C4FCB325D5F3C99C8017FBCB7F617","Een schoolmeestersaanstelling in 1631 P H Damst 29-30 1966")</f>
        <v>0</v>
      </c>
      <c r="D4093" s="1">
        <f>hyperlink("http://dspace.library.uu.nl/handle/1874/273442","Een schoolmeestersaanstelling in 1631 P H Damst 29-30 1966")</f>
        <v>0</v>
      </c>
    </row>
    <row r="4094" spans="2:4">
      <c r="B4094">
        <v>96</v>
      </c>
      <c r="C4094" s="1">
        <f>hyperlink("https://hetutrechtsarchief.nl/collectie/5AD6EB1F946F572287E56BDE921DF544","Wat oude tegels vertelden E Heupers 20-22 ill 1966")</f>
        <v>0</v>
      </c>
      <c r="D4094" s="1">
        <f>hyperlink("http://dspace.library.uu.nl/handle/1874/273443","Wat oude tegels vertelden E Heupers 20-22 1966")</f>
        <v>0</v>
      </c>
    </row>
    <row r="4095" spans="2:4">
      <c r="B4095">
        <v>100</v>
      </c>
      <c r="C4095" s="1">
        <f>hyperlink("https://hetutrechtsarchief.nl/collectie/389C2B42282856F9B2AD7961E4C2C323","Waar heeft Willibrordus S Maartenskerk gestaan J van Galen 17-19 1966")</f>
        <v>0</v>
      </c>
      <c r="D4095" s="1">
        <f>hyperlink("http://dspace.library.uu.nl/handle/1874/273444","Waar heeft Willibrordus S Maartenskerk gestaan J van Galen 17-19 1966")</f>
        <v>0</v>
      </c>
    </row>
    <row r="4096" spans="2:4">
      <c r="B4096">
        <v>97</v>
      </c>
      <c r="C4096" s="1">
        <f>hyperlink("https://hetutrechtsarchief.nl/collectie/0C2FA238B933536881F8DC68393387C4","Oude gebruiken op de eerste mei C Catharina van de Graft 34-36 ill 1966")</f>
        <v>0</v>
      </c>
      <c r="D4096" s="1">
        <f>hyperlink("http://dspace.library.uu.nl/handle/1874/273445","Oude gebruiken op de eerste Mei C Catharina van de Graft 34-36 1966")</f>
        <v>0</v>
      </c>
    </row>
    <row r="4097" spans="2:4">
      <c r="B4097">
        <v>100</v>
      </c>
      <c r="C4097" s="1">
        <f>hyperlink("https://hetutrechtsarchief.nl/collectie/5761CBEFDAE4542799E62061F7DD0D0C","Een loflied op Utrecht van een Nijmegenaar 1725 A P van Schilfgaarde 30-31 1966")</f>
        <v>0</v>
      </c>
      <c r="D4097" s="1">
        <f>hyperlink("http://dspace.library.uu.nl/handle/1874/273446","Een loflied op Utrecht van een Nijmegenaar 1725 A P van Schilfgaarde 30-31 1966")</f>
        <v>0</v>
      </c>
    </row>
    <row r="4098" spans="2:4">
      <c r="B4098">
        <v>68</v>
      </c>
      <c r="C4098" s="1">
        <f>hyperlink("https://hetutrechtsarchief.nl/collectie/79E7A1F147915FB5812FFABB5751AAC6","Het plan Kuiper 73-75 plgr 1966")</f>
        <v>0</v>
      </c>
      <c r="D4098" s="1">
        <f>hyperlink("http://dspace.library.uu.nl/handle/1874/273475","Het Plan Kuiper Oud-Utrecht Bestuur 73-75 1966")</f>
        <v>0</v>
      </c>
    </row>
    <row r="4099" spans="2:4">
      <c r="B4099">
        <v>90</v>
      </c>
      <c r="C4099" s="1">
        <f>hyperlink("https://hetutrechtsarchief.nl/collectie/98060F47E69A5231BC8B256E63534F8B","Meteoorstenen boven het Utrechtse - v C 67-68 1966")</f>
        <v>0</v>
      </c>
      <c r="D4099" s="1">
        <f>hyperlink("http://dspace.library.uu.nl/handle/1874/273476","Meteoorstenen boven het Utrechtse J W C van Campen 67-68 1966")</f>
        <v>0</v>
      </c>
    </row>
    <row r="4100" spans="2:4">
      <c r="B4100">
        <v>100</v>
      </c>
      <c r="C4100" s="1">
        <f>hyperlink("https://hetutrechtsarchief.nl/collectie/584371FCF28957ECB624B244A158EEDF","Bezoek van Lodewijk Napoleon aan het huis Sparrendaal te Driebergen op 5 October 1806 89-91 1966")</f>
        <v>0</v>
      </c>
      <c r="D4100" s="1">
        <f>hyperlink("http://dspace.library.uu.nl/handle/1874/273477","Bezoek van Lodewijk Napoleon aan het huis Sparrendaal te Driebergen op 5 October 1806 89-91 1966")</f>
        <v>0</v>
      </c>
    </row>
    <row r="4101" spans="2:4">
      <c r="B4101">
        <v>97</v>
      </c>
      <c r="C4101" s="1">
        <f>hyperlink("https://hetutrechtsarchief.nl/collectie/A1AED1174C1D54DCBDBA7B63C2E82679","Een terra sigillata komfragment van Bassus en Coelus uit Houten C A Kalee 47 ill 1966")</f>
        <v>0</v>
      </c>
      <c r="D4101" s="1">
        <f>hyperlink("http://dspace.library.uu.nl/handle/1874/273478","Een terra sigillata komfragment van Bassus en Coelus uit Houten C A Kalee 47-48 1966")</f>
        <v>0</v>
      </c>
    </row>
    <row r="4102" spans="2:4">
      <c r="B4102">
        <v>65</v>
      </c>
      <c r="C4102" s="1">
        <f>hyperlink("https://hetutrechtsarchief.nl/collectie/A1AED1174C1D54DCBDBA7B63C2E82679","Een terra sigillata komfragment van Bassus en Coelus uit Houten C A Kalee 47 ill 1966")</f>
        <v>0</v>
      </c>
      <c r="D4102" s="1">
        <f>hyperlink("http://dspace.library.uu.nl/handle/1874/273479","Een terra-sigillata-scherf van de fabrikant XI uit De Meern C A Kalee 69-70 1966")</f>
        <v>0</v>
      </c>
    </row>
    <row r="4103" spans="2:4">
      <c r="B4103">
        <v>100</v>
      </c>
      <c r="C4103" s="1">
        <f>hyperlink("https://hetutrechtsarchief.nl/collectie/A5F6AC14947B5EACA07567CD5C962D0E","Baldadigheid in vroeger eeuwen te Montfoort A C Hellema 83-85 1966")</f>
        <v>0</v>
      </c>
      <c r="D4103" s="1">
        <f>hyperlink("http://dspace.library.uu.nl/handle/1874/273480","Baldadigheid in vroeger eeuwen te Montfoort A C Hellema 83-85 1966")</f>
        <v>0</v>
      </c>
    </row>
    <row r="4104" spans="2:4">
      <c r="B4104">
        <v>83</v>
      </c>
      <c r="C4104" s="1">
        <f>hyperlink("https://hetutrechtsarchief.nl/collectie/54D9B9023AD5539CA7CDD1A5CB9400D6","De Hervormde Kerk te Vreeswijk C L Temminck Groll tek W Stooker 42-46 ill plgr zie ook p 62-63 1966")</f>
        <v>0</v>
      </c>
      <c r="D4104" s="1">
        <f>hyperlink("http://dspace.library.uu.nl/handle/1874/273481","De Hervormde Kerk te Vreeswijk C L Temminck Groll 42-46 nr 8 p 62-63 1966")</f>
        <v>0</v>
      </c>
    </row>
    <row r="4105" spans="2:4">
      <c r="B4105">
        <v>100</v>
      </c>
      <c r="C4105" s="1">
        <f>hyperlink("https://hetutrechtsarchief.nl/collectie/0FA69B9D76FD54698EE4787638C16708","Soesterknollen een koninklijk gerecht E Heupers 77-79 1966")</f>
        <v>0</v>
      </c>
      <c r="D4105" s="1">
        <f>hyperlink("http://dspace.library.uu.nl/handle/1874/273482","Soesterknollen een koninklijk gerecht E Heupers 77-79 1966")</f>
        <v>0</v>
      </c>
    </row>
    <row r="4106" spans="2:4">
      <c r="B4106">
        <v>100</v>
      </c>
      <c r="C4106" s="1">
        <f>hyperlink("https://hetutrechtsarchief.nl/collectie/BBA4E69B91F6571EBB9BD0C9B2CB4B68","Het Hurkenest 91 1966")</f>
        <v>0</v>
      </c>
      <c r="D4106" s="1">
        <f>hyperlink("http://dspace.library.uu.nl/handle/1874/273483","Het Hurkenest 91 1966")</f>
        <v>0</v>
      </c>
    </row>
    <row r="4107" spans="2:4">
      <c r="B4107">
        <v>95</v>
      </c>
      <c r="C4107" s="1">
        <f>hyperlink("https://hetutrechtsarchief.nl/collectie/48533FF37D7F5A7D83FCFC7033B85D8C","Toen er nog geen militair hospitaal bestond - P H D 92-94 1966")</f>
        <v>0</v>
      </c>
      <c r="D4107" s="1">
        <f>hyperlink("http://dspace.library.uu.nl/handle/1874/273484","Toen er nog geen Militair Hospitaal bestond P H Damst 92-94 1966")</f>
        <v>0</v>
      </c>
    </row>
    <row r="4108" spans="2:4">
      <c r="B4108">
        <v>100</v>
      </c>
      <c r="C4108" s="1">
        <f>hyperlink("https://hetutrechtsarchief.nl/collectie/A5FC7E00D44056C0940F8A575FF8CA70","Strooien van geld C Catharina van de Graft 76 1966")</f>
        <v>0</v>
      </c>
      <c r="D4108" s="1">
        <f>hyperlink("http://dspace.library.uu.nl/handle/1874/273485","Strooien van geld C Catharina van de Graft 76 1966")</f>
        <v>0</v>
      </c>
    </row>
    <row r="4109" spans="2:4">
      <c r="B4109">
        <v>100</v>
      </c>
      <c r="C4109" s="1">
        <f>hyperlink("https://hetutrechtsarchief.nl/collectie/51D04B0F143256BAB21826D73F9C5E11","Nieuwe klapper op de Utrechtse transportregisters 1801-1811 H Knoester 50-54 1966")</f>
        <v>0</v>
      </c>
      <c r="D4109" s="1">
        <f>hyperlink("http://dspace.library.uu.nl/handle/1874/273486","Nieuwe klapper op de Utrechtse transportregisters 1801-1811 H Knoester 50-54 1966")</f>
        <v>0</v>
      </c>
    </row>
    <row r="4110" spans="2:4">
      <c r="B4110">
        <v>90</v>
      </c>
      <c r="C4110" s="1">
        <f>hyperlink("https://hetutrechtsarchief.nl/collectie/D3394152E0FB52C3B0CFCD139C7F1DED","Na honderd jaar - WFvS 86-87 1966")</f>
        <v>0</v>
      </c>
      <c r="D4110" s="1">
        <f>hyperlink("http://dspace.library.uu.nl/handle/1874/273487","Na honderd jaar W F van S 86-87 1966")</f>
        <v>0</v>
      </c>
    </row>
    <row r="4111" spans="2:4">
      <c r="B4111">
        <v>100</v>
      </c>
      <c r="C4111" s="1">
        <f>hyperlink("https://hetutrechtsarchief.nl/collectie/232AF3C756C654B082A33F01E9070694","Het Huis Ghelre te Utrecht A P van Schilfgaarde 59-62 1966")</f>
        <v>0</v>
      </c>
      <c r="D4111" s="1">
        <f>hyperlink("http://dspace.library.uu.nl/handle/1874/273488","Het huis Ghelre te Utrecht A P van Schilfgaarde 59-62 1966")</f>
        <v>0</v>
      </c>
    </row>
    <row r="4112" spans="2:4">
      <c r="B4112">
        <v>100</v>
      </c>
      <c r="C4112" s="1">
        <f>hyperlink("https://hetutrechtsarchief.nl/collectie/004CC13DF6B65A97B6301F4421A8BDDC","De graftombe van bisschop Frederik van Baden A J van de Ven 49-50 1966")</f>
        <v>0</v>
      </c>
      <c r="D4112" s="1">
        <f>hyperlink("http://dspace.library.uu.nl/handle/1874/273489","De graftombe van bisschop Frederik van Baden A J van de Ven 49-50 1966")</f>
        <v>0</v>
      </c>
    </row>
    <row r="4113" spans="2:4">
      <c r="B4113">
        <v>100</v>
      </c>
      <c r="C4113" s="1">
        <f>hyperlink("https://hetutrechtsarchief.nl/collectie/F42F4E858BF852ABB0D81691A3D6A44A","Dirck Rafaelsz Camphuysen 1586-1627 C Catharina van de Graft 5-6 1967")</f>
        <v>0</v>
      </c>
      <c r="D4113" s="1">
        <f>hyperlink("http://dspace.library.uu.nl/handle/1874/273490","Dirck Rafaelsz Camphuysen 1586-1627 C Catharina van de Graft 5-6 1967")</f>
        <v>0</v>
      </c>
    </row>
    <row r="4114" spans="2:4">
      <c r="B4114">
        <v>97</v>
      </c>
      <c r="C4114" s="1">
        <f>hyperlink("https://hetutrechtsarchief.nl/collectie/1A7A2892CE7C586FBE2ECE341DBA78D4","Restauraties in stad en provincie C L Temminck Groll 10-17 ill 1967")</f>
        <v>0</v>
      </c>
      <c r="D4114" s="1">
        <f>hyperlink("http://dspace.library.uu.nl/handle/1874/273550","Restauraties in stad en provincie C L Temminck Groll 10-17 1967")</f>
        <v>0</v>
      </c>
    </row>
    <row r="4115" spans="2:4">
      <c r="B4115">
        <v>82</v>
      </c>
      <c r="C4115" s="1">
        <f>hyperlink("https://hetutrechtsarchief.nl/collectie/6929994AD3F95FC697165CAAE3A12FBE","De Zeven Steegjes - v C 22-23 31-32 1967")</f>
        <v>0</v>
      </c>
      <c r="D4115" s="1">
        <f>hyperlink("http://dspace.library.uu.nl/handle/1874/273551","De Zeven Steegjes J W C van Campen 22-23 nr 4 p 31-32 1967")</f>
        <v>0</v>
      </c>
    </row>
    <row r="4116" spans="2:4">
      <c r="B4116">
        <v>100</v>
      </c>
      <c r="C4116" s="1">
        <f>hyperlink("https://hetutrechtsarchief.nl/collectie/64054F83219B536B9F0682B9B02A3E36","Kerkelijke stappen E J Haslinghuis 4 1967")</f>
        <v>0</v>
      </c>
      <c r="D4116" s="1">
        <f>hyperlink("http://dspace.library.uu.nl/handle/1874/273552","Kerkelijke stappen E J Haslinghuis 4 1967")</f>
        <v>0</v>
      </c>
    </row>
    <row r="4117" spans="2:4">
      <c r="B4117">
        <v>58</v>
      </c>
      <c r="C4117" s="1">
        <f>hyperlink("https://hetutrechtsarchief.nl/collectie/C5808647DE205217BA7BB6127ECD7BEB","Mysteries rond archeologische opgraving Rosanna Del Negro 15 2011")</f>
        <v>0</v>
      </c>
      <c r="D4117" s="1">
        <f>hyperlink("http://dspace.library.uu.nl/handle/1874/274593","Schitterende archeologische vondst langs de A12 Annemarie Luksen-IJtsma 2011")</f>
        <v>0</v>
      </c>
    </row>
    <row r="4118" spans="2:4">
      <c r="B4118">
        <v>64</v>
      </c>
      <c r="C4118" s="1">
        <f>hyperlink("https://hetutrechtsarchief.nl/collectie/AD9C7FFA0966C43EE0534701000A68C7","Sporen van schapen in Leersum Annemarie Luksen 14-17 2020")</f>
        <v>0</v>
      </c>
      <c r="D4118" s="1">
        <f>hyperlink("http://dspace.library.uu.nl/handle/1874/274594","Doorn in de middeleeuwen Annemarie Luksen-IJtsma 2012")</f>
        <v>0</v>
      </c>
    </row>
    <row r="4119" spans="2:4">
      <c r="B4119">
        <v>61</v>
      </c>
      <c r="C4119" s="1">
        <f>hyperlink("https://hetutrechtsarchief.nl/collectie/C398BE1DD3AB5EA0B98AFC9854BBA22E","Historische boerderijen in Nieuwegein Ren van der Mark 29-33 2003")</f>
        <v>0</v>
      </c>
      <c r="D4119" s="1">
        <f>hyperlink("http://dspace.library.uu.nl/handle/1874/274595","Prehistorisch boerenerf in Driebergen-Rijsenburg Annemarie Luksen-IJtsma 2012")</f>
        <v>0</v>
      </c>
    </row>
    <row r="4120" spans="2:4">
      <c r="B4120">
        <v>58</v>
      </c>
      <c r="C4120" s="1">
        <f>hyperlink("https://hetutrechtsarchief.nl/collectie/C973D724991951E78CB8F55FF842D1EF","Graven in het verleden van Baarn werkgroep Archeologie ARWE Jan Laan 38-41 2009")</f>
        <v>0</v>
      </c>
      <c r="D4120" s="1">
        <f>hyperlink("http://dspace.library.uu.nl/handle/1874/274596","Graven in het hart van Doorn - archeologisch onderzoek Annemarie Luksen-IJtsma 2011")</f>
        <v>0</v>
      </c>
    </row>
    <row r="4121" spans="2:4">
      <c r="B4121">
        <v>100</v>
      </c>
      <c r="C4121" s="1">
        <f>hyperlink("https://hetutrechtsarchief.nl/collectie/610D4663D53F5BAB8FCEAE752A23AAA2","Stadsherstel behoudt Amersfoortse synagoge Lisette Breedveld 2-3 2013")</f>
        <v>0</v>
      </c>
      <c r="D4121" s="1">
        <f>hyperlink("http://dspace.library.uu.nl/handle/1874/274597","Stadsherstel behoudt Amersfoortse synagoge Lisette Breedveld 2-3 2013")</f>
        <v>0</v>
      </c>
    </row>
    <row r="4122" spans="2:4">
      <c r="B4122">
        <v>97</v>
      </c>
      <c r="C4122" s="1">
        <f>hyperlink("https://hetutrechtsarchief.nl/collectie/A906F5F5F3DF5C2CAA4F3C2A3FB2877F","Vondel op de Hieronymusschool 50 1967")</f>
        <v>0</v>
      </c>
      <c r="D4122" s="1">
        <f>hyperlink("http://dspace.library.uu.nl/handle/1874/274962","Vondel op de Hi ronymusschool 50 1967")</f>
        <v>0</v>
      </c>
    </row>
    <row r="4123" spans="2:4">
      <c r="B4123">
        <v>85</v>
      </c>
      <c r="C4123" s="1">
        <f>hyperlink("https://hetutrechtsarchief.nl/collectie/5A5BEEAF5F90597FA7F0808C557988FB","Flehite en de monumenten van Amersfoort C A Kalee 33-35 ill 1967")</f>
        <v>0</v>
      </c>
      <c r="D4123" s="1">
        <f>hyperlink("http://dspace.library.uu.nl/handle/1874/274963","Flehite en de monumenten van Amersfoort 33 1967")</f>
        <v>0</v>
      </c>
    </row>
    <row r="4124" spans="2:4">
      <c r="B4124">
        <v>96</v>
      </c>
      <c r="C4124" s="1">
        <f>hyperlink("https://hetutrechtsarchief.nl/collectie/82A0EFEA01DA53288162ED05FB4A08BA","St Joriskerk te Amersfoort 48-49 1967")</f>
        <v>0</v>
      </c>
      <c r="D4124" s="1">
        <f>hyperlink("http://dspace.library.uu.nl/handle/1874/274964","St Joriskerk Amersfoort 48-49 1967")</f>
        <v>0</v>
      </c>
    </row>
    <row r="4125" spans="2:4">
      <c r="B4125">
        <v>58</v>
      </c>
      <c r="C4125" s="1">
        <f>hyperlink("https://hetutrechtsarchief.nl/collectie/74F3303D4FA6561DA4C118282005C201","Opgravingen in De Meern Clasina Isings en Cor A Kalee 35-39 1988")</f>
        <v>0</v>
      </c>
      <c r="D4125" s="1">
        <f>hyperlink("http://dspace.library.uu.nl/handle/1874/274965","Dakpanstempels van de Cohors I Classica uit De Meern C A Kalee 34-35 1967")</f>
        <v>0</v>
      </c>
    </row>
    <row r="4126" spans="2:4">
      <c r="B4126">
        <v>93</v>
      </c>
      <c r="C4126" s="1">
        <f>hyperlink("https://hetutrechtsarchief.nl/collectie/666AC4C3D4EC5C6B8562D400185A4151","Vondst kasteel Vredenburg C A Baart de la Faille 24-25 ill plgr 1967")</f>
        <v>0</v>
      </c>
      <c r="D4126" s="1">
        <f>hyperlink("http://dspace.library.uu.nl/handle/1874/274966","Vondst kasteel Vredenburg C A Baart de la Faille 24-25 1967")</f>
        <v>0</v>
      </c>
    </row>
    <row r="4127" spans="2:4">
      <c r="B4127">
        <v>99</v>
      </c>
      <c r="C4127" s="1">
        <f>hyperlink("https://hetutrechtsarchief.nl/collectie/500A85266BBE541BB6B27108A9B06C73","De St Wilibrorduskerk te Utrecht D Bouvy 38-40 1967")</f>
        <v>0</v>
      </c>
      <c r="D4127" s="1">
        <f>hyperlink("http://dspace.library.uu.nl/handle/1874/274967","De St Willibrorduskerk te Utrecht D Bouvy 38-40 1967")</f>
        <v>0</v>
      </c>
    </row>
    <row r="4128" spans="2:4">
      <c r="B4128">
        <v>85</v>
      </c>
      <c r="C4128" s="1">
        <f>hyperlink("https://hetutrechtsarchief.nl/collectie/C5B32BCAA994522CB37F4B6887CEF765","Brandblusapparaat - v C 41 1967")</f>
        <v>0</v>
      </c>
      <c r="D4128" s="1">
        <f>hyperlink("http://dspace.library.uu.nl/handle/1874/274968","Brandblusapparaat J W C van Campen 41 1967")</f>
        <v>0</v>
      </c>
    </row>
    <row r="4129" spans="2:4">
      <c r="B4129">
        <v>95</v>
      </c>
      <c r="C4129" s="1">
        <f>hyperlink("https://hetutrechtsarchief.nl/collectie/AABEE766439252EB82A6E05290343853","Studenten-rijpartij Wim Harzing 42-43 ill 1967")</f>
        <v>0</v>
      </c>
      <c r="D4129" s="1">
        <f>hyperlink("http://dspace.library.uu.nl/handle/1874/274969","Studenten-rijpartij Wim Harzing 42-43 1967")</f>
        <v>0</v>
      </c>
    </row>
    <row r="4130" spans="2:4">
      <c r="B4130">
        <v>100</v>
      </c>
      <c r="C4130" s="1">
        <f>hyperlink("https://hetutrechtsarchief.nl/collectie/30228B01D2505CE6B7E11CC9BCC70FAA","Vijftig jaren 1917-1967 A J S van Lier 26-27 1967")</f>
        <v>0</v>
      </c>
      <c r="D4130" s="1">
        <f>hyperlink("http://dspace.library.uu.nl/handle/1874/274970","Vijftig jaren 1917-1967 A J S van Lier 26-27 1967")</f>
        <v>0</v>
      </c>
    </row>
    <row r="4131" spans="2:4">
      <c r="B4131">
        <v>60</v>
      </c>
      <c r="C4131" s="1">
        <f>hyperlink("https://hetutrechtsarchief.nl/collectie/180E873B4B8E5203BE762444E425803D","Het Utrechts Monumentenfonds 25 jaar 29-31 1968")</f>
        <v>0</v>
      </c>
      <c r="D4131" s="1">
        <f>hyperlink("http://dspace.library.uu.nl/handle/1874/274998","Commissies en Monumentenfonds 17-20 1967")</f>
        <v>0</v>
      </c>
    </row>
    <row r="4132" spans="2:4">
      <c r="B4132">
        <v>100</v>
      </c>
      <c r="C4132" s="1">
        <f>hyperlink("https://hetutrechtsarchief.nl/collectie/B19E380290A257DC9462F54A4AFE8E97","Nog iets over oude verkeerswegen en grenzen M Raven 93-94 1967")</f>
        <v>0</v>
      </c>
      <c r="D4132" s="1">
        <f>hyperlink("http://dspace.library.uu.nl/handle/1874/274999","Nog iets over oude verkeerswegen en grenzen M Raven 93-94 1967")</f>
        <v>0</v>
      </c>
    </row>
    <row r="4133" spans="2:4">
      <c r="B4133">
        <v>66</v>
      </c>
      <c r="C4133" s="1">
        <f>hyperlink("https://hetutrechtsarchief.nl/collectie/EA1C23092FF853BC99D6C2EDD0C734FD","Nog eens de Familie van Berck en Rijsenburg Wim Harzing 15-16 1962")</f>
        <v>0</v>
      </c>
      <c r="D4133" s="1">
        <f>hyperlink("http://dspace.library.uu.nl/handle/1874/275000","De plattegrond van het kasteel Rijsenburg Wim Harzing 62-63 1967")</f>
        <v>0</v>
      </c>
    </row>
    <row r="4134" spans="2:4">
      <c r="B4134">
        <v>100</v>
      </c>
      <c r="C4134" s="1">
        <f>hyperlink("https://hetutrechtsarchief.nl/collectie/66F75FAFADAA58C08107D6EF3A03AE64","Drakensteyn eens erfpachtsgoed van Vrouwenklooster aan De Bilt P H Damst 79-83 1967")</f>
        <v>0</v>
      </c>
      <c r="D4134" s="1">
        <f>hyperlink("http://dspace.library.uu.nl/handle/1874/275001","Drakensteyn eens erfpachtsgoed van Vrouwenklooster aan De Bilt P H Damst 79-83 1967")</f>
        <v>0</v>
      </c>
    </row>
    <row r="4135" spans="2:4">
      <c r="B4135">
        <v>100</v>
      </c>
      <c r="C4135" s="1">
        <f>hyperlink("https://hetutrechtsarchief.nl/collectie/4C219E84D3E15739B7343BC6909A8B5E","Drake n steyn en het nonnenland M Raven 91-92 1967")</f>
        <v>0</v>
      </c>
      <c r="D4135" s="1">
        <f>hyperlink("http://dspace.library.uu.nl/handle/1874/275002","Drake n steyn en het Nonnenland M Raven 91-92 1967")</f>
        <v>0</v>
      </c>
    </row>
    <row r="4136" spans="2:4">
      <c r="B4136">
        <v>96</v>
      </c>
      <c r="C4136" s="1">
        <f>hyperlink("https://hetutrechtsarchief.nl/collectie/7D40B55B44775054B7EAC1F680364A18","De buitenplaats Groenestein P H Damst 10-11 ill 1968")</f>
        <v>0</v>
      </c>
      <c r="D4136" s="1">
        <f>hyperlink("http://dspace.library.uu.nl/handle/1874/275003","De buitenplaats Groenestein P H Damst 10-11 1968")</f>
        <v>0</v>
      </c>
    </row>
    <row r="4137" spans="2:4">
      <c r="B4137">
        <v>100</v>
      </c>
      <c r="C4137" s="1">
        <f>hyperlink("https://hetutrechtsarchief.nl/collectie/1254F23C9D2A5890A5CC4CA0FBAF19F0","De toren van St Cunera in Rhenen straks in oude glorie hersteld Ignaat Agasi 64-66 1967")</f>
        <v>0</v>
      </c>
      <c r="D4137" s="1">
        <f>hyperlink("http://dspace.library.uu.nl/handle/1874/275004","De toren van St Cunera in Rhenen straks in oude glorie hersteld Ignaat Agasi 64-66 1967")</f>
        <v>0</v>
      </c>
    </row>
    <row r="4138" spans="2:4">
      <c r="B4138">
        <v>97</v>
      </c>
      <c r="C4138" s="1">
        <f>hyperlink("https://hetutrechtsarchief.nl/collectie/B1C6B3D987805E52B922C307E229F7CF","De taxatie van de oude pastorie te Soest E Heupers 95-99 ill 1967")</f>
        <v>0</v>
      </c>
      <c r="D4138" s="1">
        <f>hyperlink("http://dspace.library.uu.nl/handle/1874/275005","De taxatie van de oude pastorie te Soest E Heupers 95-99 1967")</f>
        <v>0</v>
      </c>
    </row>
    <row r="4139" spans="2:4">
      <c r="B4139">
        <v>61</v>
      </c>
      <c r="C4139" s="1">
        <f>hyperlink("https://hetutrechtsarchief.nl/collectie/492C715B385C58BDB2ADC476BAC0D3DF","De barre winter van 1962-1963 Henk van Hees 241-248 2013")</f>
        <v>0</v>
      </c>
      <c r="D4139" s="1">
        <f>hyperlink("http://dspace.library.uu.nl/handle/1874/275006","De barre winter van 1917 74 1967")</f>
        <v>0</v>
      </c>
    </row>
    <row r="4140" spans="2:4">
      <c r="B4140">
        <v>85</v>
      </c>
      <c r="C4140" s="1">
        <f>hyperlink("https://hetutrechtsarchief.nl/collectie/A0AC30AB6700508AB5A7AACBB3FB4DE5","Beets-adoratie - v C 87-89 1967")</f>
        <v>0</v>
      </c>
      <c r="D4140" s="1">
        <f>hyperlink("http://dspace.library.uu.nl/handle/1874/275007","Beets-adoratie J W C van Campen 87-89 1967")</f>
        <v>0</v>
      </c>
    </row>
    <row r="4141" spans="2:4">
      <c r="B4141">
        <v>84</v>
      </c>
      <c r="C4141" s="1">
        <f>hyperlink("https://hetutrechtsarchief.nl/collectie/F2187D808AD751D68671F133AD12B928","Lantaarnconsoles sieren Utrecht - v C 2-3 ill 1967")</f>
        <v>0</v>
      </c>
      <c r="D4141" s="1">
        <f>hyperlink("http://dspace.library.uu.nl/handle/1874/275008","Lantarenconsoles sieren Utrecht J W C van Campen 2-3 1967")</f>
        <v>0</v>
      </c>
    </row>
    <row r="4142" spans="2:4">
      <c r="B4142">
        <v>86</v>
      </c>
      <c r="C4142" s="1">
        <f>hyperlink("https://hetutrechtsarchief.nl/collectie/B64664B52A5A55349777CB94051890E7","Lof van de Utrechtse trekschuit - v C 53-55 ill 1967")</f>
        <v>0</v>
      </c>
      <c r="D4142" s="1">
        <f>hyperlink("http://dspace.library.uu.nl/handle/1874/275009","Lof van de Utrechtse trekschuit J W C van Campen 53-55 1967")</f>
        <v>0</v>
      </c>
    </row>
    <row r="4143" spans="2:4">
      <c r="B4143">
        <v>89</v>
      </c>
      <c r="C4143" s="1">
        <f>hyperlink("https://hetutrechtsarchief.nl/collectie/799D1CBC25615765B7F2587969F4DA27","Van haarpoeder en belasting - v C 70-74 1967")</f>
        <v>0</v>
      </c>
      <c r="D4143" s="1">
        <f>hyperlink("http://dspace.library.uu.nl/handle/1874/275010","Van haarpoeder en belasting J W C van Campen 70-74 1967")</f>
        <v>0</v>
      </c>
    </row>
    <row r="4144" spans="2:4">
      <c r="B4144">
        <v>100</v>
      </c>
      <c r="C4144" s="1">
        <f>hyperlink("https://hetutrechtsarchief.nl/collectie/7CE7353FF51652F2888C65E168A2473A","De Maliebaan C Catharina van de Graft 56-58 1967")</f>
        <v>0</v>
      </c>
      <c r="D4144" s="1">
        <f>hyperlink("http://dspace.library.uu.nl/handle/1874/275011","De Maliebaan C Catharina van de Graft 56-58 1967")</f>
        <v>0</v>
      </c>
    </row>
    <row r="4145" spans="2:4">
      <c r="B4145">
        <v>58</v>
      </c>
      <c r="C4145" s="1">
        <f>hyperlink("https://hetutrechtsarchief.nl/collectie/7CE7353FF51652F2888C65E168A2473A","De Maliebaan C Catharina van de Graft 56-58 1967")</f>
        <v>0</v>
      </c>
      <c r="D4145" s="1">
        <f>hyperlink("http://dspace.library.uu.nl/handle/1874/275012","Maliebaan jaarbeurs en tram Jan Reeskamp 84 1967")</f>
        <v>0</v>
      </c>
    </row>
    <row r="4146" spans="2:4">
      <c r="B4146">
        <v>70</v>
      </c>
      <c r="C4146" s="1">
        <f>hyperlink("https://hetutrechtsarchief.nl/collectie/8927F34214B5539B8DD3B999E1356221","Pastoor Rientjes J W C van Campen 66-68 1946")</f>
        <v>0</v>
      </c>
      <c r="D4146" s="1">
        <f>hyperlink("http://dspace.library.uu.nl/handle/1874/275013","Runderpest J W C van Campen 5-6 1968")</f>
        <v>0</v>
      </c>
    </row>
    <row r="4147" spans="2:4">
      <c r="B4147">
        <v>89</v>
      </c>
      <c r="C4147" s="1">
        <f>hyperlink("https://hetutrechtsarchief.nl/collectie/D33B478875BE5DE4BBEC5BC0FE11282E","Carel Willem Wagenaar 1860-1942 - v C 6-7 1968")</f>
        <v>0</v>
      </c>
      <c r="D4147" s="1">
        <f>hyperlink("http://dspace.library.uu.nl/handle/1874/275014","Carel Willem Wagenaar 1860-1942 J W C van Campen 6-7 1968")</f>
        <v>0</v>
      </c>
    </row>
    <row r="4148" spans="2:4">
      <c r="B4148">
        <v>69</v>
      </c>
      <c r="C4148" s="1">
        <f>hyperlink("https://hetutrechtsarchief.nl/collectie/9721BDDEBA295CEAA022BC2C3ADC875D","In memoriam W A M Harzing J W C van Campen 97 1978")</f>
        <v>0</v>
      </c>
      <c r="D4148" s="1">
        <f>hyperlink("http://dspace.library.uu.nl/handle/1874/275015","Singeldemping J W C van Campen 9 1968")</f>
        <v>0</v>
      </c>
    </row>
    <row r="4149" spans="2:4">
      <c r="B4149">
        <v>96</v>
      </c>
      <c r="C4149" s="1">
        <f>hyperlink("https://hetutrechtsarchief.nl/collectie/DA809CF044A350AB8555C4B9DC8A67CC","Het huis Nieuwegracht 165 een overblijfsel van het voormalige Arkelklooster P J B sic Luykx 1-5 ill 1968")</f>
        <v>0</v>
      </c>
      <c r="D4149" s="1">
        <f>hyperlink("http://dspace.library.uu.nl/handle/1874/275016","Het huis Nieuwegracht 165 een overblijfsel van het voormalige Arkelklooster P J B Luykx 1-5 1968")</f>
        <v>0</v>
      </c>
    </row>
    <row r="4150" spans="2:4">
      <c r="B4150">
        <v>100</v>
      </c>
      <c r="C4150" s="1">
        <f>hyperlink("https://hetutrechtsarchief.nl/collectie/3C6E56CAACD35AA288E3C68C7AB8B579","Drakensteyn A Johanna Maris 90-91 1967")</f>
        <v>0</v>
      </c>
      <c r="D4150" s="1">
        <f>hyperlink("http://dspace.library.uu.nl/handle/1874/275017","Drakensteyn A Johanna Maris 90-91 1967")</f>
        <v>0</v>
      </c>
    </row>
    <row r="4151" spans="2:4">
      <c r="B4151">
        <v>97</v>
      </c>
      <c r="C4151" s="1">
        <f>hyperlink("https://hetutrechtsarchief.nl/collectie/758290A916A559C086D8C0C36A7AC494","Een muntvondst te De Meern C A Kalee 25 1968")</f>
        <v>0</v>
      </c>
      <c r="D4151" s="1">
        <f>hyperlink("http://dspace.library.uu.nl/handle/1874/275080","Een muntvondst te De Meern C A Kalee 24-25 1968")</f>
        <v>0</v>
      </c>
    </row>
    <row r="4152" spans="2:4">
      <c r="B4152">
        <v>100</v>
      </c>
      <c r="C4152" s="1">
        <f>hyperlink("https://hetutrechtsarchief.nl/collectie/DDE74172A11C566B86174EC287604153","Iets over twee muntjes W Stooker 16-17 1968")</f>
        <v>0</v>
      </c>
      <c r="D4152" s="1">
        <f>hyperlink("http://dspace.library.uu.nl/handle/1874/275081","Iets over twee muntjes W Stooker 16-17 1968")</f>
        <v>0</v>
      </c>
    </row>
    <row r="4153" spans="2:4">
      <c r="B4153">
        <v>91</v>
      </c>
      <c r="C4153" s="1">
        <f>hyperlink("https://hetutrechtsarchief.nl/collectie/FC600A9650B658379810EA7805237804","t Is een huishouden van Kea - C W W 18-19 1968")</f>
        <v>0</v>
      </c>
      <c r="D4153" s="1">
        <f>hyperlink("http://dspace.library.uu.nl/handle/1874/275082","t Is een huishouden van Kea C W Wagenaar 18-19 1968")</f>
        <v>0</v>
      </c>
    </row>
    <row r="4154" spans="2:4">
      <c r="B4154">
        <v>95</v>
      </c>
      <c r="C4154" s="1">
        <f>hyperlink("https://hetutrechtsarchief.nl/collectie/EFFE4C73E42C548C9EC039B70379DB87","Orgelconcerten in de Gereformeerde kerken te Utrecht in de oude tijd - C W W 26-28 1968")</f>
        <v>0</v>
      </c>
      <c r="D4154" s="1">
        <f>hyperlink("http://dspace.library.uu.nl/handle/1874/275083","Orgelconcerten in de Gereformeerde kerken te Utrecht in de oude tijd C W Wagenaar 26-28 1968")</f>
        <v>0</v>
      </c>
    </row>
    <row r="4155" spans="2:4">
      <c r="B4155">
        <v>87</v>
      </c>
      <c r="C4155" s="1">
        <f>hyperlink("https://hetutrechtsarchief.nl/collectie/4E04A6A0B09257CA956DE3C478896A52","Het landgoed Pijnenburg in gevaar 17-18 1968")</f>
        <v>0</v>
      </c>
      <c r="D4155" s="1">
        <f>hyperlink("http://dspace.library.uu.nl/handle/1874/275084","Het landgoed Pijnenburg in gevaar C W Wagenaar 17-18 1968")</f>
        <v>0</v>
      </c>
    </row>
    <row r="4156" spans="2:4">
      <c r="B4156">
        <v>96</v>
      </c>
      <c r="C4156" s="1">
        <f>hyperlink("https://hetutrechtsarchief.nl/collectie/1A5B3A1395AA5A438A32FE3D3DCF44BA","Notities over het kampveld Zeist J Belonje 12-16 ill 1968")</f>
        <v>0</v>
      </c>
      <c r="D4156" s="1">
        <f>hyperlink("http://dspace.library.uu.nl/handle/1874/275085","Notities over het Kampveld Zeist J Belonje 12-16 1968")</f>
        <v>0</v>
      </c>
    </row>
    <row r="4157" spans="2:4">
      <c r="B4157">
        <v>100</v>
      </c>
      <c r="C4157" s="1">
        <f>hyperlink("https://hetutrechtsarchief.nl/collectie/180E873B4B8E5203BE762444E425803D","Het Utrechts Monumentenfonds 25 jaar 29-31 1968")</f>
        <v>0</v>
      </c>
      <c r="D4157" s="1">
        <f>hyperlink("http://dspace.library.uu.nl/handle/1874/275144","Het Utrechts Monumentenfonds 25 jaar 29-31 1968")</f>
        <v>0</v>
      </c>
    </row>
    <row r="4158" spans="2:4">
      <c r="B4158">
        <v>83</v>
      </c>
      <c r="C4158" s="1">
        <f>hyperlink("https://hetutrechtsarchief.nl/collectie/477F06B66C6550EA8BF6F1577A856212","J C U Legner - v C 31 1968")</f>
        <v>0</v>
      </c>
      <c r="D4158" s="1">
        <f>hyperlink("http://dspace.library.uu.nl/handle/1874/275145","J C U Legner J W C van Campen 31 1968")</f>
        <v>0</v>
      </c>
    </row>
    <row r="4159" spans="2:4">
      <c r="B4159">
        <v>88</v>
      </c>
      <c r="C4159" s="1">
        <f>hyperlink("https://hetutrechtsarchief.nl/collectie/61A68DC6FFFB535BA6DB8346F70227EF","De schilder Hans Horions - v C 43-44 1968")</f>
        <v>0</v>
      </c>
      <c r="D4159" s="1">
        <f>hyperlink("http://dspace.library.uu.nl/handle/1874/275146","De schilder Hans Horions J W C van Campen 43-44 1968")</f>
        <v>0</v>
      </c>
    </row>
    <row r="4160" spans="2:4">
      <c r="B4160">
        <v>94</v>
      </c>
      <c r="C4160" s="1">
        <f>hyperlink("https://hetutrechtsarchief.nl/collectie/2E41C87391185A98BF2E9C8633C40F3F","De fontein in de Kloosterhof P H Damst 33-37 ill 1968")</f>
        <v>0</v>
      </c>
      <c r="D4160" s="1">
        <f>hyperlink("http://dspace.library.uu.nl/handle/1874/275147","De fontein in de Kloosterhof P H Damst 32-37 1968")</f>
        <v>0</v>
      </c>
    </row>
    <row r="4161" spans="2:4">
      <c r="B4161">
        <v>96</v>
      </c>
      <c r="C4161" s="1">
        <f>hyperlink("https://hetutrechtsarchief.nl/collectie/E0CF3C1AC1D6551A969354FFF810F504","Kozakkendag te Utrecht C C van de Graft 37-39 ill 1968")</f>
        <v>0</v>
      </c>
      <c r="D4161" s="1">
        <f>hyperlink("http://dspace.library.uu.nl/handle/1874/275148","Kozakkendag te Utrecht C C van de Graft 37-39 1968")</f>
        <v>0</v>
      </c>
    </row>
    <row r="4162" spans="2:4">
      <c r="B4162">
        <v>88</v>
      </c>
      <c r="C4162" s="1">
        <f>hyperlink("https://hetutrechtsarchief.nl/collectie/AF19DF9FAE475D4CA61DA020D91BAE94","De Domkerk te Utrecht in 1672 - vdV 45-47 ill 1968")</f>
        <v>0</v>
      </c>
      <c r="D4162" s="1">
        <f>hyperlink("http://dspace.library.uu.nl/handle/1874/275149","De Domkerk te Utrecht in 1672 A J van de Ven 45-47 1968")</f>
        <v>0</v>
      </c>
    </row>
    <row r="4163" spans="2:4">
      <c r="B4163">
        <v>89</v>
      </c>
      <c r="C4163" s="1">
        <f>hyperlink("https://hetutrechtsarchief.nl/collectie/57CA6E1F4371570796FB6C9C659673B4","In memoriam Prof Dr M D Ozinga - C L T Gr 50 1968")</f>
        <v>0</v>
      </c>
      <c r="D4163" s="1">
        <f>hyperlink("http://dspace.library.uu.nl/handle/1874/275176","In memoriam Prof Dr M D Ozinga C L Temminck Groll 50 1968")</f>
        <v>0</v>
      </c>
    </row>
    <row r="4164" spans="2:4">
      <c r="B4164">
        <v>100</v>
      </c>
      <c r="C4164" s="1">
        <f>hyperlink("https://hetutrechtsarchief.nl/collectie/D2C02418792C5AF3B77FA26C7BD83F7C","Sint Nicolaas heeft de tijd P H Damst 55 1968")</f>
        <v>0</v>
      </c>
      <c r="D4164" s="1">
        <f>hyperlink("http://dspace.library.uu.nl/handle/1874/275177","Sint Nicolaas heeft de tijd P H Damst 55 1968")</f>
        <v>0</v>
      </c>
    </row>
    <row r="4165" spans="2:4">
      <c r="B4165">
        <v>95</v>
      </c>
      <c r="C4165" s="1">
        <f>hyperlink("https://hetutrechtsarchief.nl/collectie/9444451ADD925B63AC95AAC036A4770C","De naam Begeer in de Nederlandse penningkunst van de 19e en 20e eeuw A von Weiler 51-55 ill portr 1968")</f>
        <v>0</v>
      </c>
      <c r="D4165" s="1">
        <f>hyperlink("http://dspace.library.uu.nl/handle/1874/275178","De naam Begeer in de Nederlandse penningkunst van de 19e en 20e eeuw A von Weiler 51-55 1968")</f>
        <v>0</v>
      </c>
    </row>
    <row r="4166" spans="2:4">
      <c r="B4166">
        <v>96</v>
      </c>
      <c r="C4166" s="1">
        <f>hyperlink("https://hetutrechtsarchief.nl/collectie/B85328CEF0275090A59C138ACCB8B2A1","Merkwaardige grensrelicten in en om het Gooi M Raven 57-58 1968")</f>
        <v>0</v>
      </c>
      <c r="D4166" s="1">
        <f>hyperlink("http://dspace.library.uu.nl/handle/1874/275241","Merkwaardige grensrelicten in en bij het Gooi M Raven 57-58 1968")</f>
        <v>0</v>
      </c>
    </row>
    <row r="4167" spans="2:4">
      <c r="B4167">
        <v>100</v>
      </c>
      <c r="C4167" s="1">
        <f>hyperlink("https://hetutrechtsarchief.nl/collectie/5E03FFC96FC057FFB5EDAE803A5D0F06","Daar is een moord gebeurd 67-68 1968")</f>
        <v>0</v>
      </c>
      <c r="D4167" s="1">
        <f>hyperlink("http://dspace.library.uu.nl/handle/1874/275242","Daar is een moord gebeurd 67-68 1968")</f>
        <v>0</v>
      </c>
    </row>
    <row r="4168" spans="2:4">
      <c r="B4168">
        <v>94</v>
      </c>
      <c r="C4168" s="1">
        <f>hyperlink("https://hetutrechtsarchief.nl/collectie/AD0F0FC5FCC359519047EDF15543DEBA","Storm van Leeuwen in Utrecht H M Beumer 85-86 portr 1968")</f>
        <v>0</v>
      </c>
      <c r="D4168" s="1">
        <f>hyperlink("http://dspace.library.uu.nl/handle/1874/275243","Storm van Leeuwen in Utrecht H M Beumer 85-86 1968")</f>
        <v>0</v>
      </c>
    </row>
    <row r="4169" spans="2:4">
      <c r="B4169">
        <v>89</v>
      </c>
      <c r="C4169" s="1">
        <f>hyperlink("https://hetutrechtsarchief.nl/collectie/B9FE7030C639597C86469286B38B5047","Berichtgeving in oorlogstijd - v C 77-79 1968")</f>
        <v>0</v>
      </c>
      <c r="D4169" s="1">
        <f>hyperlink("http://dspace.library.uu.nl/handle/1874/275244","Berichtgeving in oorlogstijd J W C van Campen 77-79 1968")</f>
        <v>0</v>
      </c>
    </row>
    <row r="4170" spans="2:4">
      <c r="B4170">
        <v>96</v>
      </c>
      <c r="C4170" s="1">
        <f>hyperlink("https://hetutrechtsarchief.nl/collectie/5389A4C9CFAF5002879378F19D6C3EA2","Rijnsweerd en de Hoelrebrug P H Damst 62-66 ill 1968")</f>
        <v>0</v>
      </c>
      <c r="D4170" s="1">
        <f>hyperlink("http://dspace.library.uu.nl/handle/1874/275245","Rijnsweerd en de Hoelrebrug P H Damst 62-66 1968")</f>
        <v>0</v>
      </c>
    </row>
    <row r="4171" spans="2:4">
      <c r="B4171">
        <v>100</v>
      </c>
      <c r="C4171" s="1">
        <f>hyperlink("https://hetutrechtsarchief.nl/collectie/5C4E1C36D539599E9902A763504111BA","Geert Groote en de Domtoren Th Haakma Wagenaar 80-84 1968")</f>
        <v>0</v>
      </c>
      <c r="D4171" s="1">
        <f>hyperlink("http://dspace.library.uu.nl/handle/1874/275246","Geert Groote en de Domtoren Th Haakma Wagenaar 80-84 1968")</f>
        <v>0</v>
      </c>
    </row>
    <row r="4172" spans="2:4">
      <c r="B4172">
        <v>89</v>
      </c>
      <c r="C4172" s="1">
        <f>hyperlink("https://hetutrechtsarchief.nl/collectie/166C56A6A57A5C19A550CDC76D027E58","De aalmoezenierskamer te Utrecht enige grepen uit de van harentwege gehouden aantekeningen - J R 71-72 91-94 100-102 1968")</f>
        <v>0</v>
      </c>
      <c r="D4172" s="1">
        <f>hyperlink("http://dspace.library.uu.nl/handle/1874/275247","De Aalmoezenierskamer te Utrecht enige grepen uit de van harentwege gehouden aantekeningen J G Riphaagen 71-72 nr 10 p 91-94 nr 11 p 100-102 1968")</f>
        <v>0</v>
      </c>
    </row>
    <row r="4173" spans="2:4">
      <c r="B4173">
        <v>95</v>
      </c>
      <c r="C4173" s="1">
        <f>hyperlink("https://hetutrechtsarchief.nl/collectie/FC506461F4505095865A9CD8E6A14431","Een Fransman als lid van het Provinciaal Utrechtsch Genootschap - vdV 73-75 1968")</f>
        <v>0</v>
      </c>
      <c r="D4173" s="1">
        <f>hyperlink("http://dspace.library.uu.nl/handle/1874/275248","Een Fransman als lid van het Provinciaal Utrechtsch Genootschap A J van de Ven 73-75 1968")</f>
        <v>0</v>
      </c>
    </row>
    <row r="4174" spans="2:4">
      <c r="B4174">
        <v>89</v>
      </c>
      <c r="C4174" s="1">
        <f>hyperlink("https://hetutrechtsarchief.nl/collectie/BB7598EDF4C251CA81172D0CCCDC019A","Brand in de Domtoren - C W W 69-71 1968")</f>
        <v>0</v>
      </c>
      <c r="D4174" s="1">
        <f>hyperlink("http://dspace.library.uu.nl/handle/1874/275249","Brand in de Domtoren C W Wagenaar 69-71 1968")</f>
        <v>0</v>
      </c>
    </row>
    <row r="4175" spans="2:4">
      <c r="B4175">
        <v>100</v>
      </c>
      <c r="C4175" s="1">
        <f>hyperlink("https://hetutrechtsarchief.nl/collectie/9A35831F5E975CCE9864457E66A9A300","Opgravingen te Wijk bij Duurstede 59-60 1968")</f>
        <v>0</v>
      </c>
      <c r="D4175" s="1">
        <f>hyperlink("http://dspace.library.uu.nl/handle/1874/275250","Opgravingen te Wijk bij Duurstede 59-60 1968")</f>
        <v>0</v>
      </c>
    </row>
    <row r="4176" spans="2:4">
      <c r="B4176">
        <v>100</v>
      </c>
      <c r="C4176" s="1">
        <f>hyperlink("https://hetutrechtsarchief.nl/collectie/F8B88E0609D1536ABDDDDF1A92E1F92B","Amersfoort bedreigd 98-99 1968")</f>
        <v>0</v>
      </c>
      <c r="D4176" s="1">
        <f>hyperlink("http://dspace.library.uu.nl/handle/1874/275273","Amersfoort bedreigd 98-99 1968")</f>
        <v>0</v>
      </c>
    </row>
    <row r="4177" spans="2:4">
      <c r="B4177">
        <v>100</v>
      </c>
      <c r="C4177" s="1">
        <f>hyperlink("https://hetutrechtsarchief.nl/collectie/C4EFCEC4BA80557E9E9FA6D2577D907E","Een eendenkooi in de duist J Belonje 37-38 1969")</f>
        <v>0</v>
      </c>
      <c r="D4177" s="1">
        <f>hyperlink("http://dspace.library.uu.nl/handle/1874/275274","Een eendenkooi in de Duist J Belonje 37-38 1969")</f>
        <v>0</v>
      </c>
    </row>
    <row r="4178" spans="2:4">
      <c r="B4178">
        <v>97</v>
      </c>
      <c r="C4178" s="1">
        <f>hyperlink("https://hetutrechtsarchief.nl/collectie/A71E5C2CDF6F547BB72AA77DD3C6CC49","De Bilt met een d R A Hoogland Sr 105-106 1968")</f>
        <v>0</v>
      </c>
      <c r="D4178" s="1">
        <f>hyperlink("http://dspace.library.uu.nl/handle/1874/275275","De Bilt met een D R A Hoogland 105-106 1968")</f>
        <v>0</v>
      </c>
    </row>
    <row r="4179" spans="2:4">
      <c r="B4179">
        <v>100</v>
      </c>
      <c r="C4179" s="1">
        <f>hyperlink("https://hetutrechtsarchief.nl/collectie/BC90834620A657E6AC43EDE2D497DAF7","De Bilt met een d P H Damst 17-19 1969")</f>
        <v>0</v>
      </c>
      <c r="D4179" s="1">
        <f>hyperlink("http://dspace.library.uu.nl/handle/1874/275276","De Bilt met een D P H Damst 17-19 1969")</f>
        <v>0</v>
      </c>
    </row>
    <row r="4180" spans="2:4">
      <c r="B4180">
        <v>100</v>
      </c>
      <c r="C4180" s="1">
        <f>hyperlink("https://hetutrechtsarchief.nl/collectie/2099404A75D758C4A3160D6E962B1453","De Bilt met een d neen A Johanna Maris 4 1969")</f>
        <v>0</v>
      </c>
      <c r="D4180" s="1">
        <f>hyperlink("http://dspace.library.uu.nl/handle/1874/275277","De Bilt met een D Neen A Johanna Maris 4 1969")</f>
        <v>0</v>
      </c>
    </row>
    <row r="4181" spans="2:4">
      <c r="B4181">
        <v>100</v>
      </c>
      <c r="C4181" s="1">
        <f>hyperlink("https://hetutrechtsarchief.nl/collectie/DC737428D0A85ACE9E583FF084FE9C36","De volksstem en de deftige dame E P Polak-de Booy 32-35 1969")</f>
        <v>0</v>
      </c>
      <c r="D4181" s="1">
        <f>hyperlink("http://dspace.library.uu.nl/handle/1874/275278","De volksstem en de deftige dame E P Polak-de Booy 32-35 1969")</f>
        <v>0</v>
      </c>
    </row>
    <row r="4182" spans="2:4">
      <c r="B4182">
        <v>100</v>
      </c>
      <c r="C4182" s="1">
        <f>hyperlink("https://hetutrechtsarchief.nl/collectie/D962EB2E782655BDBD25EEDCD67BD0CF","De leenkamer van Zuylenburg J Belonje 25-26 1969")</f>
        <v>0</v>
      </c>
      <c r="D4182" s="1">
        <f>hyperlink("http://dspace.library.uu.nl/handle/1874/275279","De leenkamer van Zuylenburg J Belonje 25-26 1969")</f>
        <v>0</v>
      </c>
    </row>
    <row r="4183" spans="2:4">
      <c r="B4183">
        <v>97</v>
      </c>
      <c r="C4183" s="1">
        <f>hyperlink("https://hetutrechtsarchief.nl/collectie/9EDFF6D6DFF65344997DF16C3E64C49E","Een vraag over Maarssen C L Temminck Groll 38 1969")</f>
        <v>0</v>
      </c>
      <c r="D4183" s="1">
        <f>hyperlink("http://dspace.library.uu.nl/handle/1874/275280","Een vraag over Maarssen C L Temminck Groll 38-39 1969")</f>
        <v>0</v>
      </c>
    </row>
    <row r="4184" spans="2:4">
      <c r="B4184">
        <v>93</v>
      </c>
      <c r="C4184" s="1">
        <f>hyperlink("https://hetutrechtsarchief.nl/collectie/081F0FDC02765532916343C952AB4608","De geschiedenis van de Maarsseveense Plas J P van Alff 9-15 ill plgr 1969")</f>
        <v>0</v>
      </c>
      <c r="D4184" s="1">
        <f>hyperlink("http://dspace.library.uu.nl/handle/1874/275281","De geschiedenis van de Maarsseveense Plas J P van Alff 9-15 1969")</f>
        <v>0</v>
      </c>
    </row>
    <row r="4185" spans="2:4">
      <c r="B4185">
        <v>97</v>
      </c>
      <c r="C4185" s="1">
        <f>hyperlink("https://hetutrechtsarchief.nl/collectie/B4EC6CA5091B57E6B98843A58612F921","Kapel oude mannenhuis Montfoort gesloopt A C Hellema 45-47 ill 1969")</f>
        <v>0</v>
      </c>
      <c r="D4185" s="1">
        <f>hyperlink("http://dspace.library.uu.nl/handle/1874/275282","Kapel Oude Mannenhuis Montfoort gesloopt A C Hellema 45-47 1969")</f>
        <v>0</v>
      </c>
    </row>
    <row r="4186" spans="2:4">
      <c r="B4186">
        <v>100</v>
      </c>
      <c r="C4186" s="1">
        <f>hyperlink("https://hetutrechtsarchief.nl/collectie/65D7F0537ECB5B9BBA795C1D5BAF2F86","St Antonisvarkens 109-110 1968")</f>
        <v>0</v>
      </c>
      <c r="D4186" s="1">
        <f>hyperlink("http://dspace.library.uu.nl/handle/1874/275283","St Antonisvarkens 109-110 1968")</f>
        <v>0</v>
      </c>
    </row>
    <row r="4187" spans="2:4">
      <c r="B4187">
        <v>90</v>
      </c>
      <c r="C4187" s="1">
        <f>hyperlink("https://hetutrechtsarchief.nl/collectie/3D46635400AD5DCABECCA2B6A3E251E4","Het pontificale van St Marie - v C 108-109 1968")</f>
        <v>0</v>
      </c>
      <c r="D4187" s="1">
        <f>hyperlink("http://dspace.library.uu.nl/handle/1874/275284","Het Pontificale van St Marie J W C van Campen 108-109 1968")</f>
        <v>0</v>
      </c>
    </row>
    <row r="4188" spans="2:4">
      <c r="B4188">
        <v>89</v>
      </c>
      <c r="C4188" s="1">
        <f>hyperlink("https://hetutrechtsarchief.nl/collectie/F1F0AE29508B5F0080564DF2770402BE","Utrecht en de Oostindische Compagnie - v C 107-109 1968")</f>
        <v>0</v>
      </c>
      <c r="D4188" s="1">
        <f>hyperlink("http://dspace.library.uu.nl/handle/1874/275285","Utrecht en de Oostindische Compagnie J W C van Campen 107-108 1968")</f>
        <v>0</v>
      </c>
    </row>
    <row r="4189" spans="2:4">
      <c r="B4189">
        <v>91</v>
      </c>
      <c r="C4189" s="1">
        <f>hyperlink("https://hetutrechtsarchief.nl/collectie/84FB84A379605E609C67590AA6FE5D6E","Johannes Knijff bisschop van Groningen - v C 5-7 1969")</f>
        <v>0</v>
      </c>
      <c r="D4189" s="1">
        <f>hyperlink("http://dspace.library.uu.nl/handle/1874/275286","Johannes Knijff bisschop van Groningen J W C van Campen 5-7 1969")</f>
        <v>0</v>
      </c>
    </row>
    <row r="4190" spans="2:4">
      <c r="B4190">
        <v>87</v>
      </c>
      <c r="C4190" s="1">
        <f>hyperlink("https://hetutrechtsarchief.nl/collectie/16F5D6CFD4305BD3ACE3A69C16FE981A","Pothuizen in Utrecht - v C 15-16 1969")</f>
        <v>0</v>
      </c>
      <c r="D4190" s="1">
        <f>hyperlink("http://dspace.library.uu.nl/handle/1874/275287","Pothuizen in Utrecht J W C van Campen 15-16 1969")</f>
        <v>0</v>
      </c>
    </row>
    <row r="4191" spans="2:4">
      <c r="B4191">
        <v>96</v>
      </c>
      <c r="C4191" s="1">
        <f>hyperlink("https://hetutrechtsarchief.nl/collectie/5B90E8FDA58159F98A365443783BF97A","De brug met twaalf gaten P H Damst 35-36 ill 1969")</f>
        <v>0</v>
      </c>
      <c r="D4191" s="1">
        <f>hyperlink("http://dspace.library.uu.nl/handle/1874/275288","De brug met twaalf gaten P H Damst 35-36 1969")</f>
        <v>0</v>
      </c>
    </row>
    <row r="4192" spans="2:4">
      <c r="B4192">
        <v>86</v>
      </c>
      <c r="C4192" s="1">
        <f>hyperlink("https://hetutrechtsarchief.nl/collectie/1A6B02A775F85976B532C23192AF173A","Herinneringen aan de Utrechtse kermis in de tweede helft der vorige eeuw I-III 23-25 30-31 42-44 ill 1969")</f>
        <v>0</v>
      </c>
      <c r="D4192" s="1">
        <f>hyperlink("http://dspace.library.uu.nl/handle/1874/275289","Herinneringen aan de Utrechtse kermis in de tweede helft der vorige eeuw J F F Hartwich 23-25 nr 4 p 30-31 nr 5 p 42-44 1969")</f>
        <v>0</v>
      </c>
    </row>
    <row r="4193" spans="2:4">
      <c r="B4193">
        <v>85</v>
      </c>
      <c r="C4193" s="1">
        <f>hyperlink("https://hetutrechtsarchief.nl/collectie/DB7BC28B1DFC5A11BFB8B55D279FB114","De stellingen van Dr N H Vroege - C L T G 1-3 ill 1969")</f>
        <v>0</v>
      </c>
      <c r="D4193" s="1">
        <f>hyperlink("http://dspace.library.uu.nl/handle/1874/275290","De stellingen van Dr N H Vroege C L Temminck Groll 1-3 1969")</f>
        <v>0</v>
      </c>
    </row>
    <row r="4194" spans="2:4">
      <c r="B4194">
        <v>57</v>
      </c>
      <c r="C4194" s="1">
        <f>hyperlink("https://hetutrechtsarchief.nl/collectie/C7B5C8883D68FA53E0538F04000AF312","De tweede 10 jaar van onze Historische Vereniging 1991-2001 Historische Vereniging Vleuten-De Meern-Haarzuilens en Leidsche Rijn bestaat 40 jaar Door Jan Schutte en Ad van Zoeren 8-11 2021")</f>
        <v>0</v>
      </c>
      <c r="D4194" s="1">
        <f>hyperlink("http://dspace.library.uu.nl/handle/1874/275396","Officieel orgaan van de Historische Vereniging Vleuten De Meern Haarzuilens Haarzuilens Historische Vereniging Vleuten De Meern 1981-1988")</f>
        <v>0</v>
      </c>
    </row>
    <row r="4195" spans="2:4">
      <c r="B4195">
        <v>59</v>
      </c>
      <c r="C4195" s="1">
        <f>hyperlink("https://hetutrechtsarchief.nl/collectie/36C083DAB26C587FA9858272078D7E16","De werkgroep Archeologie en haar werkzaamheden R van der Mark 54-57 1999")</f>
        <v>0</v>
      </c>
      <c r="D4195" s="1">
        <f>hyperlink("http://dspace.library.uu.nl/handle/1874/275397","Van de Werkgroep Archeologie lijst van monumenten te Haarzuilens De Meern en Vleuten 4-7 1981")</f>
        <v>0</v>
      </c>
    </row>
    <row r="4196" spans="2:4">
      <c r="B4196">
        <v>96</v>
      </c>
      <c r="C4196" s="1">
        <f>hyperlink("https://hetutrechtsarchief.nl/collectie/9A6620CFEFC759B198D8713978E0A181","1919 - december - 1969 A Graafhuis 101-107 ill 1969")</f>
        <v>0</v>
      </c>
      <c r="D4196" s="1">
        <f>hyperlink("http://dspace.library.uu.nl/handle/1874/275398","1919 - December - 1969 A Graafhuis 101-107 1969")</f>
        <v>0</v>
      </c>
    </row>
    <row r="4197" spans="2:4">
      <c r="B4197">
        <v>90</v>
      </c>
      <c r="C4197" s="1">
        <f>hyperlink("https://hetutrechtsarchief.nl/collectie/4FCA3601C15254CE99658C0D3F67792D","Dr C Catharina van de Graft in memoriam J W C van Campen 75-76 1969")</f>
        <v>0</v>
      </c>
      <c r="D4197" s="1">
        <f>hyperlink("http://dspace.library.uu.nl/handle/1874/275399","Dr C Catharina van de Graft J W C van Campen 75-76 1969")</f>
        <v>0</v>
      </c>
    </row>
    <row r="4198" spans="2:4">
      <c r="B4198">
        <v>84</v>
      </c>
      <c r="C4198" s="1">
        <f>hyperlink("https://hetutrechtsarchief.nl/collectie/E64A349DB0F85E5E8138A4E82E2CD9ED","Das Lied von Amarongen - v C 42-47 ill 1969")</f>
        <v>0</v>
      </c>
      <c r="D4198" s="1">
        <f>hyperlink("http://dspace.library.uu.nl/handle/1874/275400","Das Lied von Amarongen J W C van Campen 42-47 1969")</f>
        <v>0</v>
      </c>
    </row>
    <row r="4199" spans="2:4">
      <c r="B4199">
        <v>80</v>
      </c>
      <c r="C4199" s="1">
        <f>hyperlink("https://hetutrechtsarchief.nl/collectie/57C867C8AA9A5B7699E11E8D14CC5DBA","Tolhuis of jachthuis - W U 91-92 ill 1969")</f>
        <v>0</v>
      </c>
      <c r="D4199" s="1">
        <f>hyperlink("http://dspace.library.uu.nl/handle/1874/275401","Tolhuis of jachthuis W Uittenbogaard 91-92 1969")</f>
        <v>0</v>
      </c>
    </row>
    <row r="4200" spans="2:4">
      <c r="B4200">
        <v>100</v>
      </c>
      <c r="C4200" s="1">
        <f>hyperlink("https://hetutrechtsarchief.nl/collectie/39D36BC785D059D980DC19CC4850BE62","Zeevliet E van Oosterom 71-74 1969")</f>
        <v>0</v>
      </c>
      <c r="D4200" s="1">
        <f>hyperlink("http://dspace.library.uu.nl/handle/1874/275402","Zeevliet E van Oosterom 71-74 1969")</f>
        <v>0</v>
      </c>
    </row>
    <row r="4201" spans="2:4">
      <c r="B4201">
        <v>100</v>
      </c>
      <c r="C4201" s="1">
        <f>hyperlink("https://hetutrechtsarchief.nl/collectie/6B9742BB288D546F9F88840ADA8FFB70","Dat huys Ten Vliete in het Nederkwartier J Belonje 88-90 1969")</f>
        <v>0</v>
      </c>
      <c r="D4201" s="1">
        <f>hyperlink("http://dspace.library.uu.nl/handle/1874/275403","Dat Huys ten Vliete in het Nederkwartier J Belonje 88-90 1969")</f>
        <v>0</v>
      </c>
    </row>
    <row r="4202" spans="2:4">
      <c r="B4202">
        <v>58</v>
      </c>
      <c r="C4202" s="1">
        <f>hyperlink("https://hetutrechtsarchief.nl/collectie/F176C8A0CC3E54BC95F71ED09EE38AB3","Een Kashbah met jungle water en zen Bettina van Santen 48 2011")</f>
        <v>0</v>
      </c>
      <c r="D4202" s="1">
        <f>hyperlink("http://dspace.library.uu.nl/handle/1874/275404","Een pachtboer met courage te De Meern Jac de Bruyn 4-8 1981")</f>
        <v>0</v>
      </c>
    </row>
    <row r="4203" spans="2:4">
      <c r="B4203">
        <v>97</v>
      </c>
      <c r="C4203" s="1">
        <f>hyperlink("https://hetutrechtsarchief.nl/collectie/B5E5F697B7FA5E00975817122EA8185F","Het pand Achter de Dom 16-18 C A Baart de la Faille 63-66 ill 1969")</f>
        <v>0</v>
      </c>
      <c r="D4203" s="1">
        <f>hyperlink("http://dspace.library.uu.nl/handle/1874/275405","Het pand Achter de Dom 16-18 C A Baart de la Faille 63-66 1969")</f>
        <v>0</v>
      </c>
    </row>
    <row r="4204" spans="2:4">
      <c r="B4204">
        <v>96</v>
      </c>
      <c r="C4204" s="1">
        <f>hyperlink("https://hetutrechtsarchief.nl/collectie/C239E68D68B0546896AE515A1B436B03","Voor of tegen de kermis J W C van Campen 80-82 ill 1969")</f>
        <v>0</v>
      </c>
      <c r="D4204" s="1">
        <f>hyperlink("http://dspace.library.uu.nl/handle/1874/275406","Voor of tegen de kermis J W C van Campen 80-82 1969")</f>
        <v>0</v>
      </c>
    </row>
    <row r="4205" spans="2:4">
      <c r="B4205">
        <v>100</v>
      </c>
      <c r="C4205" s="1">
        <f>hyperlink("https://hetutrechtsarchief.nl/collectie/135997935DC654E9A5089282CC920727","Hoe de Sint-Nicolaaskerk haar kermisdag vierde P H Damst 47-48 1969")</f>
        <v>0</v>
      </c>
      <c r="D4205" s="1">
        <f>hyperlink("http://dspace.library.uu.nl/handle/1874/275407","Hoe de Sint-Nicolaaskerk haar kermisdag vierde P H Damst 47-48 1969")</f>
        <v>0</v>
      </c>
    </row>
    <row r="4206" spans="2:4">
      <c r="B4206">
        <v>87</v>
      </c>
      <c r="C4206" s="1">
        <f>hyperlink("https://hetutrechtsarchief.nl/collectie/1036E7E425E85385A3E1023502370882","Van Romein tot Hoog-Catharijn A Graafhuis en H J H Knoester 55-62 ill 1969")</f>
        <v>0</v>
      </c>
      <c r="D4206" s="1">
        <f>hyperlink("http://dspace.library.uu.nl/handle/1874/275408","Van Romein tot Hoog-Catharijn H J H Graafhuis A Knoester 55-62 1969")</f>
        <v>0</v>
      </c>
    </row>
    <row r="4207" spans="2:4">
      <c r="B4207">
        <v>98</v>
      </c>
      <c r="C4207" s="1">
        <f>hyperlink("https://hetutrechtsarchief.nl/collectie/6EE64EBD1EA550119E21879604EA5CF7","Een mond vervuld met lachen uit het dagboek van mr J C van der Muelen van september 1787 tot december 1788 E P Polak-de Booy 67-71 portr 1969")</f>
        <v>0</v>
      </c>
      <c r="D4207" s="1">
        <f>hyperlink("http://dspace.library.uu.nl/handle/1874/275409","Een mond vervuld met lachen uit het dagboek van mr J C van der Muelen van September 1787 tot December 1788 E P Polak-de Booy 67-71 1969")</f>
        <v>0</v>
      </c>
    </row>
    <row r="4208" spans="2:4">
      <c r="B4208">
        <v>58</v>
      </c>
      <c r="C4208" s="1">
        <f>hyperlink("https://hetutrechtsarchief.nl/collectie/2C007A71969E54C7819F07C21722FAB3","Werkgroep Vrouwen 2-3 1988")</f>
        <v>0</v>
      </c>
      <c r="D4208" s="1">
        <f>hyperlink("http://dspace.library.uu.nl/handle/1874/275410","De Brouwerij 3 1981")</f>
        <v>0</v>
      </c>
    </row>
    <row r="4209" spans="2:4">
      <c r="B4209">
        <v>58</v>
      </c>
      <c r="C4209" s="1">
        <f>hyperlink("https://hetutrechtsarchief.nl/collectie/760CA0D8D0B21073E0534701000AFDE4","De Bilt toen en nu Abe Postema 86-87 2018")</f>
        <v>0</v>
      </c>
      <c r="D4209" s="1">
        <f>hyperlink("http://dspace.library.uu.nl/handle/1874/275411","Hoe autochtoon bent U A Goes 18-20 1981")</f>
        <v>0</v>
      </c>
    </row>
    <row r="4210" spans="2:4">
      <c r="B4210">
        <v>68</v>
      </c>
      <c r="C4210" s="1">
        <f>hyperlink("https://hetutrechtsarchief.nl/collectie/B63B2CC4767B503BABE68D6FD4A2DE55","Kasteel de Haar J W C van Campen 38-39 1951")</f>
        <v>0</v>
      </c>
      <c r="D4210" s="1">
        <f>hyperlink("http://dspace.library.uu.nl/handle/1874/275412","Kasteel de Haar C B van der Tak 12-17 1981")</f>
        <v>0</v>
      </c>
    </row>
    <row r="4211" spans="2:4">
      <c r="B4211">
        <v>62</v>
      </c>
      <c r="C4211" s="1">
        <f>hyperlink("https://hetutrechtsarchief.nl/collectie/78E77FDF9A0A5C4394C9ADFD74E4BA0C","Hinne Rode C C de Bruin 191-208 1981")</f>
        <v>0</v>
      </c>
      <c r="D4211" s="1">
        <f>hyperlink("http://dspace.library.uu.nl/handle/1874/275413","Veldslag op de Woerd J de Bruin 9 1981")</f>
        <v>0</v>
      </c>
    </row>
    <row r="4212" spans="2:4">
      <c r="B4212">
        <v>61</v>
      </c>
      <c r="C4212" s="1">
        <f>hyperlink("https://hetutrechtsarchief.nl/collectie/C59EBA66F3C85455B1C617B5DAE5BB6C","Herinneringen van een brandweerman J C Janssen 12-14 ill 1964")</f>
        <v>0</v>
      </c>
      <c r="D4212" s="1">
        <f>hyperlink("http://dspace.library.uu.nl/handle/1874/275414","Herinneringen van een dorpsbewoner 7-8 jg 2 1982 nr 1 p 7 1981-1982")</f>
        <v>0</v>
      </c>
    </row>
    <row r="4213" spans="2:4">
      <c r="B4213">
        <v>65</v>
      </c>
      <c r="C4213" s="1">
        <f>hyperlink("https://hetutrechtsarchief.nl/collectie/8789FC3D22EE58518194D2E0D4D57C2C","Herinneringen van een verkeersagent Het waren er zes 2 1984")</f>
        <v>0</v>
      </c>
      <c r="D4213" s="1">
        <f>hyperlink("http://dspace.library.uu.nl/handle/1874/275415","Herinneringen van een dorpsbewoner A F Migo 8-9 1981")</f>
        <v>0</v>
      </c>
    </row>
    <row r="4214" spans="2:4">
      <c r="B4214">
        <v>65</v>
      </c>
      <c r="C4214" s="1">
        <f>hyperlink("https://hetutrechtsarchief.nl/collectie/AD9C7FFA0967C43EE0534701000A68C7","Bergestein een vergeten ridderhofstad Jan Meijer 4-6 2020")</f>
        <v>0</v>
      </c>
      <c r="D4214" s="1">
        <f>hyperlink("http://dspace.library.uu.nl/handle/1874/275416","Bottestein - een verdwenen ridderhofstad Klaas B Nanning 12-16 1981")</f>
        <v>0</v>
      </c>
    </row>
    <row r="4215" spans="2:4">
      <c r="B4215">
        <v>97</v>
      </c>
      <c r="C4215" s="1">
        <f>hyperlink("https://hetutrechtsarchief.nl/collectie/54508170D0685608B3B231E6BC49E560","De Bruinenburgersluis in de Grebse Linie J Belonje 95-97 ill 1969")</f>
        <v>0</v>
      </c>
      <c r="D4215" s="1">
        <f>hyperlink("http://dspace.library.uu.nl/handle/1874/275417","De Bruinenburgersluis in De Grebse Linie J Belonje 95-97 1969")</f>
        <v>0</v>
      </c>
    </row>
    <row r="4216" spans="2:4">
      <c r="B4216">
        <v>78</v>
      </c>
      <c r="C4216" s="1">
        <f>hyperlink("https://hetutrechtsarchief.nl/collectie/091D6026978452C8926C0DBE21B92523","D H Huygen in memoriam 49-50 1969")</f>
        <v>0</v>
      </c>
      <c r="D4216" s="1">
        <f>hyperlink("http://dspace.library.uu.nl/handle/1874/275418","D H Huygen 49-50 1969")</f>
        <v>0</v>
      </c>
    </row>
    <row r="4217" spans="2:4">
      <c r="B4217">
        <v>97</v>
      </c>
      <c r="C4217" s="1">
        <f>hyperlink("https://hetutrechtsarchief.nl/collectie/18AA2965391A5E138CACE40FFACB827D","Ter gelegenheid van de opening van het Zeister slot 85-88 ill 1969")</f>
        <v>0</v>
      </c>
      <c r="D4217" s="1">
        <f>hyperlink("http://dspace.library.uu.nl/handle/1874/275419","Ter gelegenheid van de opening van het Zeister Slot 85-88 1969")</f>
        <v>0</v>
      </c>
    </row>
    <row r="4218" spans="2:4">
      <c r="B4218">
        <v>54</v>
      </c>
      <c r="C4218" s="1">
        <f>hyperlink("https://hetutrechtsarchief.nl/collectie/BC5088CB198A5677A4F6C7773EDC6829","Joden in Utrecht door de eeuwen heen 1 H A Denneman 3 2004")</f>
        <v>0</v>
      </c>
      <c r="D4218" s="1">
        <f>hyperlink("http://dspace.library.uu.nl/handle/1874/275443","Hoe autochtoon bent u Hamoen T Hamoen 33 1982")</f>
        <v>0</v>
      </c>
    </row>
    <row r="4219" spans="2:4">
      <c r="B4219">
        <v>62</v>
      </c>
      <c r="C4219" s="1">
        <f>hyperlink("https://hetutrechtsarchief.nl/collectie/097CB34D82095F4DB745784FFA81BE22","Utrecht 28 Nov 1813 141-146 1851")</f>
        <v>0</v>
      </c>
      <c r="D4219" s="1">
        <f>hyperlink("http://dspace.library.uu.nl/handle/1874/275444","Vleuten in 1815 14-16 1982")</f>
        <v>0</v>
      </c>
    </row>
    <row r="4220" spans="2:4">
      <c r="B4220">
        <v>54</v>
      </c>
      <c r="C4220" s="1">
        <f>hyperlink("https://hetutrechtsarchief.nl/collectie/F46340ED9DB257D1822742F2BB8053B8","De kerk te Loenen aan de Vecht Herma M van den Berg 131-140 ill 1953")</f>
        <v>0</v>
      </c>
      <c r="D4220" s="1">
        <f>hyperlink("http://dspace.library.uu.nl/handle/1874/275445","De oude kerk te Vleuten D W Gravendeel 153-162 jg 4 1984 nr 1 p 195 1983-1984")</f>
        <v>0</v>
      </c>
    </row>
    <row r="4221" spans="2:4">
      <c r="B4221">
        <v>63</v>
      </c>
      <c r="C4221" s="1">
        <f>hyperlink("https://hetutrechtsarchief.nl/collectie/3EBE482D13CB54C39292D482E1D40016","De Tegenwind A T 5-7 1983")</f>
        <v>0</v>
      </c>
      <c r="D4221" s="1">
        <f>hyperlink("http://dspace.library.uu.nl/handle/1874/275446","De Meern anno 1967 45-47 1982")</f>
        <v>0</v>
      </c>
    </row>
    <row r="4222" spans="2:4">
      <c r="B4222">
        <v>51</v>
      </c>
      <c r="C4222" s="1">
        <f>hyperlink("https://hetutrechtsarchief.nl/collectie/74F3303D4FA6561DA4C118282005C201","Opgravingen in De Meern Clasina Isings en Cor A Kalee 35-39 1988")</f>
        <v>0</v>
      </c>
      <c r="D4222" s="1">
        <f>hyperlink("http://dspace.library.uu.nl/handle/1874/275447","Opgravingen op de Hoge Woerd in De Meern 1830-1973 C A Kalee 59-80 jg 3 1983 nr 1 p 101-102 nr 2 p 120-122 1982-1983")</f>
        <v>0</v>
      </c>
    </row>
    <row r="4223" spans="2:4">
      <c r="B4223">
        <v>58</v>
      </c>
      <c r="C4223" s="1">
        <f>hyperlink("https://hetutrechtsarchief.nl/collectie/E9EBBCAFD03A5781936A78629DB76A9A","De Nationale Schildersschool H J J Verbeek 11-12 ill 1972")</f>
        <v>0</v>
      </c>
      <c r="D4223" s="1">
        <f>hyperlink("http://dspace.library.uu.nl/handle/1874/275449","Hoe autochtoon bent u J P Verbeek 8-12 1982")</f>
        <v>0</v>
      </c>
    </row>
    <row r="4224" spans="2:4">
      <c r="B4224">
        <v>55</v>
      </c>
      <c r="C4224" s="1">
        <f>hyperlink("https://hetutrechtsarchief.nl/collectie/4EE8767A87BD5B30B6FC7B28B83719CD","Werkplan aan de slag Ad Tourn 4-5 22 1986")</f>
        <v>0</v>
      </c>
      <c r="D4224" s="1">
        <f>hyperlink("http://dspace.library.uu.nl/handle/1874/275450","Jaagpad langs den Ouden Rijn 2 1982")</f>
        <v>0</v>
      </c>
    </row>
    <row r="4225" spans="2:4">
      <c r="B4225">
        <v>64</v>
      </c>
      <c r="C4225" s="1">
        <f>hyperlink("https://hetutrechtsarchief.nl/collectie/D10B59CD2E1F5C4D9AEE96643B4E35D4","Katrijn van Leemputte 109 1936")</f>
        <v>0</v>
      </c>
      <c r="D4225" s="1">
        <f>hyperlink("http://dspace.library.uu.nl/handle/1874/275451","Kaart van Vleuten 162 1982")</f>
        <v>0</v>
      </c>
    </row>
    <row r="4226" spans="2:4">
      <c r="B4226">
        <v>59</v>
      </c>
      <c r="C4226" s="1">
        <f>hyperlink("https://hetutrechtsarchief.nl/collectie/0931C8E34F0254C89F052A021BE4C345","Leidsche Rijn groeit Vanessa Ester 12-13 1999")</f>
        <v>0</v>
      </c>
      <c r="D4226" s="1">
        <f>hyperlink("http://dspace.library.uu.nl/handle/1874/275452","Leidsche Rijn bijna 600 jaar 3-6 1982")</f>
        <v>0</v>
      </c>
    </row>
    <row r="4227" spans="2:4">
      <c r="B4227">
        <v>50</v>
      </c>
      <c r="C4227" s="1">
        <f>hyperlink("https://hetutrechtsarchief.nl/collectie/DFC1BE7CBAB9514682E4149835DC25D8","Twee oude bekenden gingen heen - de J 98-99 1963")</f>
        <v>0</v>
      </c>
      <c r="D4227" s="1">
        <f>hyperlink("http://dspace.library.uu.nl/handle/1874/275453","Oude uitdrukkingen J Schutte 32 nr 3 p 51 jg 3 1983 nr 1 p 93 1982-1983")</f>
        <v>0</v>
      </c>
    </row>
    <row r="4228" spans="2:4">
      <c r="B4228">
        <v>51</v>
      </c>
      <c r="C4228" s="1">
        <f>hyperlink("https://hetutrechtsarchief.nl/collectie/477F06B66C6550EA8BF6F1577A856212","J C U Legner - v C 31 1968")</f>
        <v>0</v>
      </c>
      <c r="D4228" s="1">
        <f>hyperlink("http://dspace.library.uu.nl/handle/1874/275454","PVCV nu halve eeuw oud 31-32 1982")</f>
        <v>0</v>
      </c>
    </row>
    <row r="4229" spans="2:4">
      <c r="B4229">
        <v>64</v>
      </c>
      <c r="C4229" s="1">
        <f>hyperlink("https://hetutrechtsarchief.nl/collectie/DDAEA8D693495F02971D45DE98589313","Op de Utrechtse walletjes in 1830 D P Snoep 134-137 1980")</f>
        <v>0</v>
      </c>
      <c r="D4229" s="1">
        <f>hyperlink("http://dspace.library.uu.nl/handle/1874/275455","De Utrechtse gemeenten in 1815 34-35 1982")</f>
        <v>0</v>
      </c>
    </row>
    <row r="4230" spans="2:4">
      <c r="B4230">
        <v>57</v>
      </c>
      <c r="C4230" s="1">
        <f>hyperlink("https://hetutrechtsarchief.nl/collectie/7F570DA135D0599F96883708509079DD","De gemeente Utrecht en de Civiele Verdediging J Berger 11-13 ill 1968")</f>
        <v>0</v>
      </c>
      <c r="D4230" s="1">
        <f>hyperlink("http://dspace.library.uu.nl/handle/1874/275456","Zo verkocht de gemeente zich in de dertiger jaren J A Verder 43-45 1982")</f>
        <v>0</v>
      </c>
    </row>
    <row r="4231" spans="2:4">
      <c r="B4231">
        <v>68</v>
      </c>
      <c r="C4231" s="1">
        <f>hyperlink("https://hetutrechtsarchief.nl/collectie/E27DB7D358AC5C19BCB2F157F5EF8178","Haarkrullers 123 ill 1980")</f>
        <v>0</v>
      </c>
      <c r="D4231" s="1">
        <f>hyperlink("http://dspace.library.uu.nl/handle/1874/275457","Haarzuilens 12-13 1982")</f>
        <v>0</v>
      </c>
    </row>
    <row r="4232" spans="2:4">
      <c r="B4232">
        <v>53</v>
      </c>
      <c r="C4232" s="1">
        <f>hyperlink("https://hetutrechtsarchief.nl/collectie/AEDDDC1B59985F3990C2776D652FEF5D","Kanaal 42 de unieke open kabel in Utrecht iedere Utrechtenaar op de buis tekst en foto s Bertus van Berlo 12 - 15 1982")</f>
        <v>0</v>
      </c>
      <c r="D4232" s="1">
        <f>hyperlink("http://dspace.library.uu.nl/handle/1874/275458","Bekende dorpsgenoten Jaap Sprong geen rasechte ambtenaar w l de bekendste Gerrit Jan Bel 25-30 1982")</f>
        <v>0</v>
      </c>
    </row>
    <row r="4233" spans="2:4">
      <c r="B4233">
        <v>52</v>
      </c>
      <c r="C4233" s="1">
        <f>hyperlink("https://hetutrechtsarchief.nl/collectie/796F4586C410A42CE0534701000A6353","Portretten van het echtpaar Stalpart van der Wielen-van Weede door Hendrick Bloemaert Robbert Jan van der Maal 184 2018")</f>
        <v>0</v>
      </c>
      <c r="D4233" s="1">
        <f>hyperlink("http://dspace.library.uu.nl/handle/1874/275459","Bekende dorpsgenoten Lood van Eijk 87 jaar maar nog iedere week op de markt Gerrit Jan Bel 48-50 1982")</f>
        <v>0</v>
      </c>
    </row>
    <row r="4234" spans="2:4">
      <c r="B4234">
        <v>57</v>
      </c>
      <c r="C4234" s="1">
        <f>hyperlink("https://hetutrechtsarchief.nl/collectie/695692DD9B8855DABBC03F59D8DBE624","Achtergronden van de Unie van Utrecht A van Hulzen 24-55 ill 1978")</f>
        <v>0</v>
      </c>
      <c r="D4234" s="1">
        <f>hyperlink("http://dspace.library.uu.nl/handle/1874/275460","Unieke plattegrond van de ru ne van De Haar Klaas B Nanning 24 nr 3 p 40-43 1982")</f>
        <v>0</v>
      </c>
    </row>
    <row r="4235" spans="2:4">
      <c r="B4235">
        <v>70</v>
      </c>
      <c r="C4235" s="1">
        <f>hyperlink("https://hetutrechtsarchief.nl/collectie/F5714E0774A05F0F857DED373219145C","Het kasteel de Haar 34-35 1949")</f>
        <v>0</v>
      </c>
      <c r="D4235" s="1">
        <f>hyperlink("http://dspace.library.uu.nl/handle/1874/275461","Gezicht op kasteel De Haar 138-140 1983")</f>
        <v>0</v>
      </c>
    </row>
    <row r="4236" spans="2:4">
      <c r="B4236">
        <v>53</v>
      </c>
      <c r="C4236" s="1">
        <f>hyperlink("https://hetutrechtsarchief.nl/collectie/461BC98359FF561EAF4260B7D6000AB0","Het grote glas-in-loodraam in de publiekshal van het gemeentehuis JanHein Heimel 104-106 2016")</f>
        <v>0</v>
      </c>
      <c r="D4236" s="1">
        <f>hyperlink("http://dspace.library.uu.nl/handle/1874/275462","Bekende dorpsgenoten Van Bommel woonde in straal van 200 meter in 4 gemeenten Gerrit Jan Bel 94-101 1983")</f>
        <v>0</v>
      </c>
    </row>
    <row r="4237" spans="2:4">
      <c r="B4237">
        <v>62</v>
      </c>
      <c r="C4237" s="1">
        <f>hyperlink("https://hetutrechtsarchief.nl/collectie/98DCB355C2CA554DB0A25D6BBFF6F0BD","Kees Valkenstein - een veelzijdig kunstenaar Auke Hoekstra 44-47 2002")</f>
        <v>0</v>
      </c>
      <c r="D4237" s="1">
        <f>hyperlink("http://dspace.library.uu.nl/handle/1874/275463","Bekende dorpsgenoten Kees Valkenstein een veelzijdig kunstenaar Gerrit Jan Bel 108-114 1983")</f>
        <v>0</v>
      </c>
    </row>
    <row r="4238" spans="2:4">
      <c r="B4238">
        <v>53</v>
      </c>
      <c r="C4238" s="1">
        <f>hyperlink("https://hetutrechtsarchief.nl/collectie/85C82A65357656C3A10E3676F2D4EC7B","Een gemeente die van zich laat horen 50 jaar Leeuwenbergh-gemeente L A van Ketel 113 116 1986")</f>
        <v>0</v>
      </c>
      <c r="D4238" s="1">
        <f>hyperlink("http://dspace.library.uu.nl/handle/1874/275464","Bekende dorpsgenoten dokter Schuurs ruim 30 jaar arts in Vleuten Gerrit Jan Bel 166-169 1983")</f>
        <v>0</v>
      </c>
    </row>
    <row r="4239" spans="2:4">
      <c r="B4239">
        <v>54</v>
      </c>
      <c r="C4239" s="1">
        <f>hyperlink("https://hetutrechtsarchief.nl/collectie/EC30CD25AFAD5030B805AF0CF2C7EF01","Stilte na de storm Utrecht in de eerste helft van de negentiende eeuw R E de Bruin 510-528 1986")</f>
        <v>0</v>
      </c>
      <c r="D4239" s="1">
        <f>hyperlink("http://dspace.library.uu.nl/handle/1874/275465","Schoolmeester in 1792 hoe Cornelis ter Wogt in 1792 schoolmeester te De Meern werd Jac de Bruijn 120 1983")</f>
        <v>0</v>
      </c>
    </row>
    <row r="4240" spans="2:4">
      <c r="B4240">
        <v>58</v>
      </c>
      <c r="C4240" s="1">
        <f>hyperlink("https://hetutrechtsarchief.nl/collectie/8E725F6C92F25B85A9DF9EC9FE3F3356","Romeins Vleuten-De Meern J H J Joosten 37-43 1998")</f>
        <v>0</v>
      </c>
      <c r="D4240" s="1">
        <f>hyperlink("http://dspace.library.uu.nl/handle/1874/275466","Vleutense meesters 137 1983")</f>
        <v>0</v>
      </c>
    </row>
    <row r="4241" spans="2:4">
      <c r="B4241">
        <v>55</v>
      </c>
      <c r="C4241" s="1">
        <f>hyperlink("https://hetutrechtsarchief.nl/collectie/8B1C70EED2EA5E1E92B3CB96D2A0437C","Tertiarissen van het Utrechtsche kapittel P Dalm van Heel 1-382 1939")</f>
        <v>0</v>
      </c>
      <c r="D4241" s="1">
        <f>hyperlink("http://dspace.library.uu.nl/handle/1874/275467","Uit het Archief van het Huis Voorn een pachtcontract uit 1585 D W Gravendeel 131-137 1983")</f>
        <v>0</v>
      </c>
    </row>
    <row r="4242" spans="2:4">
      <c r="B4242">
        <v>60</v>
      </c>
      <c r="C4242" s="1">
        <f>hyperlink("https://hetutrechtsarchief.nl/collectie/689F139995A353FA9CD16003D1910EEE","De geschiedenis van de gemeente Loenen Fenna Brouwer 5-19 2004")</f>
        <v>0</v>
      </c>
      <c r="D4242" s="1">
        <f>hyperlink("http://dspace.library.uu.nl/handle/1874/275468","De geschiedenis van onze gemeentegrens sinds ca 1800 D W Gravendeel 84-90 1983")</f>
        <v>0</v>
      </c>
    </row>
    <row r="4243" spans="2:4">
      <c r="B4243">
        <v>55</v>
      </c>
      <c r="C4243" s="1">
        <f>hyperlink("https://hetutrechtsarchief.nl/collectie/BAC32A813B0C5995888085A43D60A40F","Een en ander over het maandblad G A Evers 14-16 1948")</f>
        <v>0</v>
      </c>
      <c r="D4243" s="1">
        <f>hyperlink("http://dspace.library.uu.nl/handle/1874/275469","Een grondverkoop op Themaat in 1481 G C A van Mourik 117-119 1983")</f>
        <v>0</v>
      </c>
    </row>
    <row r="4244" spans="2:4">
      <c r="B4244">
        <v>52</v>
      </c>
      <c r="C4244" s="1">
        <f>hyperlink("https://hetutrechtsarchief.nl/collectie/0210EA6682C4501AB6AF62658CEDE44E","Een verdwaalde vondst en een herinnering aan de School met den Bijbel in Vreeswijk Frans Landzaat en Eef Meijer van Putten 41-44 2001")</f>
        <v>0</v>
      </c>
      <c r="D4244" s="1">
        <f>hyperlink("http://dspace.library.uu.nl/handle/1874/275470","Bekende dorpsgenoten herinneringen van Piet de Vries Als meester Corsten z n haren waren geknipt was ie niet te genieten Gerrit Jan Bel 142-145 1983")</f>
        <v>0</v>
      </c>
    </row>
    <row r="4245" spans="2:4">
      <c r="B4245">
        <v>57</v>
      </c>
      <c r="C4245" s="1">
        <f>hyperlink("https://hetutrechtsarchief.nl/collectie/A5EB37924123A6A0E0534701000AA034","Het oudste woonhuis in Houten Rinus van den Heijkant 1-12 2020")</f>
        <v>0</v>
      </c>
      <c r="D4245" s="1">
        <f>hyperlink("http://dspace.library.uu.nl/handle/1874/275502","Het Oude Raadhuis te Vleuten Jac de Bruijn 175 1983")</f>
        <v>0</v>
      </c>
    </row>
    <row r="4246" spans="2:4">
      <c r="B4246">
        <v>58</v>
      </c>
      <c r="C4246" s="1">
        <f>hyperlink("https://hetutrechtsarchief.nl/collectie/74F3303D4FA6561DA4C118282005C201","Opgravingen in De Meern Clasina Isings en Cor A Kalee 35-39 1988")</f>
        <v>0</v>
      </c>
      <c r="D4246" s="1">
        <f>hyperlink("http://dspace.library.uu.nl/handle/1874/275503","De archeologische opgraving op de Hoge Woerd in De Meern in 1982-1983 C A Isings C Kalee 180-183 1984")</f>
        <v>0</v>
      </c>
    </row>
    <row r="4247" spans="2:4">
      <c r="B4247">
        <v>57</v>
      </c>
      <c r="C4247" s="1">
        <f>hyperlink("https://hetutrechtsarchief.nl/collectie/D6E2ACC86663500E9C454B64F60C3645","De opzichter vertelt Chr van Leeuwen 49-50 1954")</f>
        <v>0</v>
      </c>
      <c r="D4247" s="1">
        <f>hyperlink("http://dspace.library.uu.nl/handle/1874/275504","Oude dorpsbewoners vertellen Monique van Essen 184-187 1984")</f>
        <v>0</v>
      </c>
    </row>
    <row r="4248" spans="2:4">
      <c r="B4248">
        <v>63</v>
      </c>
      <c r="C4248" s="1">
        <f>hyperlink("https://hetutrechtsarchief.nl/collectie/40685ED1E7C75919859A368D1D9044A0","Willibrord K Heeringa 1 -22 1939")</f>
        <v>0</v>
      </c>
      <c r="D4248" s="1">
        <f>hyperlink("http://dspace.library.uu.nl/handle/1874/275505","Willibrord-kerk Vleuten 100 jaar 183 1984")</f>
        <v>0</v>
      </c>
    </row>
    <row r="4249" spans="2:4">
      <c r="B4249">
        <v>51</v>
      </c>
      <c r="C4249" s="1">
        <f>hyperlink("https://hetutrechtsarchief.nl/collectie/C9EEE9D8ABA95FB9933BD1D05BC23073","Het Utrechtsche filiaal der Landsdrukkerij 1807-1808 - E 18-20 1939")</f>
        <v>0</v>
      </c>
      <c r="D4249" s="1">
        <f>hyperlink("http://dspace.library.uu.nl/handle/1874/275506","Een autochtone familie Van Dijk J W Schoonderwoerd 170-174 jg 4 1984 nr 1 p 194-195 1983-1984")</f>
        <v>0</v>
      </c>
    </row>
    <row r="4250" spans="2:4">
      <c r="B4250">
        <v>55</v>
      </c>
      <c r="C4250" s="1">
        <f>hyperlink("https://hetutrechtsarchief.nl/collectie/0785CF6218615618BFC6087C32746F2E","Voetbalvandalisme Gerrit den Uyl 24-25 1986")</f>
        <v>0</v>
      </c>
      <c r="D4250" s="1">
        <f>hyperlink("http://dspace.library.uu.nl/handle/1874/275562","Het Haarse kasteelleven Gerrit Jan Bel 271-274 1984")</f>
        <v>0</v>
      </c>
    </row>
    <row r="4251" spans="2:4">
      <c r="B4251">
        <v>57</v>
      </c>
      <c r="C4251" s="1">
        <f>hyperlink("https://hetutrechtsarchief.nl/collectie/783FC7BB9B06BDABE0534701000A14CB","De vroegere buitenplaats Noordborgh in Harmelen Frank van Rooijen 78-84 2018")</f>
        <v>0</v>
      </c>
      <c r="D4251" s="1">
        <f>hyperlink("http://dspace.library.uu.nl/handle/1874/275563","Kerkelijk geregistreerde buitenlanders in Harmelen en De Meern Jac de Bruijn 230-233 1984")</f>
        <v>0</v>
      </c>
    </row>
    <row r="4252" spans="2:4">
      <c r="B4252">
        <v>59</v>
      </c>
      <c r="C4252" s="1">
        <f>hyperlink("https://hetutrechtsarchief.nl/collectie/7424FF3267755710A21F40AF26C2B440","The Broads Wil Merkies 18-21 1984")</f>
        <v>0</v>
      </c>
      <c r="D4252" s="1">
        <f>hyperlink("http://dspace.library.uu.nl/handle/1874/275564","Themaat D W Gravendeel 212-216 1984")</f>
        <v>0</v>
      </c>
    </row>
    <row r="4253" spans="2:4">
      <c r="B4253">
        <v>66</v>
      </c>
      <c r="C4253" s="1">
        <f>hyperlink("https://hetutrechtsarchief.nl/collectie/F5714E0774A05F0F857DED373219145C","Het kasteel de Haar 34-35 1949")</f>
        <v>0</v>
      </c>
      <c r="D4253" s="1">
        <f>hyperlink("http://dspace.library.uu.nl/handle/1874/275565","Legende van kasteel De Haar 216-219 1984")</f>
        <v>0</v>
      </c>
    </row>
    <row r="4254" spans="2:4">
      <c r="B4254">
        <v>57</v>
      </c>
      <c r="C4254" s="1">
        <f>hyperlink("https://hetutrechtsarchief.nl/collectie/D3CA3256ED4C59CA823B7481FF147040","De grenzen van Den Dolder M Raven 71-72 1965")</f>
        <v>0</v>
      </c>
      <c r="D4254" s="1">
        <f>hyperlink("http://dspace.library.uu.nl/handle/1874/275566","De legende van den Ham openluchtspel Vleuten 1946 233-236 1984")</f>
        <v>0</v>
      </c>
    </row>
    <row r="4255" spans="2:4">
      <c r="B4255">
        <v>56</v>
      </c>
      <c r="C4255" s="1">
        <f>hyperlink("https://hetutrechtsarchief.nl/collectie/180E873B4B8E5203BE762444E425803D","Het Utrechts Monumentenfonds 25 jaar 29-31 1968")</f>
        <v>0</v>
      </c>
      <c r="D4255" s="1">
        <f>hyperlink("http://dspace.library.uu.nl/handle/1874/275567","Hoe autochtoon bent U D W Gravendeel 285-291 1985")</f>
        <v>0</v>
      </c>
    </row>
    <row r="4256" spans="2:4">
      <c r="B4256">
        <v>55</v>
      </c>
      <c r="C4256" s="1">
        <f>hyperlink("https://hetutrechtsarchief.nl/collectie/6BA586B26AC65657A3CCEB4F0EC02C39","De familie Kroese Tiny Kroese 124-127 2013")</f>
        <v>0</v>
      </c>
      <c r="D4256" s="1">
        <f>hyperlink("http://dspace.library.uu.nl/handle/1874/275568","De Meentweg Tiny Niessen-Verhoef 267-270 1984")</f>
        <v>0</v>
      </c>
    </row>
    <row r="4257" spans="2:4">
      <c r="B4257">
        <v>55</v>
      </c>
      <c r="C4257" s="1">
        <f>hyperlink("https://hetutrechtsarchief.nl/collectie/6B751271FE7852C883042022FC981D3D","Over Trecht en Utrecht J van Galen 23-47 1954")</f>
        <v>0</v>
      </c>
      <c r="D4257" s="1">
        <f>hyperlink("http://dspace.library.uu.nl/handle/1874/275569","Hoe autochtoon bent U D W Gravendeel 188-194 1984")</f>
        <v>0</v>
      </c>
    </row>
    <row r="4258" spans="2:4">
      <c r="B4258">
        <v>55</v>
      </c>
      <c r="C4258" s="1">
        <f>hyperlink("https://hetutrechtsarchief.nl/collectie/A4A47A4B07EB5828A4AA3D76D644DE73","De grote waai en een vergeten hofstede Evert van Andel 126-142 2010")</f>
        <v>0</v>
      </c>
      <c r="D4258" s="1">
        <f>hyperlink("http://dspace.library.uu.nl/handle/1874/275570","Een telefoon voor hofstede Terweide D W Gravendeel 246-250 1984")</f>
        <v>0</v>
      </c>
    </row>
    <row r="4259" spans="2:4">
      <c r="B4259">
        <v>56</v>
      </c>
      <c r="C4259" s="1">
        <f>hyperlink("https://hetutrechtsarchief.nl/collectie/8005394B2DF754CF812EB150396CCF46","Enkele opmerkingen over de historie van de korenmolen in t Goy Casper van Burik 1-13 2013")</f>
        <v>0</v>
      </c>
      <c r="D4259" s="1">
        <f>hyperlink("http://dspace.library.uu.nl/handle/1874/275571","Een boekje open over de Strijkviertel H J van der Weiden-van den Brink 219-224 nr 3 p 237-240 1984")</f>
        <v>0</v>
      </c>
    </row>
    <row r="4260" spans="2:4">
      <c r="B4260">
        <v>56</v>
      </c>
      <c r="C4260" s="1">
        <f>hyperlink("https://hetutrechtsarchief.nl/collectie/68EE1EBEFFAA4C7AE0534701000A7881","Spiegelbeeldkopie fluitje van een cent W J Raven 24-26 2018")</f>
        <v>0</v>
      </c>
      <c r="D4260" s="1">
        <f>hyperlink("http://dspace.library.uu.nl/handle/1874/275572","Wapengekletter in de kerk van Vleuten D W Gravendeel 196-201 1984")</f>
        <v>0</v>
      </c>
    </row>
    <row r="4261" spans="2:4">
      <c r="B4261">
        <v>58</v>
      </c>
      <c r="C4261" s="1">
        <f>hyperlink("https://hetutrechtsarchief.nl/collectie/9990A60461475638AEF964D2578E1FA0","De nazaten van Mr Gerrit Hamel J L Hamel 360-374 1968")</f>
        <v>0</v>
      </c>
      <c r="D4261" s="1">
        <f>hyperlink("http://dspace.library.uu.nl/handle/1874/275573","Bekende dorpsgenoten J A Tomberg Gerrit Hans Lambers 253-256 1984")</f>
        <v>0</v>
      </c>
    </row>
    <row r="4262" spans="2:4">
      <c r="B4262">
        <v>56</v>
      </c>
      <c r="C4262" s="1">
        <f>hyperlink("https://hetutrechtsarchief.nl/collectie/8789FC3D22EE58518194D2E0D4D57C2C","Herinneringen van een verkeersagent Het waren er zes 2 1984")</f>
        <v>0</v>
      </c>
      <c r="D4262" s="1">
        <f>hyperlink("http://dspace.library.uu.nl/handle/1874/275574","Herinneringen aan 1940-1945 wijkverpleegster Zuster T Brouwer een heldin Jac de Bruijn 285 1985")</f>
        <v>0</v>
      </c>
    </row>
    <row r="4263" spans="2:4">
      <c r="B4263">
        <v>57</v>
      </c>
      <c r="C4263" s="1">
        <f>hyperlink("https://hetutrechtsarchief.nl/collectie/77D9BE8A10805CA6A41DD0490E612919","Her en der uit kerk en wereld - S 37 - 38 ill 1983")</f>
        <v>0</v>
      </c>
      <c r="D4263" s="1">
        <f>hyperlink("http://dspace.library.uu.nl/handle/1874/275617","Ik heb geen rooie duit meer D Purmer 379-385 1986")</f>
        <v>0</v>
      </c>
    </row>
    <row r="4264" spans="2:4">
      <c r="B4264">
        <v>64</v>
      </c>
      <c r="C4264" s="1">
        <f>hyperlink("https://hetutrechtsarchief.nl/collectie/8AED7513981D5E69B7FC13256709EF62","Klokkenspel Kees van den Berg 6-9 1985")</f>
        <v>0</v>
      </c>
      <c r="D4264" s="1">
        <f>hyperlink("http://dspace.library.uu.nl/handle/1874/275619","Dagboek tijdens de oorlog Theo van den Berg 305-309 1985")</f>
        <v>0</v>
      </c>
    </row>
    <row r="4265" spans="2:4">
      <c r="B4265">
        <v>57</v>
      </c>
      <c r="C4265" s="1">
        <f>hyperlink("https://hetutrechtsarchief.nl/collectie/BC4783D76C8A524684036980501DCC25","Een rijke vereniging wordt in haar voortbestaan bedreigd Het bestuur van de Historische Vereniging Vleuten De Meern Haarzuilens 56-57 2004")</f>
        <v>0</v>
      </c>
      <c r="D4265" s="1">
        <f>hyperlink("http://dspace.library.uu.nl/handle/1874/275621","150 jaar graven naar een Romeins castellum in De Meern tentoonstelling 12 mei t m 3 juni 1984 Verenigingsgebouw Zandweg 148 De Meern Historische Vereniging Vleuten-De Meern-Haarzuilens 1984")</f>
        <v>0</v>
      </c>
    </row>
    <row r="4266" spans="2:4">
      <c r="B4266">
        <v>55</v>
      </c>
      <c r="C4266" s="1">
        <f>hyperlink("https://hetutrechtsarchief.nl/collectie/1E2D14F82083541581272609897FA6D4","De dorpsbarbier vertelt kunst en cultuur Ons plaatselijke wel en wee Ad van Zoeren 132 2009")</f>
        <v>0</v>
      </c>
      <c r="D4266" s="1">
        <f>hyperlink("http://dspace.library.uu.nl/handle/1874/275622","Een dorpsbewoner vertelt koster Rijker 50 jaar een zevendaagse werkweek Monique van Essen 310-316 1985")</f>
        <v>0</v>
      </c>
    </row>
    <row r="4267" spans="2:4">
      <c r="B4267">
        <v>52</v>
      </c>
      <c r="C4267" s="1">
        <f>hyperlink("https://hetutrechtsarchief.nl/collectie/ED8C221737E55D2EAC7AB2CC2BBED087","Schotten en Britten te Utrecht 123-124 1958")</f>
        <v>0</v>
      </c>
      <c r="D4267" s="1">
        <f>hyperlink("http://dspace.library.uu.nl/handle/1874/275623","Hof ter Wey B Overkleeft 322-323 1985")</f>
        <v>0</v>
      </c>
    </row>
    <row r="4268" spans="2:4">
      <c r="B4268">
        <v>59</v>
      </c>
      <c r="C4268" s="1">
        <f>hyperlink("https://hetutrechtsarchief.nl/collectie/600308E912645B1DBD9269EA2ABEADCA","Het orgel van de Janskerk en zijn voorgangers M A Vente 1-8 ill 1982")</f>
        <v>0</v>
      </c>
      <c r="D4268" s="1">
        <f>hyperlink("http://dspace.library.uu.nl/handle/1874/275624","Het grondbezit van de heren van Voorn D W Gravendeel 365-375 1985")</f>
        <v>0</v>
      </c>
    </row>
    <row r="4269" spans="2:4">
      <c r="B4269">
        <v>56</v>
      </c>
      <c r="C4269" s="1">
        <f>hyperlink("https://hetutrechtsarchief.nl/collectie/9CC5FA029DA450C3BC7C80456FF79CEA","Een Utrechtse benoeming in 1680 Aleid W van de Bunt 28-30 1954")</f>
        <v>0</v>
      </c>
      <c r="D4269" s="1">
        <f>hyperlink("http://dspace.library.uu.nl/handle/1874/275625","Een pensioen in 1838 D W Gravendeel 346-347 1985")</f>
        <v>0</v>
      </c>
    </row>
    <row r="4270" spans="2:4">
      <c r="B4270">
        <v>59</v>
      </c>
      <c r="C4270" s="1">
        <f>hyperlink("https://hetutrechtsarchief.nl/collectie/A1F147FBC357546A8470E0D3FCE63A5F","Een Remonstrant te Vleuten Veronique Voorn 76-83 1998")</f>
        <v>0</v>
      </c>
      <c r="D4270" s="1">
        <f>hyperlink("http://dspace.library.uu.nl/handle/1874/275626","Een dorpsbewoner vertelt Monique van Essen 356-361 1985")</f>
        <v>0</v>
      </c>
    </row>
    <row r="4271" spans="2:4">
      <c r="B4271">
        <v>54</v>
      </c>
      <c r="C4271" s="1">
        <f>hyperlink("https://hetutrechtsarchief.nl/collectie/2AE671DB2A8F5140965966C49D703366","Regenten en secretarissen van het Martinigasthuis te Utrecht P C B v T P 367-370 1918")</f>
        <v>0</v>
      </c>
      <c r="D4271" s="1">
        <f>hyperlink("http://dspace.library.uu.nl/handle/1874/275627","De gemeentesecretarie van Vleuten sinds 1900 J P M Sprong J J Th Versteeg 334-340 1985")</f>
        <v>0</v>
      </c>
    </row>
    <row r="4272" spans="2:4">
      <c r="B4272">
        <v>68</v>
      </c>
      <c r="C4272" s="1">
        <f>hyperlink("https://hetutrechtsarchief.nl/collectie/06F9702060E85089A7722918786403A1","Themaat van maat tot polder 2 J A Storm van Leeuwen 29-36 1998")</f>
        <v>0</v>
      </c>
      <c r="D4272" s="1">
        <f>hyperlink("http://dspace.library.uu.nl/handle/1874/275628","Van Oude Rijn tot Leidse Rijn J A Storm van Leeuwen 352-355 1985")</f>
        <v>0</v>
      </c>
    </row>
    <row r="4273" spans="2:4">
      <c r="B4273">
        <v>61</v>
      </c>
      <c r="C4273" s="1">
        <f>hyperlink("https://hetutrechtsarchief.nl/collectie/8C4BF572A5714675E0534701000A5F16","Het ontstaan van de Nederlandse Biblebelt Fred van Lieburg 12-14 2019")</f>
        <v>0</v>
      </c>
      <c r="D4273" s="1">
        <f>hyperlink("http://dspace.library.uu.nl/handle/1874/275629","Het ontstaan van de Vleutense tuinbouw Jac de Bruijn 317-321 1985")</f>
        <v>0</v>
      </c>
    </row>
    <row r="4274" spans="2:4">
      <c r="B4274">
        <v>56</v>
      </c>
      <c r="C4274" s="1">
        <f>hyperlink("https://hetutrechtsarchief.nl/collectie/8043768ABDF8502C9DDB9F331621B1D0","Evacuatie van Soester inwoners in de Meidagen van 1940 naar Andijk 38-39 2015")</f>
        <v>0</v>
      </c>
      <c r="D4274" s="1">
        <f>hyperlink("http://dspace.library.uu.nl/handle/1874/275630","Het centrum van Vleuten in de zomer van 1967 Klaas B Nanning 362- 364 1985")</f>
        <v>0</v>
      </c>
    </row>
    <row r="4275" spans="2:4">
      <c r="B4275">
        <v>59</v>
      </c>
      <c r="C4275" s="1">
        <f>hyperlink("https://hetutrechtsarchief.nl/collectie/D6E2ACC86663500E9C454B64F60C3645","De opzichter vertelt Chr van Leeuwen 49-50 1954")</f>
        <v>0</v>
      </c>
      <c r="D4275" s="1">
        <f>hyperlink("http://dspace.library.uu.nl/handle/1874/275650","Een dorpsbewoner vertelt Monique van Essen 429-438 1986")</f>
        <v>0</v>
      </c>
    </row>
    <row r="4276" spans="2:4">
      <c r="B4276">
        <v>55</v>
      </c>
      <c r="C4276" s="1">
        <f>hyperlink("https://hetutrechtsarchief.nl/collectie/4D0EDA49AB8355D2B49DCF6BECD81166","Een fatale vrouw P van Eeghen 179-211 1961")</f>
        <v>0</v>
      </c>
      <c r="D4276" s="1">
        <f>hyperlink("http://dspace.library.uu.nl/handle/1874/275651","Een deftige trouwpartij in 1913 B Overkleeft 410-414 1986")</f>
        <v>0</v>
      </c>
    </row>
    <row r="4277" spans="2:4">
      <c r="B4277">
        <v>59</v>
      </c>
      <c r="C4277" s="1">
        <f>hyperlink("https://hetutrechtsarchief.nl/collectie/DC5456276D9157F393599F5911877E7E","Uit het burgerlijke leven medeged door P J Vermeulen 497-504 1874")</f>
        <v>0</v>
      </c>
      <c r="D4277" s="1">
        <f>hyperlink("http://dspace.library.uu.nl/handle/1874/275652","Het Burgerlijk Register D W Gravendeel 467-470 1986")</f>
        <v>0</v>
      </c>
    </row>
    <row r="4278" spans="2:4">
      <c r="B4278">
        <v>52</v>
      </c>
      <c r="C4278" s="1">
        <f>hyperlink("https://hetutrechtsarchief.nl/collectie/675B78EDDBCA8E2DE0534701000AAB4F","Twee Zaanse schilders in Elst de dorps- en riviergezichten van Willem en Chris Jansen Toon Blokland 8-13 2018")</f>
        <v>0</v>
      </c>
      <c r="D4278" s="1">
        <f>hyperlink("http://dspace.library.uu.nl/handle/1874/275654","Een opvallend schilderij de Willibrordkerk te Vleuten van Kees Valkenstein K B Nanning 463 1986")</f>
        <v>0</v>
      </c>
    </row>
    <row r="4279" spans="2:4">
      <c r="B4279">
        <v>59</v>
      </c>
      <c r="C4279" s="1">
        <f>hyperlink("https://hetutrechtsarchief.nl/collectie/8E725F6C92F25B85A9DF9EC9FE3F3356","Romeins Vleuten-De Meern J H J Joosten 37-43 1998")</f>
        <v>0</v>
      </c>
      <c r="D4279" s="1">
        <f>hyperlink("http://dspace.library.uu.nl/handle/1874/275655","Dorpspompen in Vleuten - De Meern D W Gravendeel 531-538 nr 4 p 557-563 1987")</f>
        <v>0</v>
      </c>
    </row>
    <row r="4280" spans="2:4">
      <c r="B4280">
        <v>53</v>
      </c>
      <c r="C4280" s="1">
        <f>hyperlink("https://hetutrechtsarchief.nl/collectie/EF36FCFAF1585D5691BEA263D6FB25D5","Dollen rond de Dom G T Haneveld 6-8 1984")</f>
        <v>0</v>
      </c>
      <c r="D4280" s="1">
        <f>hyperlink("http://dspace.library.uu.nl/handle/1874/275656","Een vrouwenhuysgen D W Gravendeel 479-481 1987")</f>
        <v>0</v>
      </c>
    </row>
    <row r="4281" spans="2:4">
      <c r="B4281">
        <v>64</v>
      </c>
      <c r="C4281" s="1">
        <f>hyperlink("https://hetutrechtsarchief.nl/collectie/949293607BEA589BAE9CB1580CCD3F04","Burgemeester de Ranitz B de Goede 1-2 1970")</f>
        <v>0</v>
      </c>
      <c r="D4281" s="1">
        <f>hyperlink("http://dspace.library.uu.nl/handle/1874/275657","Burgemeester en raadslid D W Gravendeel 458 1986")</f>
        <v>0</v>
      </c>
    </row>
    <row r="4282" spans="2:4">
      <c r="B4282">
        <v>67</v>
      </c>
      <c r="C4282" s="1">
        <f>hyperlink("https://hetutrechtsarchief.nl/collectie/D855B7994D9350EFAC9A6FB6BA8AB8B2","Uit de rechterlijke archieven R Loenen 111-116 ill 1998")</f>
        <v>0</v>
      </c>
      <c r="D4282" s="1">
        <f>hyperlink("http://dspace.library.uu.nl/handle/1874/275658","De oude rechterlijke archieven D W Gravendeel 459-461 1986")</f>
        <v>0</v>
      </c>
    </row>
    <row r="4283" spans="2:4">
      <c r="B4283">
        <v>65</v>
      </c>
      <c r="C4283" s="1">
        <f>hyperlink("https://hetutrechtsarchief.nl/collectie/0C52760CD9CB546186E977243858A098","De grote ontginning J A Storm van Leeuwen 6-8 ill 1971")</f>
        <v>0</v>
      </c>
      <c r="D4283" s="1">
        <f>hyperlink("http://dspace.library.uu.nl/handle/1874/275659","Bier uit de Heycop J A Storm van Leeuwen 482-494 1987")</f>
        <v>0</v>
      </c>
    </row>
    <row r="4284" spans="2:4">
      <c r="B4284">
        <v>54</v>
      </c>
      <c r="C4284" s="1">
        <f>hyperlink("https://hetutrechtsarchief.nl/collectie/2BE3DDFBE7965DE6863C3B10F0F5A3EB","De Heeren van Goye P G F Vermast 259-313 330-410 419-435 1949")</f>
        <v>0</v>
      </c>
      <c r="D4284" s="1">
        <f>hyperlink("http://dspace.library.uu.nl/handle/1874/275660","Water wonen en een weg E P Graafstal 389-423 nr 2 p 404-409 415-423 1986")</f>
        <v>0</v>
      </c>
    </row>
    <row r="4285" spans="2:4">
      <c r="B4285">
        <v>61</v>
      </c>
      <c r="C4285" s="1">
        <f>hyperlink("https://hetutrechtsarchief.nl/collectie/949293607BEA589BAE9CB1580CCD3F04","Burgemeester de Ranitz B de Goede 1-2 1970")</f>
        <v>0</v>
      </c>
      <c r="D4285" s="1">
        <f>hyperlink("http://dspace.library.uu.nl/handle/1874/275661","Onze burgemeesters D W Gravendeel 441-454 1986")</f>
        <v>0</v>
      </c>
    </row>
    <row r="4286" spans="2:4">
      <c r="B4286">
        <v>55</v>
      </c>
      <c r="C4286" s="1">
        <f>hyperlink("https://hetutrechtsarchief.nl/collectie/C0C503E326E7572881F648CF3787A846","Uit de oude gildekisten van Rhenen W Zanen 52-56 1948")</f>
        <v>0</v>
      </c>
      <c r="D4286" s="1">
        <f>hyperlink("http://dspace.library.uu.nl/handle/1874/275794","Een molenaarsdochter of de oudheidkamer van Kockengen D W Gravendeel 564-569 1987")</f>
        <v>0</v>
      </c>
    </row>
    <row r="4287" spans="2:4">
      <c r="B4287">
        <v>53</v>
      </c>
      <c r="C4287" s="1">
        <f>hyperlink("https://hetutrechtsarchief.nl/collectie/B487D1D9980B5C71B941E41B47666598","Lambert Voortman de eerste chef tuin en parken 2 een serie onbekende verhalen over De Haar Diny van der Leest 70-75 2007")</f>
        <v>0</v>
      </c>
      <c r="D4287" s="1">
        <f>hyperlink("http://dspace.library.uu.nl/handle/1874/275795","Lambert Voortman chef tuin en parken L M T Broekhuyse-Rood 664-668 1988")</f>
        <v>0</v>
      </c>
    </row>
    <row r="4288" spans="2:4">
      <c r="B4288">
        <v>53</v>
      </c>
      <c r="C4288" s="1">
        <f>hyperlink("https://hetutrechtsarchief.nl/collectie/9682D3C626E605F7E0534701000AA00A","Landbouw in Maartensdijk omstreeks 1800 Lous de Raadt 15-16 2009")</f>
        <v>0</v>
      </c>
      <c r="D4288" s="1">
        <f>hyperlink("http://dspace.library.uu.nl/handle/1874/275796","Het oude dorp Haarzuilens omstreeks 1880 D W Gravendeel 669-682 1988")</f>
        <v>0</v>
      </c>
    </row>
    <row r="4289" spans="2:4">
      <c r="B4289">
        <v>61</v>
      </c>
      <c r="C4289" s="1">
        <f>hyperlink("https://hetutrechtsarchief.nl/collectie/B4E3936CC1425332A6EB50A834ADA494","De Duitse Orde R Apell 63-64 ill 1980")</f>
        <v>0</v>
      </c>
      <c r="D4289" s="1">
        <f>hyperlink("http://dspace.library.uu.nl/handle/1874/275797","De Hamsluis D W Gravendeel 637-648 1988")</f>
        <v>0</v>
      </c>
    </row>
    <row r="4290" spans="2:4">
      <c r="B4290">
        <v>54</v>
      </c>
      <c r="C4290" s="1">
        <f>hyperlink("https://hetutrechtsarchief.nl/collectie/55420415F3BF5838A935D2155F24C6F1","Reizen in de Vechtstreek 63-65 1954")</f>
        <v>0</v>
      </c>
      <c r="D4290" s="1">
        <f>hyperlink("http://dspace.library.uu.nl/handle/1874/275798","Veldhuizen in 1906 D W Gravendeel 583-590 1988")</f>
        <v>0</v>
      </c>
    </row>
    <row r="4291" spans="2:4">
      <c r="B4291">
        <v>57</v>
      </c>
      <c r="C4291" s="1">
        <f>hyperlink("https://hetutrechtsarchief.nl/collectie/D345A4409FB9597DB2F0BD0C8AB8D47B","Het geheim van een grafkelder in Vleuten C W M Rasch 9-13 2010")</f>
        <v>0</v>
      </c>
      <c r="D4291" s="1">
        <f>hyperlink("http://dspace.library.uu.nl/handle/1874/275799","Een grafkelder te Vleuten D W Gravendeel 624-629 1988")</f>
        <v>0</v>
      </c>
    </row>
    <row r="4292" spans="2:4">
      <c r="B4292">
        <v>57</v>
      </c>
      <c r="C4292" s="1">
        <f>hyperlink("https://hetutrechtsarchief.nl/collectie/5D70C21A0797575C9F9651BC226B0E03","Reizen vanaf de grijze oudheid Ad Brand 5-30 1988")</f>
        <v>0</v>
      </c>
      <c r="D4292" s="1">
        <f>hyperlink("http://dspace.library.uu.nl/handle/1874/275800","Eigen haard is goud waard E P Graafstal 596-605 1988")</f>
        <v>0</v>
      </c>
    </row>
    <row r="4293" spans="2:4">
      <c r="B4293">
        <v>54</v>
      </c>
      <c r="C4293" s="1">
        <f>hyperlink("https://hetutrechtsarchief.nl/collectie/D63E2DDF6EE253C3B9EFEE131C63DA7D","Perebomen langs de Enghlaan in Vleuten J A Storm van Leeuwen 120-121 ill 1993")</f>
        <v>0</v>
      </c>
      <c r="D4293" s="1">
        <f>hyperlink("http://dspace.library.uu.nl/handle/1874/275801","Oude en nieuwe wegen in de ruilverkaveling Vleuten J A Storm van Leeuwen 610-621 nr 3 p 649-659 jg 9 1989 nr 1 p 708-713 1988-1989")</f>
        <v>0</v>
      </c>
    </row>
    <row r="4294" spans="2:4">
      <c r="B4294">
        <v>57</v>
      </c>
      <c r="C4294" s="1">
        <f>hyperlink("https://hetutrechtsarchief.nl/collectie/7E5FE2FD80CC50C8BBB0E60A829BC7C1","Roemloos einde van een archivaris A J van de Ven 51-55 1970")</f>
        <v>0</v>
      </c>
      <c r="D4294" s="1">
        <f>hyperlink("http://dspace.library.uu.nl/handle/1874/275802","Collecte voor een huis D W Gravendeel 591-595 1988")</f>
        <v>0</v>
      </c>
    </row>
    <row r="4295" spans="2:4">
      <c r="B4295">
        <v>56</v>
      </c>
      <c r="C4295" s="1">
        <f>hyperlink("https://hetutrechtsarchief.nl/collectie/44E5E945BED8506282F9DC95A2427867","Brieven schrijven tijdens mobilisatieperiode 1914-1918 Wim de Kam 1-10 2010")</f>
        <v>0</v>
      </c>
      <c r="D4295" s="1">
        <f>hyperlink("http://dspace.library.uu.nl/handle/1874/275803","Het mobilisatiekruis 1914-1918 D W Gravendeel 694-707 1989")</f>
        <v>0</v>
      </c>
    </row>
    <row r="4296" spans="2:4">
      <c r="B4296">
        <v>58</v>
      </c>
      <c r="C4296" s="1">
        <f>hyperlink("https://hetutrechtsarchief.nl/collectie/A6FDE52998995AFDB1D4E4CDA1754AE3","Smederijen aan De Meern F J Scheepens 5-13 1998")</f>
        <v>0</v>
      </c>
      <c r="D4296" s="1">
        <f>hyperlink("http://dspace.library.uu.nl/handle/1874/275804","Het wiel aan de Meerndijk D W Gravendeel 723-730 1989")</f>
        <v>0</v>
      </c>
    </row>
    <row r="4297" spans="2:4">
      <c r="B4297">
        <v>54</v>
      </c>
      <c r="C4297" s="1">
        <f>hyperlink("https://hetutrechtsarchief.nl/collectie/D3CA3256ED4C59CA823B7481FF147040","De grenzen van Den Dolder M Raven 71-72 1965")</f>
        <v>0</v>
      </c>
      <c r="D4297" s="1">
        <f>hyperlink("http://dspace.library.uu.nl/handle/1874/275806","Almanakken D W Gravendeel 721-722 1989")</f>
        <v>0</v>
      </c>
    </row>
    <row r="4298" spans="2:4">
      <c r="B4298">
        <v>53</v>
      </c>
      <c r="C4298" s="1">
        <f>hyperlink("https://hetutrechtsarchief.nl/collectie/BB4B988DA5B353D4BC92AD5EDF675FB4","Een praatje bij een plaatje H P Deys 23-30 2001")</f>
        <v>0</v>
      </c>
      <c r="D4298" s="1">
        <f>hyperlink("http://dspace.library.uu.nl/handle/1874/275807","n Nieuw praatje in 1989 bij n oud plaatje uit 1923 Gert Kromwijk 719-720 1989")</f>
        <v>0</v>
      </c>
    </row>
    <row r="4299" spans="2:4">
      <c r="B4299">
        <v>55</v>
      </c>
      <c r="C4299" s="1">
        <f>hyperlink("https://hetutrechtsarchief.nl/collectie/C6D3BD56ED1C5E38960FE716F4325D0E","Vij kerken gerestaureerd en in gebruik A Kool 19-22 ill 1988")</f>
        <v>0</v>
      </c>
      <c r="D4299" s="1">
        <f>hyperlink("http://dspace.library.uu.nl/handle/1874/275808","Oud hek fraai gerestaureerd K B Nanning 622-623 1988")</f>
        <v>0</v>
      </c>
    </row>
    <row r="4300" spans="2:4">
      <c r="B4300">
        <v>57</v>
      </c>
      <c r="C4300" s="1">
        <f>hyperlink("https://hetutrechtsarchief.nl/collectie/41632E64BAA95CD0A96C5E47B4923A5F","De bouw van de tweede Leidseveertunnel J C Janssen 8-10 ill 1967")</f>
        <v>0</v>
      </c>
      <c r="D4300" s="1">
        <f>hyperlink("http://dspace.library.uu.nl/handle/1874/275809","De bokkewagen van de televisie K B Nanning 551 1987")</f>
        <v>0</v>
      </c>
    </row>
    <row r="4301" spans="2:4">
      <c r="B4301">
        <v>53</v>
      </c>
      <c r="C4301" s="1">
        <f>hyperlink("https://hetutrechtsarchief.nl/collectie/799D1CBC25615765B7F2587969F4DA27","Van haarpoeder en belasting - v C 70-74 1967")</f>
        <v>0</v>
      </c>
      <c r="D4301" s="1">
        <f>hyperlink("http://dspace.library.uu.nl/handle/1874/275810","Haarpad K B Nanning 540 1987")</f>
        <v>0</v>
      </c>
    </row>
    <row r="4302" spans="2:4">
      <c r="B4302">
        <v>54</v>
      </c>
      <c r="C4302" s="1">
        <f>hyperlink("https://hetutrechtsarchief.nl/collectie/B85328CEF0275090A59C138ACCB8B2A1","Merkwaardige grensrelicten in en om het Gooi M Raven 57-58 1968")</f>
        <v>0</v>
      </c>
      <c r="D4302" s="1">
        <f>hyperlink("http://dspace.library.uu.nl/handle/1874/275811","Een lange weg naar een eigen huis of de aanhouder wint D W Gravendeel 570-578 1987")</f>
        <v>0</v>
      </c>
    </row>
    <row r="4303" spans="2:4">
      <c r="B4303">
        <v>69</v>
      </c>
      <c r="C4303" s="1">
        <f>hyperlink("https://hetutrechtsarchief.nl/collectie/D14243EA654F5329B02FA509751DBE05","Bosbouw op de Utrechtse Heuvelrug Anoek Claessens 19-22 2010")</f>
        <v>0</v>
      </c>
      <c r="D4303" s="1">
        <f>hyperlink("http://dspace.library.uu.nl/handle/1874/275883","Buitens op de Utrechtse Heuvelrug Eveline Gevers 2013")</f>
        <v>0</v>
      </c>
    </row>
    <row r="4304" spans="2:4">
      <c r="B4304">
        <v>57</v>
      </c>
      <c r="C4304" s="1">
        <f>hyperlink("https://hetutrechtsarchief.nl/collectie/79BD1520A8FB5313970D1695E18B63A5","De tuin van kasteel Heemstede bij Houten Otto Wttewaall 73-87 1999")</f>
        <v>0</v>
      </c>
      <c r="D4304" s="1">
        <f>hyperlink("http://dspace.library.uu.nl/handle/1874/275887","Het kasteel Nyvelt O J Gravendeel D W Wttewaall 5-16 1991")</f>
        <v>0</v>
      </c>
    </row>
    <row r="4305" spans="2:4">
      <c r="B4305">
        <v>64</v>
      </c>
      <c r="C4305" s="1">
        <f>hyperlink("https://hetutrechtsarchief.nl/collectie/06F9702060E85089A7722918786403A1","Themaat van maat tot polder 2 J A Storm van Leeuwen 29-36 1998")</f>
        <v>0</v>
      </c>
      <c r="D4305" s="1">
        <f>hyperlink("http://dspace.library.uu.nl/handle/1874/275888","Het raadselachtige trac van de Meerndijk J A Storm van Leeuwen 732-737 1989")</f>
        <v>0</v>
      </c>
    </row>
    <row r="4306" spans="2:4">
      <c r="B4306">
        <v>51</v>
      </c>
      <c r="C4306" s="1">
        <f>hyperlink("https://hetutrechtsarchief.nl/collectie/F566E7206FC65016B3AFF1A0CAE5FBAA","Van een tolhuis dat verdween K A Rombach 174-175 ill 1930")</f>
        <v>0</v>
      </c>
      <c r="D4306" s="1">
        <f>hyperlink("http://dspace.library.uu.nl/handle/1874/275889","Vleuten en de spoorweg F J C Rombach 746-758 nr 4 p 785-788 1989")</f>
        <v>0</v>
      </c>
    </row>
    <row r="4307" spans="2:4">
      <c r="B4307">
        <v>54</v>
      </c>
      <c r="C4307" s="1">
        <f>hyperlink("https://hetutrechtsarchief.nl/collectie/1561A065345755E48243BF5E3141600D","Een letterkundige strijd van P Burman J G Burman Becker 339-367 1867")</f>
        <v>0</v>
      </c>
      <c r="D4307" s="1">
        <f>hyperlink("http://dspace.library.uu.nl/handle/1874/275890","Nuttige handwerken of de strijd van meester Du Burck D W Gravendeel 759-762 1989")</f>
        <v>0</v>
      </c>
    </row>
    <row r="4308" spans="2:4">
      <c r="B4308">
        <v>58</v>
      </c>
      <c r="C4308" s="1">
        <f>hyperlink("https://hetutrechtsarchief.nl/collectie/758290A916A559C086D8C0C36A7AC494","Een muntvondst te De Meern C A Kalee 25 1968")</f>
        <v>0</v>
      </c>
      <c r="D4308" s="1">
        <f>hyperlink("http://dspace.library.uu.nl/handle/1874/275891","Een galgeveld in De Meern D W Gravendeel 763-765 1989")</f>
        <v>0</v>
      </c>
    </row>
    <row r="4309" spans="2:4">
      <c r="B4309">
        <v>56</v>
      </c>
      <c r="C4309" s="1">
        <f>hyperlink("https://hetutrechtsarchief.nl/collectie/9DE7E14B090A543DB0B8DEFA4D4F8B6D","De Labadie te Utrecht medeged door J W L Raven 71-74 1869")</f>
        <v>0</v>
      </c>
      <c r="D4309" s="1">
        <f>hyperlink("http://dspace.library.uu.nl/handle/1874/275893","Lanen door de Vleuterweide D W Gravendeel 781-783 1989")</f>
        <v>0</v>
      </c>
    </row>
    <row r="4310" spans="2:4">
      <c r="B4310">
        <v>57</v>
      </c>
      <c r="C4310" s="1">
        <f>hyperlink("https://hetutrechtsarchief.nl/collectie/1A4892D5B580537B91CE1FFA07E030BD","Huize Mari nberg te Harmelen J W C van Schaik 37-41 1999")</f>
        <v>0</v>
      </c>
      <c r="D4310" s="1">
        <f>hyperlink("http://dspace.library.uu.nl/handle/1874/275894","De brouwerij te Harmelen D W Gravendeel 789-791 1989")</f>
        <v>0</v>
      </c>
    </row>
    <row r="4311" spans="2:4">
      <c r="B4311">
        <v>56</v>
      </c>
      <c r="C4311" s="1">
        <f>hyperlink("https://hetutrechtsarchief.nl/collectie/82DD0543B900C393E0534701000AE82E","Het geluk van een antiquariaat in Maarssen Rob Franse 25-27 2019")</f>
        <v>0</v>
      </c>
      <c r="D4311" s="1">
        <f>hyperlink("http://dspace.library.uu.nl/handle/1874/275895","Het spoorwegongeluk van 25 januari 1942 Klaas B Nanning 807-810 1990")</f>
        <v>0</v>
      </c>
    </row>
    <row r="4312" spans="2:4">
      <c r="B4312">
        <v>52</v>
      </c>
      <c r="C4312" s="1">
        <f>hyperlink("https://hetutrechtsarchief.nl/collectie/16C96E82343E53EF933833AC1617C935","De archieven van de Diaconie 1349 1597 - 1960 1969 J G Riphaagen 294-295 1992")</f>
        <v>0</v>
      </c>
      <c r="D4312" s="1">
        <f>hyperlink("http://dspace.library.uu.nl/handle/1874/275896","Oude perceelsnamen D W Gravendeel 810-812 jg 14 1994 nr 1 p 4-6 1990-1994")</f>
        <v>0</v>
      </c>
    </row>
    <row r="4313" spans="2:4">
      <c r="B4313">
        <v>58</v>
      </c>
      <c r="C4313" s="1">
        <f>hyperlink("https://hetutrechtsarchief.nl/collectie/68CA4294CBA6545F8216E4235752B5F6","De Drakenburg Bep de Boer 193-197 1999")</f>
        <v>0</v>
      </c>
      <c r="D4313" s="1">
        <f>hyperlink("http://dspace.library.uu.nl/handle/1874/275897","De Wiel D W Gravendeel 813-817 1990")</f>
        <v>0</v>
      </c>
    </row>
    <row r="4314" spans="2:4">
      <c r="B4314">
        <v>57</v>
      </c>
      <c r="C4314" s="1">
        <f>hyperlink("https://hetutrechtsarchief.nl/collectie/758290A916A559C086D8C0C36A7AC494","Een muntvondst te De Meern C A Kalee 25 1968")</f>
        <v>0</v>
      </c>
      <c r="D4314" s="1">
        <f>hyperlink("http://dspace.library.uu.nl/handle/1874/275898","De Herberg Het Fortuyn te De Meern D W Gravendeel 828-835 1990")</f>
        <v>0</v>
      </c>
    </row>
    <row r="4315" spans="2:4">
      <c r="B4315">
        <v>55</v>
      </c>
      <c r="C4315" s="1">
        <f>hyperlink("https://hetutrechtsarchief.nl/collectie/A9033C225556539AB9B1B2D2445D183F","De afstamming van paus Adriaan VI - van der Marel 82-84 1927")</f>
        <v>0</v>
      </c>
      <c r="D4315" s="1">
        <f>hyperlink("http://dspace.library.uu.nl/handle/1874/275899","Belasting in Vleuten in 1632 D W Gravendeel 838-843 1990")</f>
        <v>0</v>
      </c>
    </row>
    <row r="4316" spans="2:4">
      <c r="B4316">
        <v>56</v>
      </c>
      <c r="C4316" s="1">
        <f>hyperlink("https://hetutrechtsarchief.nl/collectie/C6C5BDD2AB4F5C549999D0482B4FE415","Het zandpad tussen Utrecht en Harmelen de schipper weegde met de kloet J A Storm van Leeuwen 55-58 2001")</f>
        <v>0</v>
      </c>
      <c r="D4316" s="1">
        <f>hyperlink("http://dspace.library.uu.nl/handle/1874/275900","De ridderhofsteden Vleuten en Den Engh en hun wederzijdse erfdienstbaarheden van weg J A Storm van Leeuwen 848-856 1990")</f>
        <v>0</v>
      </c>
    </row>
    <row r="4317" spans="2:4">
      <c r="B4317">
        <v>58</v>
      </c>
      <c r="C4317" s="1">
        <f>hyperlink("https://hetutrechtsarchief.nl/collectie/DFE4CB7A96BE5FCD94AE34A4EE4CD58C","In de bocht van de Maliesingel - de J 90-92 1954")</f>
        <v>0</v>
      </c>
      <c r="D4317" s="1">
        <f>hyperlink("http://dspace.library.uu.nl/handle/1874/275901","Hinderstein J H van der Gravendeel D W Poel 860-869 1990")</f>
        <v>0</v>
      </c>
    </row>
    <row r="4318" spans="2:4">
      <c r="B4318">
        <v>55</v>
      </c>
      <c r="C4318" s="1">
        <f>hyperlink("https://hetutrechtsarchief.nl/collectie/4747AD65100E589EBF23A536784A9788","Het Huis Oudaen J van Galen 65-67 1956")</f>
        <v>0</v>
      </c>
      <c r="D4318" s="1">
        <f>hyperlink("http://dspace.library.uu.nl/handle/1874/275902","Wat is oud D W Gravendeel 874-877 1990")</f>
        <v>0</v>
      </c>
    </row>
    <row r="4319" spans="2:4">
      <c r="B4319">
        <v>62</v>
      </c>
      <c r="C4319" s="1">
        <f>hyperlink("https://hetutrechtsarchief.nl/collectie/65B184490C955785933EE7B50CDCC82C","De Meerndijk een oude middeldijk eigendom schouw en onderhoud v r 1600 J A Storm van Leeuwen 38-48 2002")</f>
        <v>0</v>
      </c>
      <c r="D4319" s="1">
        <f>hyperlink("http://dspace.library.uu.nl/handle/1874/275903","De Meerndijk een reconstructie aan de hand van een bestek uit 1928 J A Storm van Leeuwen 879-891 1990")</f>
        <v>0</v>
      </c>
    </row>
    <row r="4320" spans="2:4">
      <c r="B4320">
        <v>57</v>
      </c>
      <c r="C4320" s="1">
        <f>hyperlink("https://hetutrechtsarchief.nl/collectie/A70EE42E139150F4BBBFCD5DF2C609A0","De watermolens van Eemnes deel 1 Evert van Andel 38-53 2015")</f>
        <v>0</v>
      </c>
      <c r="D4320" s="1">
        <f>hyperlink("http://dspace.library.uu.nl/handle/1874/275904","Een steene caemer D W Essen H E J van Gravendeel 892-895 1990")</f>
        <v>0</v>
      </c>
    </row>
    <row r="4321" spans="2:4">
      <c r="B4321">
        <v>58</v>
      </c>
      <c r="C4321" s="1">
        <f>hyperlink("https://hetutrechtsarchief.nl/collectie/760CA0D8D0BF1073E0534701000AFDE4","Een muziekmeester in het dorp Evert-Jan van Beek 78-79 2018")</f>
        <v>0</v>
      </c>
      <c r="D4321" s="1">
        <f>hyperlink("http://dspace.library.uu.nl/handle/1874/275905","Een muzijkgezelschap te Oudenrhijn D W Gravendeel 738-739 1989")</f>
        <v>0</v>
      </c>
    </row>
    <row r="4322" spans="2:4">
      <c r="B4322">
        <v>57</v>
      </c>
      <c r="C4322" s="1">
        <f>hyperlink("https://hetutrechtsarchief.nl/collectie/8E725F6C92F25B85A9DF9EC9FE3F3356","Romeins Vleuten-De Meern J H J Joosten 37-43 1998")</f>
        <v>0</v>
      </c>
      <c r="D4322" s="1">
        <f>hyperlink("http://dspace.library.uu.nl/handle/1874/275906","Verwantschap families Oskam in Vleuten-De Meern Jan Oskam 773-775 1989")</f>
        <v>0</v>
      </c>
    </row>
    <row r="4323" spans="2:4">
      <c r="B4323">
        <v>58</v>
      </c>
      <c r="C4323" s="1">
        <f>hyperlink("https://hetutrechtsarchief.nl/collectie/0370856478785150B6635A8823BBEC44","Hees en Den Dolder M Raven 5-6 1964")</f>
        <v>0</v>
      </c>
      <c r="D4323" s="1">
        <f>hyperlink("http://dspace.library.uu.nl/handle/1874/275907","De Nes te Vleuten D W Gravendeel 776 1989")</f>
        <v>0</v>
      </c>
    </row>
    <row r="4324" spans="2:4">
      <c r="B4324">
        <v>57</v>
      </c>
      <c r="C4324" s="1">
        <f>hyperlink("https://hetutrechtsarchief.nl/collectie/9DE7E14B090A543DB0B8DEFA4D4F8B6D","De Labadie te Utrecht medeged door J W L Raven 71-74 1869")</f>
        <v>0</v>
      </c>
      <c r="D4324" s="1">
        <f>hyperlink("http://dspace.library.uu.nl/handle/1874/275908","De Duivelshoek te Vleuten D W Gravendeel 778 1989")</f>
        <v>0</v>
      </c>
    </row>
    <row r="4325" spans="2:4">
      <c r="B4325">
        <v>58</v>
      </c>
      <c r="C4325" s="1">
        <f>hyperlink("https://hetutrechtsarchief.nl/collectie/52627C42526354A4BA4F0648573BBA49","De kolfbaan van herberg De Zwaan te Vleuten Dat is een kolfje naar mijn hand Veronique-Verkleij 38-39 2016")</f>
        <v>0</v>
      </c>
      <c r="D4325" s="1">
        <f>hyperlink("http://dspace.library.uu.nl/handle/1874/275909","De herberg De Zwaan te Vleuten D W Gravendeel 784 1989")</f>
        <v>0</v>
      </c>
    </row>
    <row r="4326" spans="2:4">
      <c r="B4326">
        <v>53</v>
      </c>
      <c r="C4326" s="1">
        <f>hyperlink("https://hetutrechtsarchief.nl/collectie/86318F8259265EB3A538ABF7139B7ECC","De Grote stroom kooplustigen naar Veenendaal Roeland Tameling 43-46 2013")</f>
        <v>0</v>
      </c>
      <c r="D4326" s="1">
        <f>hyperlink("http://dspace.library.uu.nl/handle/1874/275910","Een stoomlocomotief in Vleuten Klaas B Nanning 743-744 1989")</f>
        <v>0</v>
      </c>
    </row>
    <row r="4327" spans="2:4">
      <c r="B4327">
        <v>68</v>
      </c>
      <c r="C4327" s="1">
        <f>hyperlink("https://hetutrechtsarchief.nl/collectie/B96757EFA69B9E49E0534701000AB2E5","25 Jaar Historische Vereniging Leersum Jan Meijer 4-6 2020")</f>
        <v>0</v>
      </c>
      <c r="D4327" s="1">
        <f>hyperlink("http://dspace.library.uu.nl/handle/1874/275911","10 jaar Historische Vereniging Ad van Zoeren 3-4 1991")</f>
        <v>0</v>
      </c>
    </row>
    <row r="4328" spans="2:4">
      <c r="B4328">
        <v>57</v>
      </c>
      <c r="C4328" s="1">
        <f>hyperlink("https://hetutrechtsarchief.nl/collectie/823451768D7452D38BE622E55740A544","Nogmaals de oostzijde van de Mariastraat Ben van Spanje 5-8 2003")</f>
        <v>0</v>
      </c>
      <c r="D4328" s="1">
        <f>hyperlink("http://dspace.library.uu.nl/handle/1874/275974","Nogmaals Hinderstein J H van der Gravendeel D W Poel 18-20 1991")</f>
        <v>0</v>
      </c>
    </row>
    <row r="4329" spans="2:4">
      <c r="B4329">
        <v>52</v>
      </c>
      <c r="C4329" s="1">
        <f>hyperlink("https://hetutrechtsarchief.nl/collectie/8773568133FE52299DF746382ED1D5E1","Uitstapjes in Nederland Van Utrecht naar De Bilt H A Banning 35-38 ill 1999")</f>
        <v>0</v>
      </c>
      <c r="D4329" s="1">
        <f>hyperlink("http://dspace.library.uu.nl/handle/1874/275976","Ridderhofstad Nyvelt was ooit een Huis van Oranje Klaas B Nanning 34-36 1991")</f>
        <v>0</v>
      </c>
    </row>
    <row r="4330" spans="2:4">
      <c r="B4330">
        <v>64</v>
      </c>
      <c r="C4330" s="1">
        <f>hyperlink("https://hetutrechtsarchief.nl/collectie/0C52760CD9CB546186E977243858A098","De grote ontginning J A Storm van Leeuwen 6-8 ill 1971")</f>
        <v>0</v>
      </c>
      <c r="D4330" s="1">
        <f>hyperlink("http://dspace.library.uu.nl/handle/1874/275977","De dam bij Croenkens camer J A Storm van Leeuwen 37-44 1991")</f>
        <v>0</v>
      </c>
    </row>
    <row r="4331" spans="2:4">
      <c r="B4331">
        <v>56</v>
      </c>
      <c r="C4331" s="1">
        <f>hyperlink("https://hetutrechtsarchief.nl/collectie/23F2E8AF31AE5002A88F4684F24E6D6C","De geschiedenis van de ridderhofstad Rijnestein G de Waard 62-69 ill portr 1994")</f>
        <v>0</v>
      </c>
      <c r="D4331" s="1">
        <f>hyperlink("http://dspace.library.uu.nl/handle/1874/275978","Negentien afbeeldingen van de Ridderhofstad Nyvelt Klaas B Nanning 51-60 1991")</f>
        <v>0</v>
      </c>
    </row>
    <row r="4332" spans="2:4">
      <c r="B4332">
        <v>63</v>
      </c>
      <c r="C4332" s="1">
        <f>hyperlink("https://hetutrechtsarchief.nl/collectie/06F9702060E85089A7722918786403A1","Themaat van maat tot polder 2 J A Storm van Leeuwen 29-36 1998")</f>
        <v>0</v>
      </c>
      <c r="D4332" s="1">
        <f>hyperlink("http://dspace.library.uu.nl/handle/1874/275979","Het huisarchief van de ridderhofstad Den Engh J A Storm van Leeuwen 67-69 1991")</f>
        <v>0</v>
      </c>
    </row>
    <row r="4333" spans="2:4">
      <c r="B4333">
        <v>58</v>
      </c>
      <c r="C4333" s="1">
        <f>hyperlink("https://hetutrechtsarchief.nl/collectie/6349493566095D3A8728C5D129D56776","Circa turrim Traiectensem M W J de Bruijn 45-47 ill 1991")</f>
        <v>0</v>
      </c>
      <c r="D4333" s="1">
        <f>hyperlink("http://dspace.library.uu.nl/handle/1874/275980","Een vacature aan de dorpsschool te De Meern Jac de Bruijn 46-47 1991")</f>
        <v>0</v>
      </c>
    </row>
    <row r="4334" spans="2:4">
      <c r="B4334">
        <v>64</v>
      </c>
      <c r="C4334" s="1">
        <f>hyperlink("https://hetutrechtsarchief.nl/collectie/8AA4CB23CA6D8A80E0534701000AA753","Uit de schatkamer Judith de Bruijn 11 2019")</f>
        <v>0</v>
      </c>
      <c r="D4334" s="1">
        <f>hyperlink("http://dspace.library.uu.nl/handle/1874/275981","Uit de school geklapt Jac de Bruijn 72-73 1991")</f>
        <v>0</v>
      </c>
    </row>
    <row r="4335" spans="2:4">
      <c r="B4335">
        <v>56</v>
      </c>
      <c r="C4335" s="1">
        <f>hyperlink("https://hetutrechtsarchief.nl/collectie/EF476EEF56AE538DA98EDBC02E67382B","De rieten hut en andere verhalen S L Wynia 9-38 ill 1990")</f>
        <v>0</v>
      </c>
      <c r="D4335" s="1">
        <f>hyperlink("http://dspace.library.uu.nl/handle/1874/276016","De brouwerij te Vleuten J H van der Gravendeel D W Poel 89-99 1991")</f>
        <v>0</v>
      </c>
    </row>
    <row r="4336" spans="2:4">
      <c r="B4336">
        <v>62</v>
      </c>
      <c r="C4336" s="1">
        <f>hyperlink("https://hetutrechtsarchief.nl/collectie/E39ED6DE459F52268E13A3BCD63DB283","Criminaliteit en rechtspraak in Leersum in de achttiende eeuw 1 Hans van Deukeren 18-21 2005")</f>
        <v>0</v>
      </c>
      <c r="D4336" s="1">
        <f>hyperlink("http://dspace.library.uu.nl/handle/1874/276017","De daling van het bierverbruik in de achttiende eeuw J A Storm van Leeuwen 8-9 1992")</f>
        <v>0</v>
      </c>
    </row>
    <row r="4337" spans="2:4">
      <c r="B4337">
        <v>60</v>
      </c>
      <c r="C4337" s="1">
        <f>hyperlink("https://hetutrechtsarchief.nl/collectie/19A4E7CAB19D5EFF8B46D4B6135439FB","Themaat van maat tot polder 1 J A Storm van Leeuwen 18-25 1998")</f>
        <v>0</v>
      </c>
      <c r="D4337" s="1">
        <f>hyperlink("http://dspace.library.uu.nl/handle/1874/276018","De bochtafsnijding van de Krochtdijk in 1955 J A Storm van Leeuwen 11-14 1992")</f>
        <v>0</v>
      </c>
    </row>
    <row r="4338" spans="2:4">
      <c r="B4338">
        <v>55</v>
      </c>
      <c r="C4338" s="1">
        <f>hyperlink("https://hetutrechtsarchief.nl/collectie/E5CC2A7B91FD50CEA85B4DF6D16DD5D6","Tien jaar limes-onderzoek in Leidsche Rijn 1 Erik Graafstal 54-56 2009")</f>
        <v>0</v>
      </c>
      <c r="D4338" s="1">
        <f>hyperlink("http://dspace.library.uu.nl/handle/1874/276019","Aernout van Buchell bezoekt De Meern E P Graafstal 15-25 1992")</f>
        <v>0</v>
      </c>
    </row>
    <row r="4339" spans="2:4">
      <c r="B4339">
        <v>66</v>
      </c>
      <c r="C4339" s="1">
        <f>hyperlink("https://hetutrechtsarchief.nl/collectie/8DCCFF6DE29657C49560927579080AFD","Wat weten wij eigenlijk over het Romeinse castellum op de Hoge Woerd C W M Rasch 8-11 2015")</f>
        <v>0</v>
      </c>
      <c r="D4339" s="1">
        <f>hyperlink("http://dspace.library.uu.nl/handle/1874/276020","RAAP onderzoekt het Romeinse castellum op de Hoge Woerd P G van der Gaauw 36-38 1992")</f>
        <v>0</v>
      </c>
    </row>
    <row r="4340" spans="2:4">
      <c r="B4340">
        <v>59</v>
      </c>
      <c r="C4340" s="1">
        <f>hyperlink("https://hetutrechtsarchief.nl/collectie/9695A17344D05725977DF74B0458E945","Een archeologische kartering ten westen van Utrecht E P Graafstal 52-60 ill krt 1993")</f>
        <v>0</v>
      </c>
      <c r="D4340" s="1">
        <f>hyperlink("http://dspace.library.uu.nl/handle/1874/276021","Rondom De Hoge Woerd archeologische waarden in een bedreigd gebied E P Graafstal 40-51 1992")</f>
        <v>0</v>
      </c>
    </row>
    <row r="4341" spans="2:4">
      <c r="B4341">
        <v>65</v>
      </c>
      <c r="C4341" s="1">
        <f>hyperlink("https://hetutrechtsarchief.nl/collectie/4F81CA63F4FA5897BA94E878FEDCE202","Een boek open over Brom Ton H M van Schaik 156-157 2015")</f>
        <v>0</v>
      </c>
      <c r="D4341" s="1">
        <f>hyperlink("http://dspace.library.uu.nl/handle/1874/276022","Voetnoten bij Van Nooy Ton H M van Schaik 60-61 1992")</f>
        <v>0</v>
      </c>
    </row>
    <row r="4342" spans="2:4">
      <c r="B4342">
        <v>57</v>
      </c>
      <c r="C4342" s="1">
        <f>hyperlink("https://hetutrechtsarchief.nl/collectie/2FBF8DB024BF555987817DCDC30A4FDB","Voetangels in het Emtinger bos B de Ligt 167 1999")</f>
        <v>0</v>
      </c>
      <c r="D4342" s="1">
        <f>hyperlink("http://dspace.library.uu.nl/handle/1874/276023","Voetangels en klemmen D W Gravendeel D 62-64 1992")</f>
        <v>0</v>
      </c>
    </row>
    <row r="4343" spans="2:4">
      <c r="B4343">
        <v>53</v>
      </c>
      <c r="C4343" s="1">
        <f>hyperlink("https://hetutrechtsarchief.nl/collectie/AAB90EAB4F2C514A9D9B507FB38E057B","Veel smerigheid in de grond Jesse Pouw 9 2007")</f>
        <v>0</v>
      </c>
      <c r="D4343" s="1">
        <f>hyperlink("http://dspace.library.uu.nl/handle/1874/276024","Vleutense offervaardigheid in 1916 D W Gravendeel 82-84 1992")</f>
        <v>0</v>
      </c>
    </row>
    <row r="4344" spans="2:4">
      <c r="B4344">
        <v>59</v>
      </c>
      <c r="C4344" s="1">
        <f>hyperlink("https://hetutrechtsarchief.nl/collectie/A31563BD91555C869F5F6006B89980C6","Romeinse vondsten in Houten A B Haefkens 76-78 1950")</f>
        <v>0</v>
      </c>
      <c r="D4344" s="1">
        <f>hyperlink("http://dspace.library.uu.nl/handle/1874/276025","Middeleeuwse vondsten uit Vleuten E P Graafstal 85-87 1992")</f>
        <v>0</v>
      </c>
    </row>
    <row r="4345" spans="2:4">
      <c r="B4345">
        <v>55</v>
      </c>
      <c r="C4345" s="1">
        <f>hyperlink("https://hetutrechtsarchief.nl/collectie/023F7A526F1C52449D2618108722F2BF","De Broederschap van O L Vrouw te Vleuten 2 J W Schoonderwoerd 74-83 1999")</f>
        <v>0</v>
      </c>
      <c r="D4345" s="1">
        <f>hyperlink("http://dspace.library.uu.nl/handle/1874/276026","Rechthuis en raadhuis in Vleuten 4 eeuwen eigenaren en bewoners J W Schoonderwoerd 88-98 1992")</f>
        <v>0</v>
      </c>
    </row>
    <row r="4346" spans="2:4">
      <c r="B4346">
        <v>62</v>
      </c>
      <c r="C4346" s="1">
        <f>hyperlink("https://hetutrechtsarchief.nl/collectie/76C3CD4AD7215826BE4AF5B7C07FB4BF","De restauratie van het orgel in de Dom M A Vente 1-8 ill tek 1974")</f>
        <v>0</v>
      </c>
      <c r="D4346" s="1">
        <f>hyperlink("http://dspace.library.uu.nl/handle/1874/276027","De restauratie van de Hamtoren in 1942 W J M van Andel G J van Andel 5-9 1993")</f>
        <v>0</v>
      </c>
    </row>
    <row r="4347" spans="2:4">
      <c r="B4347">
        <v>69</v>
      </c>
      <c r="C4347" s="1">
        <f>hyperlink("https://hetutrechtsarchief.nl/collectie/19A4E7CAB19D5EFF8B46D4B6135439FB","Themaat van maat tot polder 1 J A Storm van Leeuwen 18-25 1998")</f>
        <v>0</v>
      </c>
      <c r="D4347" s="1">
        <f>hyperlink("http://dspace.library.uu.nl/handle/1874/276028","Aen de Meern J A Storm van Leeuwen 21-25 1993")</f>
        <v>0</v>
      </c>
    </row>
    <row r="4348" spans="2:4">
      <c r="B4348">
        <v>54</v>
      </c>
      <c r="C4348" s="1">
        <f>hyperlink("https://hetutrechtsarchief.nl/collectie/C74EA31D6C6454C2823635F849D224A4","De aanstelling van notarissen in de provincie Utrecht ten tijde der republiek A J van de Ven 10-12 1949")</f>
        <v>0</v>
      </c>
      <c r="D4348" s="1">
        <f>hyperlink("http://dspace.library.uu.nl/handle/1874/276029","De nalatenschap van een rijke boer de Koningshof Pas zijn land Ockhuizen met een toegift de Reit J H van der Gravendeel D W Poel 29-35 1993")</f>
        <v>0</v>
      </c>
    </row>
    <row r="4349" spans="2:4">
      <c r="B4349">
        <v>55</v>
      </c>
      <c r="C4349" s="1">
        <f>hyperlink("https://hetutrechtsarchief.nl/collectie/A4A47A4B07EB5828A4AA3D76D644DE73","De grote waai en een vergeten hofstede Evert van Andel 126-142 2010")</f>
        <v>0</v>
      </c>
      <c r="D4349" s="1">
        <f>hyperlink("http://dspace.library.uu.nl/handle/1874/276030","De grote brand van Vleuten 2 oktober 1898 D W Gravendeel 36-40 1993")</f>
        <v>0</v>
      </c>
    </row>
    <row r="4350" spans="2:4">
      <c r="B4350">
        <v>60</v>
      </c>
      <c r="C4350" s="1">
        <f>hyperlink("https://hetutrechtsarchief.nl/collectie/259BB908F4A65C64AD92819BF0AD9440","De bomen rond Vleuten-De Meern J F K Kits Nieuwenkamp 70-72 ill 1993")</f>
        <v>0</v>
      </c>
      <c r="D4350" s="1">
        <f>hyperlink("http://dspace.library.uu.nl/handle/1874/276032","Een Vleutenaar ging naar de Berbiesjes J F K Kits Nieuwenkamp 87-92 jg 14 1994 nr 1 p 9-14 1993-1994")</f>
        <v>0</v>
      </c>
    </row>
    <row r="4351" spans="2:4">
      <c r="B4351">
        <v>53</v>
      </c>
      <c r="C4351" s="1">
        <f>hyperlink("https://hetutrechtsarchief.nl/collectie/B906D2BDBEA8555990EB91F8E9E6E7CC","Trekhond een hondenbaan de geschiedenis van de trekhond in IJsselstein L Murk en K Peeters 1-18 1999")</f>
        <v>0</v>
      </c>
      <c r="D4351" s="1">
        <f>hyperlink("http://dspace.library.uu.nl/handle/1874/276033","Twee kastelen met hetzelfde grondplan een nieuw concept van de bouwgeschiedenis van de ridderhofstad Den Ham te Vleuten W J M van Andel G J van Andel 93-98 1993")</f>
        <v>0</v>
      </c>
    </row>
    <row r="4352" spans="2:4">
      <c r="B4352">
        <v>55</v>
      </c>
      <c r="C4352" s="1">
        <f>hyperlink("https://hetutrechtsarchief.nl/collectie/39B5BC6558CA5D348B340AB5274C2C8F","De Groene Waterman - Kees 4-5 1985")</f>
        <v>0</v>
      </c>
      <c r="D4352" s="1">
        <f>hyperlink("http://dspace.library.uu.nl/handle/1874/276035","De groote Krimpt D W Gravendeel 85 1991")</f>
        <v>0</v>
      </c>
    </row>
    <row r="4353" spans="2:4">
      <c r="B4353">
        <v>70</v>
      </c>
      <c r="C4353" s="1">
        <f>hyperlink("https://hetutrechtsarchief.nl/collectie/3D4DFEE31F1E5BB682E1CE4D607DE682","Dorpsbewoners die ons wat te vertellen hebben Piet Boeijen Veronique Voorn-Verkleij 81-87 2000")</f>
        <v>0</v>
      </c>
      <c r="D4353" s="1">
        <f>hyperlink("http://dspace.library.uu.nl/handle/1874/276036","Dorpsbewoners die ons wat te vertellen hebben E Lambers H E J van Essen 10-14 1993")</f>
        <v>0</v>
      </c>
    </row>
    <row r="4354" spans="2:4">
      <c r="B4354">
        <v>62</v>
      </c>
      <c r="C4354" s="1">
        <f>hyperlink("https://hetutrechtsarchief.nl/collectie/42D76F1EC0FF5566A0626755F39EBB45","De Broederschap van O L Vrouw te Vleuten 1 J W Schoonderwoerd 52-62 1999")</f>
        <v>0</v>
      </c>
      <c r="D4354" s="1">
        <f>hyperlink("http://dspace.library.uu.nl/handle/1874/276037","Een lastig vrouwspersoon J W Schoonderwoerd 19-20 1993")</f>
        <v>0</v>
      </c>
    </row>
    <row r="4355" spans="2:4">
      <c r="B4355">
        <v>55</v>
      </c>
      <c r="C4355" s="1">
        <f>hyperlink("https://hetutrechtsarchief.nl/collectie/023F7A526F1C52449D2618108722F2BF","De Broederschap van O L Vrouw te Vleuten 2 J W Schoonderwoerd 74-83 1999")</f>
        <v>0</v>
      </c>
      <c r="D4355" s="1">
        <f>hyperlink("http://dspace.library.uu.nl/handle/1874/276038","Nachtelijke bezigheden J W Schoonderwoerd 72 1993")</f>
        <v>0</v>
      </c>
    </row>
    <row r="4356" spans="2:4">
      <c r="B4356">
        <v>80</v>
      </c>
      <c r="C4356" s="1">
        <f>hyperlink("https://hetutrechtsarchief.nl/collectie/45C5C1E143BD5121B7A17777EE9A76CC","Dansen op de doodskist E P Polak-de Booy 23-24 tek 1970")</f>
        <v>0</v>
      </c>
      <c r="D4356" s="1">
        <f>hyperlink("http://dspace.library.uu.nl/handle/1874/276039","Dansen op de doodskist E P de Booy 7-8 1994")</f>
        <v>0</v>
      </c>
    </row>
    <row r="4357" spans="2:4">
      <c r="B4357">
        <v>55</v>
      </c>
      <c r="C4357" s="1">
        <f>hyperlink("https://hetutrechtsarchief.nl/collectie/962F8E03C73454038A01C050850A6C1B","Korte geschiedenis van het geslacht Van Isselt in Eemnes samengesteld door Henk van Hees en Bertie van Wijk-Blom 81-108 1999")</f>
        <v>0</v>
      </c>
      <c r="D4357" s="1">
        <f>hyperlink("http://dspace.library.uu.nl/handle/1874/276040","Eene wandeltocht vanuit de grijze Bisschopsstad in hare schoone omgeving megedeeld door H E J van Essen H E J van Vries-Blom C de Essen 15-20 1994")</f>
        <v>0</v>
      </c>
    </row>
    <row r="4358" spans="2:4">
      <c r="B4358">
        <v>66</v>
      </c>
      <c r="C4358" s="1">
        <f>hyperlink("https://hetutrechtsarchief.nl/collectie/14103F69F7B356608B04DDA97A37760D","Archeologisch onderzoek in De Schammer Ron Hulst 8-9 2010")</f>
        <v>0</v>
      </c>
      <c r="D4358" s="1">
        <f>hyperlink("http://dspace.library.uu.nl/handle/1874/276041","Archeologisch onderzoek aan de Meerndijk E P Graafstal 35 1993")</f>
        <v>0</v>
      </c>
    </row>
    <row r="4359" spans="2:4">
      <c r="B4359">
        <v>56</v>
      </c>
      <c r="C4359" s="1">
        <f>hyperlink("https://hetutrechtsarchief.nl/collectie/5E4D08CC292F566AB89BBEEFD1DEE92E","Rondom Valkenheide Joop Alberts 9-14 2006")</f>
        <v>0</v>
      </c>
      <c r="D4359" s="1">
        <f>hyperlink("http://dspace.library.uu.nl/handle/1874/276042","Rondom Heldam Ted Jongerius 6 1992")</f>
        <v>0</v>
      </c>
    </row>
    <row r="4360" spans="2:4">
      <c r="B4360">
        <v>57</v>
      </c>
      <c r="C4360" s="1">
        <f>hyperlink("https://hetutrechtsarchief.nl/collectie/61281DFA62E2519C97B805643F81FD47","Historisch-ruimtelijke ontwikkeling van de gemeente Vleuten-De Meern M Laman 61-66 krt 1993")</f>
        <v>0</v>
      </c>
      <c r="D4360" s="1">
        <f>hyperlink("http://dspace.library.uu.nl/handle/1874/276043","Van leilinden tot hakhout kleine landschapselementen in de gemeente Vleuten-De Meern R Glas 73-77 1992")</f>
        <v>0</v>
      </c>
    </row>
    <row r="4361" spans="2:4">
      <c r="B4361">
        <v>61</v>
      </c>
      <c r="C4361" s="1">
        <f>hyperlink("https://hetutrechtsarchief.nl/collectie/47278A9C373559A88899815CDCE7F431","Veldhuizen een middeleeuwse ontginning J A Storm van Leeuwen 19-21 2005")</f>
        <v>0</v>
      </c>
      <c r="D4361" s="1">
        <f>hyperlink("http://dspace.library.uu.nl/handle/1874/276059","De Hel een verhaal van een verdwenen naam van de Leidse Rijn en van middeleeuwse ontginningen J A Storm van Leeuwen 93-99 1996")</f>
        <v>0</v>
      </c>
    </row>
    <row r="4362" spans="2:4">
      <c r="B4362">
        <v>62</v>
      </c>
      <c r="C4362" s="1">
        <f>hyperlink("https://hetutrechtsarchief.nl/collectie/023F7A526F1C52449D2618108722F2BF","De Broederschap van O L Vrouw te Vleuten 2 J W Schoonderwoerd 74-83 1999")</f>
        <v>0</v>
      </c>
      <c r="D4362" s="1">
        <f>hyperlink("http://dspace.library.uu.nl/handle/1874/276061","De herberg De Frisse Roemer en wat er verder mee gebeurde J W Schoonderwoerd 77-84 1996")</f>
        <v>0</v>
      </c>
    </row>
    <row r="4363" spans="2:4">
      <c r="B4363">
        <v>62</v>
      </c>
      <c r="C4363" s="1">
        <f>hyperlink("https://hetutrechtsarchief.nl/collectie/E544DE41662C5374A454CD107869CDE3","Archeologische verkenningen 2 J H J Joosten 91-92 1999")</f>
        <v>0</v>
      </c>
      <c r="D4363" s="1">
        <f>hyperlink("http://dspace.library.uu.nl/handle/1874/276062","Op zoek naar Fletione J H J Joosten 59-69 1996")</f>
        <v>0</v>
      </c>
    </row>
    <row r="4364" spans="2:4">
      <c r="B4364">
        <v>50</v>
      </c>
      <c r="C4364" s="1">
        <f>hyperlink("https://hetutrechtsarchief.nl/collectie/1C4225DAC870558CB2EC936A7F7332AB","Bijdrage tot de genealogie van het geslacht van Bern te Wijk bij Duurstede H W M J Nieuwenkamp 143-146 1931")</f>
        <v>0</v>
      </c>
      <c r="D4364" s="1">
        <f>hyperlink("http://dspace.library.uu.nl/handle/1874/276063","Daniel Ocker Heldewier burgemeester van Veldhuizen van 1879 tot 1895 en mijn familie-relatie tot deze ambtsdrager J F K Kits Nieuwenkamp 40-46 1996")</f>
        <v>0</v>
      </c>
    </row>
    <row r="4365" spans="2:4">
      <c r="B4365">
        <v>60</v>
      </c>
      <c r="C4365" s="1">
        <f>hyperlink("https://hetutrechtsarchief.nl/collectie/319F60297A405234B6EA7358C4856143","Smederijen in Vleuten en Haarzuilens F J Scheepens 25-36 1999")</f>
        <v>0</v>
      </c>
      <c r="D4365" s="1">
        <f>hyperlink("http://dspace.library.uu.nl/handle/1874/276064","De boerderij Zeldenrijk te Vleuten en zijn bewoners in de 18de t m 20ste eeuw F J Scheepens 25-31 1994")</f>
        <v>0</v>
      </c>
    </row>
    <row r="4366" spans="2:4">
      <c r="B4366">
        <v>69</v>
      </c>
      <c r="C4366" s="1">
        <f>hyperlink("https://hetutrechtsarchief.nl/collectie/7CC75FE4E54D5CAB91243F5721A93642","Straatnaamgeving in de nieuwbouw de herkomst van de naam De Milan Visconti J F K Kits Nieuwenkamp 66-71 1998")</f>
        <v>0</v>
      </c>
      <c r="D4366" s="1">
        <f>hyperlink("http://dspace.library.uu.nl/handle/1874/276065","Straatnaamgeving in nieuwe wijken J F K Kits Nieuwenkamp 44-47 1994")</f>
        <v>0</v>
      </c>
    </row>
    <row r="4367" spans="2:4">
      <c r="B4367">
        <v>63</v>
      </c>
      <c r="C4367" s="1">
        <f>hyperlink("https://hetutrechtsarchief.nl/collectie/9695A17344D05725977DF74B0458E945","Een archeologische kartering ten westen van Utrecht E P Graafstal 52-60 ill krt 1993")</f>
        <v>0</v>
      </c>
      <c r="D4367" s="1">
        <f>hyperlink("http://dspace.library.uu.nl/handle/1874/276066","Stichting RAAP brengt archeologische resten in kaart E P Graafstal 53-61 1994")</f>
        <v>0</v>
      </c>
    </row>
    <row r="4368" spans="2:4">
      <c r="B4368">
        <v>66</v>
      </c>
      <c r="C4368" s="1">
        <f>hyperlink("https://hetutrechtsarchief.nl/collectie/A6F08DBB08D85DE5824E126B6E3D97EB","Dorpsbewoners die ons wat te vertellen hebben Ans Wessels Veronique Voorn-Verkleij 79-86 2001")</f>
        <v>0</v>
      </c>
      <c r="D4368" s="1">
        <f>hyperlink("http://dspace.library.uu.nl/handle/1874/276067","Dorpsbewoners die ons wat te vertellen hebben Joop Landman J Landman 62-68 1994")</f>
        <v>0</v>
      </c>
    </row>
    <row r="4369" spans="2:4">
      <c r="B4369">
        <v>59</v>
      </c>
      <c r="C4369" s="1">
        <f>hyperlink("https://hetutrechtsarchief.nl/collectie/B88CEDC32BAB505AADE7652CA72A1792","De ondempbare put - E 18 1943")</f>
        <v>0</v>
      </c>
      <c r="D4369" s="1">
        <f>hyperlink("http://dspace.library.uu.nl/handle/1874/276068","De oude pastorie J H P Heesters 71-73 1994")</f>
        <v>0</v>
      </c>
    </row>
    <row r="4370" spans="2:4">
      <c r="B4370">
        <v>60</v>
      </c>
      <c r="C4370" s="1">
        <f>hyperlink("https://hetutrechtsarchief.nl/collectie/41803AAAF5E45544BB853FB028224415","De agrarische geschiedenis van de familie Manten Arie A Manten 4-10 2005")</f>
        <v>0</v>
      </c>
      <c r="D4370" s="1">
        <f>hyperlink("http://dspace.library.uu.nl/handle/1874/276069","Van Heiden naar De Haar de geschiedenis van de familie Glissenaar Mark Glissenaar 83-87 1994")</f>
        <v>0</v>
      </c>
    </row>
    <row r="4371" spans="2:4">
      <c r="B4371">
        <v>58</v>
      </c>
      <c r="C4371" s="1">
        <f>hyperlink("https://hetutrechtsarchief.nl/collectie/8E725F6C92F25B85A9DF9EC9FE3F3356","Romeins Vleuten-De Meern J H J Joosten 37-43 1998")</f>
        <v>0</v>
      </c>
      <c r="D4371" s="1">
        <f>hyperlink("http://dspace.library.uu.nl/handle/1874/276070","Het Haarpad en een opzienbarende vondst J H J Joosten 88-94 1994")</f>
        <v>0</v>
      </c>
    </row>
    <row r="4372" spans="2:4">
      <c r="B4372">
        <v>57</v>
      </c>
      <c r="C4372" s="1">
        <f>hyperlink("https://hetutrechtsarchief.nl/collectie/41D7AD2FB09F5F27AAB496E7255D7E76","Bewoning in de oudheid Mieke van der Ploeg 22-24 1998")</f>
        <v>0</v>
      </c>
      <c r="D4372" s="1">
        <f>hyperlink("http://dspace.library.uu.nl/handle/1874/276071","Spanning Dirk van Dalsen 23-24 1995")</f>
        <v>0</v>
      </c>
    </row>
    <row r="4373" spans="2:4">
      <c r="B4373">
        <v>51</v>
      </c>
      <c r="C4373" s="1">
        <f>hyperlink("https://hetutrechtsarchief.nl/collectie/8B8F5B83AE1B57588316CB9BDF2EC5EB","Licht in de duisternis in De Bilt J W H Meijer 1-3 ill 1992")</f>
        <v>0</v>
      </c>
      <c r="D4373" s="1">
        <f>hyperlink("http://dspace.library.uu.nl/handle/1874/276072","Sluiswachters en kasteleins aan de Stadsdam J W Schoonderwoerd 28-32 nr 3 p 51-59 1995")</f>
        <v>0</v>
      </c>
    </row>
    <row r="4374" spans="2:4">
      <c r="B4374">
        <v>62</v>
      </c>
      <c r="C4374" s="1">
        <f>hyperlink("https://hetutrechtsarchief.nl/collectie/319F60297A405234B6EA7358C4856143","Smederijen in Vleuten en Haarzuilens F J Scheepens 25-36 1999")</f>
        <v>0</v>
      </c>
      <c r="D4374" s="1">
        <f>hyperlink("http://dspace.library.uu.nl/handle/1874/276073","Onder de groene linden te Haarzuilens en de familie Van Eijk F J Scheepens 37-41 1995")</f>
        <v>0</v>
      </c>
    </row>
    <row r="4375" spans="2:4">
      <c r="B4375">
        <v>68</v>
      </c>
      <c r="C4375" s="1">
        <f>hyperlink("https://hetutrechtsarchief.nl/collectie/259BB908F4A65C64AD92819BF0AD9440","De bomen rond Vleuten-De Meern J F K Kits Nieuwenkamp 70-72 ill 1993")</f>
        <v>0</v>
      </c>
      <c r="D4375" s="1">
        <f>hyperlink("http://dspace.library.uu.nl/handle/1874/276074","Gevolgen van de oorlog J F K Kits Nieuwenkamp 42-44 1995")</f>
        <v>0</v>
      </c>
    </row>
    <row r="4376" spans="2:4">
      <c r="B4376">
        <v>56</v>
      </c>
      <c r="C4376" s="1">
        <f>hyperlink("https://hetutrechtsarchief.nl/collectie/05C5840CC94A57798779BA7A82A59EF5","Oude kernen in een nieuwe stad over verleden en toekomst van Vleuten De Meern en Haarzuilens Margreet Staal-Spekman 162-165 2011")</f>
        <v>0</v>
      </c>
      <c r="D4376" s="1">
        <f>hyperlink("http://dspace.library.uu.nl/handle/1874/276075","Honger in het land van melk en honing vier documenten uit de eerste maanden van 1945 in Vleuten De Meern en Haarzuilens Ton H M van Schaik 45-47 1995")</f>
        <v>0</v>
      </c>
    </row>
    <row r="4377" spans="2:4">
      <c r="B4377">
        <v>57</v>
      </c>
      <c r="C4377" s="1">
        <f>hyperlink("https://hetutrechtsarchief.nl/collectie/9B8D235A2C8D4C34E0534701000AD4EB","Verdwenen panden langs de Oude Rijksstraatweg Soest Ren van Hal 26-28 2019")</f>
        <v>0</v>
      </c>
      <c r="D4377" s="1">
        <f>hyperlink("http://dspace.library.uu.nl/handle/1874/276076","Romeins-inheemse nederzetting aan de Rijksstraatweg Saskia van Dockum 72-73 1995")</f>
        <v>0</v>
      </c>
    </row>
    <row r="4378" spans="2:4">
      <c r="B4378">
        <v>55</v>
      </c>
      <c r="C4378" s="1">
        <f>hyperlink("https://hetutrechtsarchief.nl/collectie/8E725F6C92F25B85A9DF9EC9FE3F3356","Romeins Vleuten-De Meern J H J Joosten 37-43 1998")</f>
        <v>0</v>
      </c>
      <c r="D4378" s="1">
        <f>hyperlink("http://dspace.library.uu.nl/handle/1874/276077","Haarpad verhalen en bewoners J H J Klein Obbink P F Joosten 77-82 1995")</f>
        <v>0</v>
      </c>
    </row>
    <row r="4379" spans="2:4">
      <c r="B4379">
        <v>73</v>
      </c>
      <c r="C4379" s="1">
        <f>hyperlink("https://hetutrechtsarchief.nl/collectie/A6F08DBB08D85DE5824E126B6E3D97EB","Dorpsbewoners die ons wat te vertellen hebben Ans Wessels Veronique Voorn-Verkleij 79-86 2001")</f>
        <v>0</v>
      </c>
      <c r="D4379" s="1">
        <f>hyperlink("http://dspace.library.uu.nl/handle/1874/276078","Dorpsbewoners die ons wat te vertellen hebben Kneel Versteeg H E J van Essen 83-88 1995")</f>
        <v>0</v>
      </c>
    </row>
    <row r="4380" spans="2:4">
      <c r="B4380">
        <v>84</v>
      </c>
      <c r="C4380" s="1">
        <f>hyperlink("https://hetutrechtsarchief.nl/collectie/B6A2A62262C95498B694E76F0A0E80A7","De ridderhofstad Den Engh te Vleuten E Muller 121-124 ill krt 1978")</f>
        <v>0</v>
      </c>
      <c r="D4380" s="1">
        <f>hyperlink("http://dspace.library.uu.nl/handle/1874/276080","De ridderhofstad Den Engh te Vleuten E Muller 39-42 1994")</f>
        <v>0</v>
      </c>
    </row>
    <row r="4381" spans="2:4">
      <c r="B4381">
        <v>96</v>
      </c>
      <c r="C4381" s="1">
        <f>hyperlink("https://hetutrechtsarchief.nl/collectie/369DAE5546485703B68147DB9B8E8319","Bange dagen op de dijken soe het water aen alle kanten zeer groot ende hooch was het grootwaterschap Bijleveld en de Meerndijk in 1570 J A Storm van Leeuwen 52-58 ill krt 1994")</f>
        <v>0</v>
      </c>
      <c r="D4381" s="1">
        <f>hyperlink("http://dspace.library.uu.nl/handle/1874/276081","Bange dagen op de dijken soe het water aen alle kanten zeer groot ende hooch was het grootwaterschap Bijleveld en de Meerndijk in 1570 J A Storm van Leeuwen 21-25 1996")</f>
        <v>0</v>
      </c>
    </row>
    <row r="4382" spans="2:4">
      <c r="B4382">
        <v>66</v>
      </c>
      <c r="C4382" s="1">
        <f>hyperlink("https://hetutrechtsarchief.nl/collectie/42A9C6C716595995965313D5F61609E5","Archeologisch onderzoek op het Mooierplein Timo d Hollosy 8-9 1999")</f>
        <v>0</v>
      </c>
      <c r="D4382" s="1">
        <f>hyperlink("http://dspace.library.uu.nl/handle/1874/276082","Archeologisch onderzoek op de Hoge Woerd E P Graafstal 43 1994")</f>
        <v>0</v>
      </c>
    </row>
    <row r="4383" spans="2:4">
      <c r="B4383">
        <v>52</v>
      </c>
      <c r="C4383" s="1">
        <f>hyperlink("https://hetutrechtsarchief.nl/collectie/8CA770BD0D745FFDBDF897435FF82723","Haarzuilens 100 jaar J F K Kits Nieuwenkamp 54-57 1998")</f>
        <v>0</v>
      </c>
      <c r="D4383" s="1">
        <f>hyperlink("http://dspace.library.uu.nl/handle/1874/276083","Haarzuilens 100 jaar J F K Kits Nieuwenkamp 1-2 nr 2 p 27-28 nr 3 p 55-58 nr 4 p 76 99 jg 17 1997 nr 1 p 4-5 nr 2 p 35-37 jg 18 1998 nr 3 p 54-57 1996-1998")</f>
        <v>0</v>
      </c>
    </row>
    <row r="4384" spans="2:4">
      <c r="B4384">
        <v>52</v>
      </c>
      <c r="C4384" s="1">
        <f>hyperlink("https://hetutrechtsarchief.nl/collectie/0666E91B5F1D5A428335A92829960162","De bestuurlijke elite van Zeist in de jaren 1745 tot 1759 R P M Rhoen 3-12 2009")</f>
        <v>0</v>
      </c>
      <c r="D4384" s="1">
        <f>hyperlink("http://dspace.library.uu.nl/handle/1874/276084","De boerderij Zorgwijk op Themaat en zijn eigenaren van 1645 tot 1996 A W Scheepens F J Koot 5-12 1996")</f>
        <v>0</v>
      </c>
    </row>
    <row r="4385" spans="2:4">
      <c r="B4385">
        <v>52</v>
      </c>
      <c r="C4385" s="1">
        <f>hyperlink("https://hetutrechtsarchief.nl/collectie/6A41EAA2F3EC512ABCA3D00C67E71C99","Runen en huismerken H W M J Kits Nieuwenkamp 51-52 ill 1971")</f>
        <v>0</v>
      </c>
      <c r="D4385" s="1">
        <f>hyperlink("http://dspace.library.uu.nl/handle/1874/276214","Een unieke foto uit 1898 H J E van Kits Nieuwenkamp J F K Essen 59 jg 18 1998 nr 4 p 88-89 1997-1998")</f>
        <v>0</v>
      </c>
    </row>
    <row r="4386" spans="2:4">
      <c r="B4386">
        <v>100</v>
      </c>
      <c r="C4386" s="1">
        <f>hyperlink("https://hetutrechtsarchief.nl/collectie/A6FDE52998995AFDB1D4E4CDA1754AE3","Smederijen aan De Meern F J Scheepens 5-13 1998")</f>
        <v>0</v>
      </c>
      <c r="D4386" s="1">
        <f>hyperlink("http://dspace.library.uu.nl/handle/1874/276216","Smederijen aan De Meern F J Scheepens 5-13 1998")</f>
        <v>0</v>
      </c>
    </row>
    <row r="4387" spans="2:4">
      <c r="B4387">
        <v>89</v>
      </c>
      <c r="C4387" s="1">
        <f>hyperlink("https://hetutrechtsarchief.nl/collectie/06F9702060E85089A7722918786403A1","Themaat van maat tot polder 2 J A Storm van Leeuwen 29-36 1998")</f>
        <v>0</v>
      </c>
      <c r="D4387" s="1">
        <f>hyperlink("http://dspace.library.uu.nl/handle/1874/276217","Themaat van maat tot polder J A Storm van Leeuwen 18-25 nr 2 p 29-36 1998")</f>
        <v>0</v>
      </c>
    </row>
    <row r="4388" spans="2:4">
      <c r="B4388">
        <v>100</v>
      </c>
      <c r="C4388" s="1">
        <f>hyperlink("https://hetutrechtsarchief.nl/collectie/8E725F6C92F25B85A9DF9EC9FE3F3356","Romeins Vleuten-De Meern J H J Joosten 37-43 1998")</f>
        <v>0</v>
      </c>
      <c r="D4388" s="1">
        <f>hyperlink("http://dspace.library.uu.nl/handle/1874/276218","Romeins Vleuten-De Meern J H J Joosten 37-43 1998")</f>
        <v>0</v>
      </c>
    </row>
    <row r="4389" spans="2:4">
      <c r="B4389">
        <v>100</v>
      </c>
      <c r="C4389" s="1">
        <f>hyperlink("https://hetutrechtsarchief.nl/collectie/08AFC30B6B80510483C3D9438EE9EF95","Beurzen open dijken dicht Vleuten-Haarzuilens en de watersnood van 1953 Jules Braat 50-51 1998")</f>
        <v>0</v>
      </c>
      <c r="D4389" s="1">
        <f>hyperlink("http://dspace.library.uu.nl/handle/1874/276219","Beurzen open dijken dicht Vleuten-Haarzuilens en de watersnood van 1953 Jules Braat 50-51 1998")</f>
        <v>0</v>
      </c>
    </row>
    <row r="4390" spans="2:4">
      <c r="B4390">
        <v>100</v>
      </c>
      <c r="C4390" s="1">
        <f>hyperlink("https://hetutrechtsarchief.nl/collectie/44E70DCE73275761BE7D22611FB0E13E","De oude band van kasteel De Haar met Kockengen en Spengen Arie A Manten 60-65 1998")</f>
        <v>0</v>
      </c>
      <c r="D4390" s="1">
        <f>hyperlink("http://dspace.library.uu.nl/handle/1874/276220","De oude band van kasteel De Haar met Kockengen en Spengen Arie A Manten 60-65 1998")</f>
        <v>0</v>
      </c>
    </row>
    <row r="4391" spans="2:4">
      <c r="B4391">
        <v>100</v>
      </c>
      <c r="C4391" s="1">
        <f>hyperlink("https://hetutrechtsarchief.nl/collectie/7CC75FE4E54D5CAB91243F5721A93642","Straatnaamgeving in de nieuwbouw de herkomst van de naam De Milan Visconti J F K Kits Nieuwenkamp 66-71 1998")</f>
        <v>0</v>
      </c>
      <c r="D4391" s="1">
        <f>hyperlink("http://dspace.library.uu.nl/handle/1874/276221","Straatnaamgeving in de nieuwbouw de herkomst van de naam De Milan Visconti J F K Kits Nieuwenkamp 66-71 1998")</f>
        <v>0</v>
      </c>
    </row>
    <row r="4392" spans="2:4">
      <c r="B4392">
        <v>100</v>
      </c>
      <c r="C4392" s="1">
        <f>hyperlink("https://hetutrechtsarchief.nl/collectie/A1F147FBC357546A8470E0D3FCE63A5F","Een Remonstrant te Vleuten Veronique Voorn 76-83 1998")</f>
        <v>0</v>
      </c>
      <c r="D4392" s="1">
        <f>hyperlink("http://dspace.library.uu.nl/handle/1874/276222","Een Remonstrant te Vleuten Veronique Voorn 76-83 1998")</f>
        <v>0</v>
      </c>
    </row>
    <row r="4393" spans="2:4">
      <c r="B4393">
        <v>84</v>
      </c>
      <c r="C4393" s="1">
        <f>hyperlink("https://hetutrechtsarchief.nl/collectie/FAEECE446A2D58DFA152FFF6A6E857D7","Een kleine eeuw glastuinbouw in Vleuten-De Meern D van der Leest-Brand 84-91 1998")</f>
        <v>0</v>
      </c>
      <c r="D4393" s="1">
        <f>hyperlink("http://dspace.library.uu.nl/handle/1874/276223","Een kleine eeuw glastuinbouw in Vleuten-De Meern G J Leest-Brand D van der Verhoef 84-91 1998")</f>
        <v>0</v>
      </c>
    </row>
    <row r="4394" spans="2:4">
      <c r="B4394">
        <v>100</v>
      </c>
      <c r="C4394" s="1">
        <f>hyperlink("https://hetutrechtsarchief.nl/collectie/DBE66DB321465EAB91443F3633FE7088","De korenmolen van Veldhuizen T Bruntink 44-49 1998")</f>
        <v>0</v>
      </c>
      <c r="D4394" s="1">
        <f>hyperlink("http://dspace.library.uu.nl/handle/1874/276224","De korenmolen van Veldhuizen T Bruntink 44-49 1998")</f>
        <v>0</v>
      </c>
    </row>
    <row r="4395" spans="2:4">
      <c r="B4395">
        <v>53</v>
      </c>
      <c r="C4395" s="1">
        <f>hyperlink("https://hetutrechtsarchief.nl/collectie/023F7A526F1C52449D2618108722F2BF","De Broederschap van O L Vrouw te Vleuten 2 J W Schoonderwoerd 74-83 1999")</f>
        <v>0</v>
      </c>
      <c r="D4395" s="1">
        <f>hyperlink("http://dspace.library.uu.nl/handle/1874/276225","Damzigt boerderij spijkerfabriek buitenplaats tehuis voor krankzinnige vrouwen J W Schoonderwoerd 91-95 1997")</f>
        <v>0</v>
      </c>
    </row>
    <row r="4396" spans="2:4">
      <c r="B4396">
        <v>55</v>
      </c>
      <c r="C4396" s="1">
        <f>hyperlink("https://hetutrechtsarchief.nl/collectie/B6A2A62262C95498B694E76F0A0E80A7","De ridderhofstad Den Engh te Vleuten E Muller 121-124 ill krt 1978")</f>
        <v>0</v>
      </c>
      <c r="D4396" s="1">
        <f>hyperlink("http://dspace.library.uu.nl/handle/1874/276226","De familie Ravee Nieuwenhuis en ridderhofstad Den Engh in Vleuten in de 19e eeuw F J Scheepens 7-14 1997")</f>
        <v>0</v>
      </c>
    </row>
    <row r="4397" spans="2:4">
      <c r="B4397">
        <v>60</v>
      </c>
      <c r="C4397" s="1">
        <f>hyperlink("https://hetutrechtsarchief.nl/collectie/C6C5BDD2AB4F5C549999D0482B4FE415","Het zandpad tussen Utrecht en Harmelen de schipper weegde met de kloet J A Storm van Leeuwen 55-58 2001")</f>
        <v>0</v>
      </c>
      <c r="D4397" s="1">
        <f>hyperlink("http://dspace.library.uu.nl/handle/1874/276227","De stoomtram tussen Utrecht en of hoe Vleuten en Haarzuilens aan hun spoorwegstation kwamen J A Storm van Leeuwen 15-17 1997")</f>
        <v>0</v>
      </c>
    </row>
    <row r="4398" spans="2:4">
      <c r="B4398">
        <v>57</v>
      </c>
      <c r="C4398" s="1">
        <f>hyperlink("https://hetutrechtsarchief.nl/collectie/CB2CBBE6B8CA595FBD1FFBD1877C646A","De restauratie van de carillontoren van de Nicola kerk G W van Hoogevest 1-15 ill tek 1987")</f>
        <v>0</v>
      </c>
      <c r="D4398" s="1">
        <f>hyperlink("http://dspace.library.uu.nl/handle/1874/276228","De restauratie van de Hamtoren van 1963 tot 1975 een verslag ter documentatie W J M van Andel G J van Andel 18-25 1997")</f>
        <v>0</v>
      </c>
    </row>
    <row r="4399" spans="2:4">
      <c r="B4399">
        <v>69</v>
      </c>
      <c r="C4399" s="1">
        <f>hyperlink("https://hetutrechtsarchief.nl/collectie/A8F747520477509D97DA07C0E14005E5","Archeologisch onderzoek in Vathorst van start 5-6 1999")</f>
        <v>0</v>
      </c>
      <c r="D4399" s="1">
        <f>hyperlink("http://dspace.library.uu.nl/handle/1874/276229","Archeologisch onderzoek in Veldhuizen E P Graafstal 31-35 1997")</f>
        <v>0</v>
      </c>
    </row>
    <row r="4400" spans="2:4">
      <c r="B4400">
        <v>64</v>
      </c>
      <c r="C4400" s="1">
        <f>hyperlink("https://hetutrechtsarchief.nl/collectie/8E725F6C92F25B85A9DF9EC9FE3F3356","Romeins Vleuten-De Meern J H J Joosten 37-43 1998")</f>
        <v>0</v>
      </c>
      <c r="D4400" s="1">
        <f>hyperlink("http://dspace.library.uu.nl/handle/1874/276230","Fletione Fectione en Fictione J H J Joosten 38-42 1997")</f>
        <v>0</v>
      </c>
    </row>
    <row r="4401" spans="2:4">
      <c r="B4401">
        <v>61</v>
      </c>
      <c r="C4401" s="1">
        <f>hyperlink("https://hetutrechtsarchief.nl/collectie/E8526279564458B8867866BD7F51D929","Katholiek onderwijs in De Meern 4 Jan Heesters 53-54 2007")</f>
        <v>0</v>
      </c>
      <c r="D4401" s="1">
        <f>hyperlink("http://dspace.library.uu.nl/handle/1874/276231","Een kerk in De Meern gebouwd J H P Heesters 43-46 1997")</f>
        <v>0</v>
      </c>
    </row>
    <row r="4402" spans="2:4">
      <c r="B4402">
        <v>57</v>
      </c>
      <c r="C4402" s="1">
        <f>hyperlink("https://hetutrechtsarchief.nl/collectie/65B184490C955785933EE7B50CDCC82C","De Meerndijk een oude middeldijk eigendom schouw en onderhoud v r 1600 J A Storm van Leeuwen 38-48 2002")</f>
        <v>0</v>
      </c>
      <c r="D4402" s="1">
        <f>hyperlink("http://dspace.library.uu.nl/handle/1874/276232","De Nieuwe Vaart en de Thematerwerering volgens de schouwbrief van 1612 J A Storm van Leeuwen 54-57 1997")</f>
        <v>0</v>
      </c>
    </row>
    <row r="4403" spans="2:4">
      <c r="B4403">
        <v>65</v>
      </c>
      <c r="C4403" s="1">
        <f>hyperlink("https://hetutrechtsarchief.nl/collectie/5F1F92742C02556397CFD37CEEE52050","Romeinse vondsten in de gemeente Houten A B Haefkens 43-44 1957")</f>
        <v>0</v>
      </c>
      <c r="D4403" s="1">
        <f>hyperlink("http://dspace.library.uu.nl/handle/1874/276233","Sensationele Romeinse vondsten in De Meern H E J van Essen 57-58 1997")</f>
        <v>0</v>
      </c>
    </row>
    <row r="4404" spans="2:4">
      <c r="B4404">
        <v>58</v>
      </c>
      <c r="C4404" s="1">
        <f>hyperlink("https://hetutrechtsarchief.nl/collectie/3AB109B9AB28593587D235E2AB15D11B","Onze straatnamen oorsprong en betekenis 3 J H P Heesters 92-95 1998")</f>
        <v>0</v>
      </c>
      <c r="D4404" s="1">
        <f>hyperlink("http://dspace.library.uu.nl/handle/1874/276234","Wandtapijten in Kasteel De Haar J H P Heesters 62-65 1997")</f>
        <v>0</v>
      </c>
    </row>
    <row r="4405" spans="2:4">
      <c r="B4405">
        <v>93</v>
      </c>
      <c r="C4405" s="1">
        <f>hyperlink("https://hetutrechtsarchief.nl/collectie/9F4EAF201AD455DC881BD6F72DBD81E5","Johan Ludolph van Rhenen vicaris te Vleuten paap op Den Ham en redder van de Cunera-relieken Casper Staal 69-86 ill portr 1996")</f>
        <v>0</v>
      </c>
      <c r="D4405" s="1">
        <f>hyperlink("http://dspace.library.uu.nl/handle/1874/276235","Johan Ludolph van Rhenen vicaris te Vleuten paap op Den Ham en redder van de Cunera-relieken Casper Staal 66-73 1997")</f>
        <v>0</v>
      </c>
    </row>
    <row r="4406" spans="2:4">
      <c r="B4406">
        <v>62</v>
      </c>
      <c r="C4406" s="1">
        <f>hyperlink("https://hetutrechtsarchief.nl/collectie/259BB908F4A65C64AD92819BF0AD9440","De bomen rond Vleuten-De Meern J F K Kits Nieuwenkamp 70-72 ill 1993")</f>
        <v>0</v>
      </c>
      <c r="D4406" s="1">
        <f>hyperlink("http://dspace.library.uu.nl/handle/1874/276236","De jeugdjaren van Antoon Jansen in Haarzuilens J F K Kits Nieuwenkamp 77-84 1997")</f>
        <v>0</v>
      </c>
    </row>
    <row r="4407" spans="2:4">
      <c r="B4407">
        <v>100</v>
      </c>
      <c r="C4407" s="1">
        <f>hyperlink("https://hetutrechtsarchief.nl/collectie/319F60297A405234B6EA7358C4856143","Smederijen in Vleuten en Haarzuilens F J Scheepens 25-36 1999")</f>
        <v>0</v>
      </c>
      <c r="D4407" s="1">
        <f>hyperlink("http://dspace.library.uu.nl/handle/1874/276253","Smederijen in Vleuten en Haarzuilens F J Scheepens 25-36 1999")</f>
        <v>0</v>
      </c>
    </row>
    <row r="4408" spans="2:4">
      <c r="B4408">
        <v>100</v>
      </c>
      <c r="C4408" s="1">
        <f>hyperlink("https://hetutrechtsarchief.nl/collectie/168853D601E651D88031DB5559D3F2C5","Een rechterlijke dwaling in 1869 Veronique Voorn-Verkleij 37-47 1999")</f>
        <v>0</v>
      </c>
      <c r="D4408" s="1">
        <f>hyperlink("http://dspace.library.uu.nl/handle/1874/276254","Een rechterlijke dwaling in 1869 Veronique Voorn-Verkleij 37-47 1999")</f>
        <v>0</v>
      </c>
    </row>
    <row r="4409" spans="2:4">
      <c r="B4409">
        <v>90</v>
      </c>
      <c r="C4409" s="1">
        <f>hyperlink("https://hetutrechtsarchief.nl/collectie/023F7A526F1C52449D2618108722F2BF","De Broederschap van O L Vrouw te Vleuten 2 J W Schoonderwoerd 74-83 1999")</f>
        <v>0</v>
      </c>
      <c r="D4409" s="1">
        <f>hyperlink("http://dspace.library.uu.nl/handle/1874/276255","De Broederschap van O L Vrouw te Vleuten J W Schoonderwoerd 52-62 nr 4 p 74-83 1999")</f>
        <v>0</v>
      </c>
    </row>
    <row r="4410" spans="2:4">
      <c r="B4410">
        <v>60</v>
      </c>
      <c r="C4410" s="1">
        <f>hyperlink("https://hetutrechtsarchief.nl/collectie/2A519A3FF3F754F1B8D185D9EE376326","Archeologische verkenningen 4 J H J Joosten 68-69 2000")</f>
        <v>0</v>
      </c>
      <c r="D4410" s="1">
        <f>hyperlink("http://dspace.library.uu.nl/handle/1874/276256","Archeologische verkenningen J H J Joosten 69-70 nr 4 p 91-92 jg 20 2000 nr 2 p 44-45 nr 3 p 68-69 nr 4 p 94-95 1999-2000")</f>
        <v>0</v>
      </c>
    </row>
    <row r="4411" spans="2:4">
      <c r="B4411">
        <v>87</v>
      </c>
      <c r="C4411" s="1">
        <f>hyperlink("https://hetutrechtsarchief.nl/collectie/8993354ED90C53F9BF1C8229F1C29F3C","Beulswerk 2 Veronique Voorn-Verkleij 33-39 2000")</f>
        <v>0</v>
      </c>
      <c r="D4411" s="1">
        <f>hyperlink("http://dspace.library.uu.nl/handle/1874/276278","Beulswerk Veronique Voorn-Verkleij 4-8 nr 2 p 33-39 2000")</f>
        <v>0</v>
      </c>
    </row>
    <row r="4412" spans="2:4">
      <c r="B4412">
        <v>100</v>
      </c>
      <c r="C4412" s="1">
        <f>hyperlink("https://hetutrechtsarchief.nl/collectie/EA8D7A6BD53452FE94D646464291120D","Voor het laatst de paal in Th H Lutters 8-9 2000")</f>
        <v>0</v>
      </c>
      <c r="D4412" s="1">
        <f>hyperlink("http://dspace.library.uu.nl/handle/1874/276279","Voor het laatst de paal in Th H Lutters 8-9 2000")</f>
        <v>0</v>
      </c>
    </row>
    <row r="4413" spans="2:4">
      <c r="B4413">
        <v>100</v>
      </c>
      <c r="C4413" s="1">
        <f>hyperlink("https://hetutrechtsarchief.nl/collectie/6FD627902D1D570984FEB48597C546A5","Vleuten in de jaren 1914-1919 Jules Braat 10-15 2000")</f>
        <v>0</v>
      </c>
      <c r="D4413" s="1">
        <f>hyperlink("http://dspace.library.uu.nl/handle/1874/276280","Vleuten in de jaren 1914-1919 Jules Braat 10-15 2000")</f>
        <v>0</v>
      </c>
    </row>
    <row r="4414" spans="2:4">
      <c r="B4414">
        <v>100</v>
      </c>
      <c r="C4414" s="1">
        <f>hyperlink("https://hetutrechtsarchief.nl/collectie/011AB32CDC0C50F6B0E391ADF7EF8961","Dorpsbewoners die ons wat te vertellen hebben Cor Wolswijk Veronique Voorn-Verkleij 24-32 2000")</f>
        <v>0</v>
      </c>
      <c r="D4414" s="1">
        <f>hyperlink("http://dspace.library.uu.nl/handle/1874/276281","Dorpsbewoners die ons wat te vertellen hebben Cor Wolswijk Veronique Voorn-Verkleij 24-32 2000")</f>
        <v>0</v>
      </c>
    </row>
    <row r="4415" spans="2:4">
      <c r="B4415">
        <v>100</v>
      </c>
      <c r="C4415" s="1">
        <f>hyperlink("https://hetutrechtsarchief.nl/collectie/5CF28191E5D25537B48CB8FB5D3FB220","Al meer dan 500 jaar Langerak J W Schoonderwoerd 73-80 2000")</f>
        <v>0</v>
      </c>
      <c r="D4415" s="1">
        <f>hyperlink("http://dspace.library.uu.nl/handle/1874/276282","Al meer dan 500 jaar Langerak J W Schoonderwoerd 73-80 2000")</f>
        <v>0</v>
      </c>
    </row>
    <row r="4416" spans="2:4">
      <c r="B4416">
        <v>100</v>
      </c>
      <c r="C4416" s="1">
        <f>hyperlink("https://hetutrechtsarchief.nl/collectie/3D4DFEE31F1E5BB682E1CE4D607DE682","Dorpsbewoners die ons wat te vertellen hebben Piet Boeijen Veronique Voorn-Verkleij 81-87 2000")</f>
        <v>0</v>
      </c>
      <c r="D4416" s="1">
        <f>hyperlink("http://dspace.library.uu.nl/handle/1874/276283","Dorpsbewoners die ons wat te vertellen hebben Piet Boeijen Veronique Voorn-Verkleij 81-87 2000")</f>
        <v>0</v>
      </c>
    </row>
    <row r="4417" spans="2:4">
      <c r="B4417">
        <v>100</v>
      </c>
      <c r="C4417" s="1">
        <f>hyperlink("https://hetutrechtsarchief.nl/collectie/F3512630792454C1A7B68E5F56772007","Het collectieve geheugen van het platteland J A Storm van Leeuwen 52-55 2000")</f>
        <v>0</v>
      </c>
      <c r="D4417" s="1">
        <f>hyperlink("http://dspace.library.uu.nl/handle/1874/276284","Het collectieve geheugen van het platteland J A Storm van Leeuwen 52-55 2000")</f>
        <v>0</v>
      </c>
    </row>
    <row r="4418" spans="2:4">
      <c r="B4418">
        <v>100</v>
      </c>
      <c r="C4418" s="1">
        <f>hyperlink("https://hetutrechtsarchief.nl/collectie/F9FA3AF62E4152669D2A6E2AEE2F3ABD","t Laar Twentse activiteit in Vleuten Jules Braat 61-64 2000")</f>
        <v>0</v>
      </c>
      <c r="D4418" s="1">
        <f>hyperlink("http://dspace.library.uu.nl/handle/1874/276285","t Laar Twentse activiteit in Vleuten Jules Braat 61-64 2000")</f>
        <v>0</v>
      </c>
    </row>
    <row r="4419" spans="2:4">
      <c r="B4419">
        <v>79</v>
      </c>
      <c r="C4419" s="1">
        <f>hyperlink("https://hetutrechtsarchief.nl/collectie/07F5FF2C333C58678203A6C4C15FE26E","De Stichtse Burgeroorlog 2 dodendansen Arie A Manten 29-39 2001")</f>
        <v>0</v>
      </c>
      <c r="D4419" s="1">
        <f>hyperlink("http://dspace.library.uu.nl/handle/1874/276315","De Stichtse Burgeroorlog Arie A Manten 4-15 nr 2 p 29-39 2001")</f>
        <v>0</v>
      </c>
    </row>
    <row r="4420" spans="2:4">
      <c r="B4420">
        <v>100</v>
      </c>
      <c r="C4420" s="1">
        <f>hyperlink("https://hetutrechtsarchief.nl/collectie/C6C5BDD2AB4F5C549999D0482B4FE415","Het zandpad tussen Utrecht en Harmelen de schipper weegde met de kloet J A Storm van Leeuwen 55-58 2001")</f>
        <v>0</v>
      </c>
      <c r="D4420" s="1">
        <f>hyperlink("http://dspace.library.uu.nl/handle/1874/276317","Het zandpad tussen Utrecht en Harmelen de schipper weegde met de kloet J A Storm van Leeuwen 55-58 2001")</f>
        <v>0</v>
      </c>
    </row>
    <row r="4421" spans="2:4">
      <c r="B4421">
        <v>100</v>
      </c>
      <c r="C4421" s="1">
        <f>hyperlink("https://hetutrechtsarchief.nl/collectie/F78514B36EEF5CCA94249F6E51111438","Het zandpad langs de Meerndijk een bequaem voetzandpad J A Storm van Leeuwen 76-78 2001")</f>
        <v>0</v>
      </c>
      <c r="D4421" s="1">
        <f>hyperlink("http://dspace.library.uu.nl/handle/1874/276318","Het zandpad langs de Meerndijk een bequaem voetzandpad J A Storm van Leeuwen 76-78 2001")</f>
        <v>0</v>
      </c>
    </row>
    <row r="4422" spans="2:4">
      <c r="B4422">
        <v>100</v>
      </c>
      <c r="C4422" s="1">
        <f>hyperlink("https://hetutrechtsarchief.nl/collectie/A6F08DBB08D85DE5824E126B6E3D97EB","Dorpsbewoners die ons wat te vertellen hebben Ans Wessels Veronique Voorn-Verkleij 79-86 2001")</f>
        <v>0</v>
      </c>
      <c r="D4422" s="1">
        <f>hyperlink("http://dspace.library.uu.nl/handle/1874/276319","Dorpsbewoners die ons wat te vertellen hebben Ans Wessels Veronique Voorn-Verkleij 79-86 2001")</f>
        <v>0</v>
      </c>
    </row>
    <row r="4423" spans="2:4">
      <c r="B4423">
        <v>100</v>
      </c>
      <c r="C4423" s="1">
        <f>hyperlink("https://hetutrechtsarchief.nl/collectie/D51E3FC55E3F55108F495E0FC3C70C92","Het chauffeursprobleem van Etienne baron van Zuylen van Nyevelt van de Haar Peter-Eloy Staal 90-92 2001")</f>
        <v>0</v>
      </c>
      <c r="D4423" s="1">
        <f>hyperlink("http://dspace.library.uu.nl/handle/1874/276320","Het chauffeursprobleem van Etienne baron van Zuylen van Nyevelt van de Haar Peter-Eloy Staal 90-92 2001")</f>
        <v>0</v>
      </c>
    </row>
    <row r="4424" spans="2:4">
      <c r="B4424">
        <v>58</v>
      </c>
      <c r="C4424" s="1">
        <f>hyperlink("https://hetutrechtsarchief.nl/collectie/BC4783D76C8A524684036980501DCC25","Een rijke vereniging wordt in haar voortbestaan bedreigd Het bestuur van de Historische Vereniging Vleuten De Meern Haarzuilens 56-57 2004")</f>
        <v>0</v>
      </c>
      <c r="D4424" s="1">
        <f>hyperlink("http://dspace.library.uu.nl/handle/1874/276344","Tijdschrift van de Historische Vereniging Vleuten-De Meern-Haarzuilens Haarzuilens Historische Vereniging Vleuten De Meern 1989-2010")</f>
        <v>0</v>
      </c>
    </row>
    <row r="4425" spans="2:4">
      <c r="B4425">
        <v>94</v>
      </c>
      <c r="C4425" s="1">
        <f>hyperlink("https://hetutrechtsarchief.nl/collectie/7285EA18521956CDB1CC46396ABE8569","De gemeentebesturen van Vleuten en Haarzuilens 2 de samenstelling van het gemeentebestuur tussen 1850 en 1870 D van der Leest-Brand 28-35 2002")</f>
        <v>0</v>
      </c>
      <c r="D4425" s="1">
        <f>hyperlink("http://dspace.library.uu.nl/handle/1874/276345","De gemeentebesturen van Vleuten en Haarzuilens de samenstelling van het gemeentebestuur tussen 1850 - 1870 D van der Leest-Brand 4-11 nr 2 p 28-35 2002")</f>
        <v>0</v>
      </c>
    </row>
    <row r="4426" spans="2:4">
      <c r="B4426">
        <v>100</v>
      </c>
      <c r="C4426" s="1">
        <f>hyperlink("https://hetutrechtsarchief.nl/collectie/65B184490C955785933EE7B50CDCC82C","De Meerndijk een oude middeldijk eigendom schouw en onderhoud v r 1600 J A Storm van Leeuwen 38-48 2002")</f>
        <v>0</v>
      </c>
      <c r="D4426" s="1">
        <f>hyperlink("http://dspace.library.uu.nl/handle/1874/276346","De Meerndijk een oude middeldijk eigendom schouw en onderhoud v r 1600 J A Storm van Leeuwen 38-48 2002")</f>
        <v>0</v>
      </c>
    </row>
    <row r="4427" spans="2:4">
      <c r="B4427">
        <v>60</v>
      </c>
      <c r="C4427" s="1">
        <f>hyperlink("https://hetutrechtsarchief.nl/collectie/80790E5A792E55C3878146B780F58E0C","Archief der vijf kapittelen te Utrecht A M C van Asch van Wijck 140 150 179 205 219 260 1847")</f>
        <v>0</v>
      </c>
      <c r="D4427" s="1">
        <f>hyperlink("http://dspace.library.uu.nl/handle/1874/276347","Frederik van Baden bisschop van Utrecht 1496-1516 A M C van Asch van Wijck 16-376 dl 2 1851 p 3 -219 1850-1851")</f>
        <v>0</v>
      </c>
    </row>
    <row r="4428" spans="2:4">
      <c r="B4428">
        <v>100</v>
      </c>
      <c r="C4428" s="1">
        <f>hyperlink("https://hetutrechtsarchief.nl/collectie/84D020A5E96A529FB8C40C028C6EDED9","Het zandvoetpad tussen Utrecht en Oudhuizen interlokaal verkeer en communicatie in de Gouden Eeuw J A Storm van Leeuwen 53-71 2002")</f>
        <v>0</v>
      </c>
      <c r="D4428" s="1">
        <f>hyperlink("http://dspace.library.uu.nl/handle/1874/276348","Het zandvoetpad tussen Utrecht en Oudhuizen interlokaal verkeer en communicatie in de Gouden Eeuw J A Storm van Leeuwen 53-71 2002")</f>
        <v>0</v>
      </c>
    </row>
    <row r="4429" spans="2:4">
      <c r="B4429">
        <v>100</v>
      </c>
      <c r="C4429" s="1">
        <f>hyperlink("https://hetutrechtsarchief.nl/collectie/9B157EEBD9075FE2A0399B86707D09F6","Jacob Graafland een grof en fijn schilder historische documenten J H P Heesters 4-10 2003")</f>
        <v>0</v>
      </c>
      <c r="D4429" s="1">
        <f>hyperlink("http://dspace.library.uu.nl/handle/1874/276349","Jacob Graafland een grof en fijn schilder historische documenten J H P Heesters 4-10 2003")</f>
        <v>0</v>
      </c>
    </row>
    <row r="4430" spans="2:4">
      <c r="B4430">
        <v>100</v>
      </c>
      <c r="C4430" s="1">
        <f>hyperlink("https://hetutrechtsarchief.nl/collectie/A19D73E41EEC51D595A43F49CBCC083D","Archeologisch onderzoek in Parkwijk-Zuid 52-55 2003")</f>
        <v>0</v>
      </c>
      <c r="D4430" s="1">
        <f>hyperlink("http://dspace.library.uu.nl/handle/1874/276351","Archeologisch onderzoek in Parkwijk Zuid 52-55 2003")</f>
        <v>0</v>
      </c>
    </row>
    <row r="4431" spans="2:4">
      <c r="B4431">
        <v>84</v>
      </c>
      <c r="C4431" s="1">
        <f>hyperlink("https://hetutrechtsarchief.nl/collectie/802B6EA19A065C36A8CBE9F95E1D87B7","Leo Jungblut zijn familie en zijn werk historische documenten J H P Heesters 52-58 2003")</f>
        <v>0</v>
      </c>
      <c r="D4431" s="1">
        <f>hyperlink("http://dspace.library.uu.nl/handle/1874/276352","Leo Jungblut zijn familie en zijn werk historische documenten J H P Heesters 69-75 jg 24 2004 nr 2 p 42-46 2003-2004")</f>
        <v>0</v>
      </c>
    </row>
    <row r="4432" spans="2:4">
      <c r="B4432">
        <v>96</v>
      </c>
      <c r="C4432" s="1">
        <f>hyperlink("https://hetutrechtsarchief.nl/collectie/9A4A5236584253758D30F1E355D67A55","Per bus van Harmelen naar Utrecht in 1943-1944 via Veldhuizen en Oudenrijn W J G M Mulder 59-61 2003")</f>
        <v>0</v>
      </c>
      <c r="D4432" s="1">
        <f>hyperlink("http://dspace.library.uu.nl/handle/1874/276353","Per bus van Harmelen naar Utrecht in 1943-1944 via Veldhuizen en Oudenrijn W J G M Mulder 76-78 2003")</f>
        <v>0</v>
      </c>
    </row>
    <row r="4433" spans="2:4">
      <c r="B4433">
        <v>70</v>
      </c>
      <c r="C4433" s="1">
        <f>hyperlink("https://hetutrechtsarchief.nl/collectie/C80A4C717BE45BFB8527C0DF1F51BBD2","Pouwlina van Bijlevelt een levensbeschrijving 1 de periode 1869 tot 1923 Veronique Voorn-Verkleij 78-94 2002")</f>
        <v>0</v>
      </c>
      <c r="D4433" s="1">
        <f>hyperlink("http://dspace.library.uu.nl/handle/1874/276354","Pouwlina van Bijlevelt een levensbeschrijving Veronique Voorn-Verkleij 78-94 jg 23 2003 nr 1 p 11-24 nr 2 p 28-35 2002-2003")</f>
        <v>0</v>
      </c>
    </row>
    <row r="4434" spans="2:4">
      <c r="B4434">
        <v>100</v>
      </c>
      <c r="C4434" s="1">
        <f>hyperlink("https://hetutrechtsarchief.nl/collectie/CD3DAC5A2C2C556EBEA2E76BBC93F45E","Dorpsbewoners die ons wat te vertellen hebben Jaap Moll en Nely Moll-Kapteyn en hun glastuinbouwbedrijven Veronique Voorn-Verkleij 56-61 2003")</f>
        <v>0</v>
      </c>
      <c r="D4434" s="1">
        <f>hyperlink("http://dspace.library.uu.nl/handle/1874/276355","Dorpsbewoners die ons wat te vertellen hebben Jaap Moll en Nely Moll-Kapteyn en hun glastuinbouwbedrijven Veronique Voorn-Verkleij 56-61 2003")</f>
        <v>0</v>
      </c>
    </row>
    <row r="4435" spans="2:4">
      <c r="B4435">
        <v>94</v>
      </c>
      <c r="C4435" s="1">
        <f>hyperlink("https://hetutrechtsarchief.nl/collectie/1FF0DDB8280B5CD8984CD1742557EE0D","Het Nederlandse woonhuis van 1300-1800 50 jaar Hendrick de Keyser C L Temminck Groll 51-53 ill plgr 1970")</f>
        <v>0</v>
      </c>
      <c r="D4435" s="1">
        <f>hyperlink("http://dspace.library.uu.nl/handle/1874/276858","Het Nederlandse woonhuis van 1300-1800 50 jaar Hendrick de Keyser C L Temminck Groll 51-52 1970")</f>
        <v>0</v>
      </c>
    </row>
    <row r="4436" spans="2:4">
      <c r="B4436">
        <v>100</v>
      </c>
      <c r="C4436" s="1">
        <f>hyperlink("https://hetutrechtsarchief.nl/collectie/14E80018028B5572A0230226101DA33E","Beloning dynamiet lichte vrouwen en lilliputters 64 1970")</f>
        <v>0</v>
      </c>
      <c r="D4436" s="1">
        <f>hyperlink("http://dspace.library.uu.nl/handle/1874/276859","Beloning dynamiet lichte vrouwen en lilliputters 64 1970")</f>
        <v>0</v>
      </c>
    </row>
    <row r="4437" spans="2:4">
      <c r="B4437">
        <v>62</v>
      </c>
      <c r="C4437" s="1">
        <f>hyperlink("https://hetutrechtsarchief.nl/collectie/DE132AE7A5945FECBFC7E328CF2E79D2","De Oude Gracht en de Vaartsche Rijn M N Acket 18-21 1951")</f>
        <v>0</v>
      </c>
      <c r="D4437" s="1">
        <f>hyperlink("http://dspace.library.uu.nl/handle/1874/276860","Inundatie-achterkaden langs Vaartsche Rijn J Belonje 28-29 1970")</f>
        <v>0</v>
      </c>
    </row>
    <row r="4438" spans="2:4">
      <c r="B4438">
        <v>92</v>
      </c>
      <c r="C4438" s="1">
        <f>hyperlink("https://hetutrechtsarchief.nl/collectie/D53F54A3BB6356ECA8C2F79994896B6C","Stichting Utrechtse Kastelen treedt op als waakhond - K 30-31 ill 1970")</f>
        <v>0</v>
      </c>
      <c r="D4438" s="1">
        <f>hyperlink("http://dspace.library.uu.nl/handle/1874/276861","Stichting Utrechtse kastelen treedt op als waakhond B Kieboom 30-31 1970")</f>
        <v>0</v>
      </c>
    </row>
    <row r="4439" spans="2:4">
      <c r="B4439">
        <v>54</v>
      </c>
      <c r="C4439" s="1">
        <f>hyperlink("https://hetutrechtsarchief.nl/collectie/29911771925A5C13A3635640A8112130","D Utrechter bestaat niet handboek over de geschiedenis van de provincie Utrecht Martin Jansen 19-21 ill tab 1994")</f>
        <v>0</v>
      </c>
      <c r="D4439" s="1">
        <f>hyperlink("http://dspace.library.uu.nl/handle/1874/276862","Oud-Utrecht Vereniging tot Beoefening en tot Verspreiding van de Kennis der Geschiedenis van Utrecht en Omstreken Oud-Utrecht 1970-1972")</f>
        <v>0</v>
      </c>
    </row>
    <row r="4440" spans="2:4">
      <c r="B4440">
        <v>91</v>
      </c>
      <c r="C4440" s="1">
        <f>hyperlink("https://hetutrechtsarchief.nl/collectie/43E6C479D97351ABB31E4C66FDB8AF30","Stedeschoon en verkeer uitersten in bestemmingsplan Amersfoort - K 10-11 ill 1970")</f>
        <v>0</v>
      </c>
      <c r="D4440" s="1">
        <f>hyperlink("http://dspace.library.uu.nl/handle/1874/276863","Stedeschoon en verkeer uitersten in bestemmingsplan Amersfoort B Kieboom 10-12 1970")</f>
        <v>0</v>
      </c>
    </row>
    <row r="4441" spans="2:4">
      <c r="B4441">
        <v>94</v>
      </c>
      <c r="C4441" s="1">
        <f>hyperlink("https://hetutrechtsarchief.nl/collectie/8F0DFEAD24DB5AF39FA256B18F20622F","Tabak droogde vroeger op zolders van Amersfoorts stadhuis - K 27 1970")</f>
        <v>0</v>
      </c>
      <c r="D4441" s="1">
        <f>hyperlink("http://dspace.library.uu.nl/handle/1874/276864","Tabak droogde vroeger op zolders van Amersfoorts stadhuis B Kieboom 27 1970")</f>
        <v>0</v>
      </c>
    </row>
    <row r="4442" spans="2:4">
      <c r="B4442">
        <v>98</v>
      </c>
      <c r="C4442" s="1">
        <f>hyperlink("https://hetutrechtsarchief.nl/collectie/BC6318488C995847982C6E98015F7E32","Krijgshaftige adelaar waakt over Benschopse boerderij Vrede Rust E van Oosterom 70-72 ill 1970")</f>
        <v>0</v>
      </c>
      <c r="D4442" s="1">
        <f>hyperlink("http://dspace.library.uu.nl/handle/1874/276865","Krijgshaftige adelaar waakt over Benschopse boerderij Vrede Rust E van Oosterom 70-72 1970")</f>
        <v>0</v>
      </c>
    </row>
    <row r="4443" spans="2:4">
      <c r="B4443">
        <v>95</v>
      </c>
      <c r="C4443" s="1">
        <f>hyperlink("https://hetutrechtsarchief.nl/collectie/45C5C1E143BD5121B7A17777EE9A76CC","Dansen op de doodskist E P Polak-de Booy 23-24 tek 1970")</f>
        <v>0</v>
      </c>
      <c r="D4443" s="1">
        <f>hyperlink("http://dspace.library.uu.nl/handle/1874/276866","Dansen op de doodkist E P Polak-de Booy 23-24 1970")</f>
        <v>0</v>
      </c>
    </row>
    <row r="4444" spans="2:4">
      <c r="B4444">
        <v>100</v>
      </c>
      <c r="C4444" s="1">
        <f>hyperlink("https://hetutrechtsarchief.nl/collectie/E7F807E3BE7F53A69896A4819BFA1E6E","Een dolleerende koster in 1888 te Montfoort A C Hellema 96 1970")</f>
        <v>0</v>
      </c>
      <c r="D4444" s="1">
        <f>hyperlink("http://dspace.library.uu.nl/handle/1874/276867","Een dolleerende koster in 1888 te Montfoort A C Hellema 96 1970")</f>
        <v>0</v>
      </c>
    </row>
    <row r="4445" spans="2:4">
      <c r="B4445">
        <v>93</v>
      </c>
      <c r="C4445" s="1">
        <f>hyperlink("https://hetutrechtsarchief.nl/collectie/562E6BD0C3DE5EE4A0FF521A4CBA30C5","Aan Holland verkwanseld Oudewater na zeven eeuwen weer bij Utrecht - K 66-67 ill 1970")</f>
        <v>0</v>
      </c>
      <c r="D4445" s="1">
        <f>hyperlink("http://dspace.library.uu.nl/handle/1874/276868","Aan Holland verkwanseld Oudewater na zeven eeuwen weer bij Utrecht B Kieboom 66-67 1970")</f>
        <v>0</v>
      </c>
    </row>
    <row r="4446" spans="2:4">
      <c r="B4446">
        <v>63</v>
      </c>
      <c r="C4446" s="1">
        <f>hyperlink("https://hetutrechtsarchief.nl/collectie/13FD7103780A5D63AD9A87AC10467A83","Oud-Utrecht in het nieuws G J R hner 84 1973")</f>
        <v>0</v>
      </c>
      <c r="D4446" s="1">
        <f>hyperlink("http://dspace.library.uu.nl/handle/1874/276869","Utrecht in oude ansichten H J H Knoester 82-84 1969")</f>
        <v>0</v>
      </c>
    </row>
    <row r="4447" spans="2:4">
      <c r="B4447">
        <v>95</v>
      </c>
      <c r="C4447" s="1">
        <f>hyperlink("https://hetutrechtsarchief.nl/collectie/F1BBB394FA835DFE8D940CAFA3946BB8","Altaarstuk voor Pieterskerk 79 ill 1970")</f>
        <v>0</v>
      </c>
      <c r="D4447" s="1">
        <f>hyperlink("http://dspace.library.uu.nl/handle/1874/276870","Altaarstuk voor Pieterskerk 79 1970")</f>
        <v>0</v>
      </c>
    </row>
    <row r="4448" spans="2:4">
      <c r="B4448">
        <v>100</v>
      </c>
      <c r="C4448" s="1">
        <f>hyperlink("https://hetutrechtsarchief.nl/collectie/C5E9C16F2C0154AB819A33800E4D0E0B","Jeugdmemoires uit Utrecht van een oud-minister J J Beyerman 82-83 1970")</f>
        <v>0</v>
      </c>
      <c r="D4448" s="1">
        <f>hyperlink("http://dspace.library.uu.nl/handle/1874/276871","Jeugdmemoires uit Utrecht van een oud-minister J J Beyerman 82-83 1970")</f>
        <v>0</v>
      </c>
    </row>
    <row r="4449" spans="2:4">
      <c r="B4449">
        <v>100</v>
      </c>
      <c r="C4449" s="1">
        <f>hyperlink("https://hetutrechtsarchief.nl/collectie/D3CBBD3D23445ED4A62C41B959F3EFDF","Moedige gouverneur kwam op voor universiteit W Ph Coolhaas 61-63 1970")</f>
        <v>0</v>
      </c>
      <c r="D4449" s="1">
        <f>hyperlink("http://dspace.library.uu.nl/handle/1874/276872","Moedige gouverneur kwam op voor universiteit W Ph Coolhaas 61-63 1970")</f>
        <v>0</v>
      </c>
    </row>
    <row r="4450" spans="2:4">
      <c r="B4450">
        <v>92</v>
      </c>
      <c r="C4450" s="1">
        <f>hyperlink("https://hetutrechtsarchief.nl/collectie/5C0D54F22FE552BCAB241F20034F1AA8","Zestiende-eeuwse ramen van de Klaaskerk P H Damst 15-16 20-21 ill 1970")</f>
        <v>0</v>
      </c>
      <c r="D4450" s="1">
        <f>hyperlink("http://dspace.library.uu.nl/handle/1874/276873","Zestiende-eeuwse ramen van de Klaaskerk P H Damst 15-16 nr 3 p 20-21 1970")</f>
        <v>0</v>
      </c>
    </row>
    <row r="4451" spans="2:4">
      <c r="B4451">
        <v>88</v>
      </c>
      <c r="C4451" s="1">
        <f>hyperlink("https://hetutrechtsarchief.nl/collectie/F0F28F2D69F0559A8C4FB3F540D58AE9","Het kasteel Vredenburg 1 A van Hulzen 84-86 90-92 ill 1970")</f>
        <v>0</v>
      </c>
      <c r="D4451" s="1">
        <f>hyperlink("http://dspace.library.uu.nl/handle/1874/276874","Het kasteel Vredenburg A van Hulzen 84-86 nr 12 p 90-92 1970")</f>
        <v>0</v>
      </c>
    </row>
    <row r="4452" spans="2:4">
      <c r="B4452">
        <v>86</v>
      </c>
      <c r="C4452" s="1">
        <f>hyperlink("https://hetutrechtsarchief.nl/collectie/ECF3065176CD5C24AA20718F39EA0370","De verstolen achterzijde van t Hoogt prent en tekst P de Jong 93-94 ill 1970")</f>
        <v>0</v>
      </c>
      <c r="D4452" s="1">
        <f>hyperlink("http://dspace.library.uu.nl/handle/1874/276875","De verstolen achterzijde van t Hoogt P de Jong 93-94 1970")</f>
        <v>0</v>
      </c>
    </row>
    <row r="4453" spans="2:4">
      <c r="B4453">
        <v>95</v>
      </c>
      <c r="C4453" s="1">
        <f>hyperlink("https://hetutrechtsarchief.nl/collectie/A1BD77EEE9455CCA9445504F410CAF60","Catharijne Convent waardig onderkomen nationaal museum religeuze kunst - K 68-69 1970")</f>
        <v>0</v>
      </c>
      <c r="D4453" s="1">
        <f>hyperlink("http://dspace.library.uu.nl/handle/1874/276876","Catharijne Convent waardig onderkomen nationaal museum religieuze kunst B Kieboom 68-69 1970")</f>
        <v>0</v>
      </c>
    </row>
    <row r="4454" spans="2:4">
      <c r="B4454">
        <v>90</v>
      </c>
      <c r="C4454" s="1">
        <f>hyperlink("https://hetutrechtsarchief.nl/collectie/AA63779CD3515EFE8BA6108B789BFDA3","Degelijke bouw kenmerkte citadel Vredenburg - K 18-20 ill 1970")</f>
        <v>0</v>
      </c>
      <c r="D4454" s="1">
        <f>hyperlink("http://dspace.library.uu.nl/handle/1874/276877","Degelijke bouw kenmerkte citadel Vredenburg B Kieboom 18-20 1970")</f>
        <v>0</v>
      </c>
    </row>
    <row r="4455" spans="2:4">
      <c r="B4455">
        <v>91</v>
      </c>
      <c r="C4455" s="1">
        <f>hyperlink("https://hetutrechtsarchief.nl/collectie/5075CE7B01D85B63B70DEEDB7B500CE6","Kunsthistorisch instituut fraai en praktisch hersteld - K 81 ill 1970")</f>
        <v>0</v>
      </c>
      <c r="D4455" s="1">
        <f>hyperlink("http://dspace.library.uu.nl/handle/1874/276878","Kunsthistorisch Instituut fraai en praktisch hersteld B Kieboom 81 1970")</f>
        <v>0</v>
      </c>
    </row>
    <row r="4456" spans="2:4">
      <c r="B4456">
        <v>80</v>
      </c>
      <c r="C4456" s="1">
        <f>hyperlink("https://hetutrechtsarchief.nl/collectie/8AB2FB894CB654BB93166202AAC5F21A","Recente vondsten in herstelde Pieterskerk W L van Nieuwenhuysen 34-36 ill 1970")</f>
        <v>0</v>
      </c>
      <c r="D4456" s="1">
        <f>hyperlink("http://dspace.library.uu.nl/handle/1874/276879","Recente vondsten in herstelde Pieterskerk B Kieboom 34-36 1970")</f>
        <v>0</v>
      </c>
    </row>
    <row r="4457" spans="2:4">
      <c r="B4457">
        <v>83</v>
      </c>
      <c r="C4457" s="1">
        <f>hyperlink("https://hetutrechtsarchief.nl/collectie/8358FB565D4B5394863513B7AE91C1E0","Restaureren omstreden vak - K 25-26 ill 1970")</f>
        <v>0</v>
      </c>
      <c r="D4457" s="1">
        <f>hyperlink("http://dspace.library.uu.nl/handle/1874/276880","Restaureren een omstreden vak B Kieboom 25-26 1970")</f>
        <v>0</v>
      </c>
    </row>
    <row r="4458" spans="2:4">
      <c r="B4458">
        <v>91</v>
      </c>
      <c r="C4458" s="1">
        <f>hyperlink("https://hetutrechtsarchief.nl/collectie/DF419A2D0CA95C12ADC58C646280271E","Speyart van Woerdenhofje dreigt te verdwijnen - K 45-46 ill 1970")</f>
        <v>0</v>
      </c>
      <c r="D4458" s="1">
        <f>hyperlink("http://dspace.library.uu.nl/handle/1874/276881","Speyart van Woerdenhofje dreigt te verdwijnen B Kieboom 45-46 1970")</f>
        <v>0</v>
      </c>
    </row>
    <row r="4459" spans="2:4">
      <c r="B4459">
        <v>94</v>
      </c>
      <c r="C4459" s="1">
        <f>hyperlink("https://hetutrechtsarchief.nl/collectie/D0F4549D01985211951B870AFF5F0974","Uniek oudheidkundig bodemonderzoek in Nicolaikerk en een stuk geschiedenis - K 74-76 ill 1970")</f>
        <v>0</v>
      </c>
      <c r="D4459" s="1">
        <f>hyperlink("http://dspace.library.uu.nl/handle/1874/276882","Uniek oudheidkundig bodemonderzoek in Nicolaikerk en een stuk geschiedenis B Kieboom 74-76 1970")</f>
        <v>0</v>
      </c>
    </row>
    <row r="4460" spans="2:4">
      <c r="B4460">
        <v>100</v>
      </c>
      <c r="C4460" s="1">
        <f>hyperlink("https://hetutrechtsarchief.nl/collectie/00659D8239645991BAB6E300B6E85FA3","Tempora mutantur A J S van Lier 87-88 1970")</f>
        <v>0</v>
      </c>
      <c r="D4460" s="1">
        <f>hyperlink("http://dspace.library.uu.nl/handle/1874/276883","Tempora mutantur A J S van Lier 87-88 1970")</f>
        <v>0</v>
      </c>
    </row>
    <row r="4461" spans="2:4">
      <c r="B4461">
        <v>89</v>
      </c>
      <c r="C4461" s="1">
        <f>hyperlink("https://hetutrechtsarchief.nl/collectie/3D7F68D5C38058809027DB85E656CD09","Groei van Utrechts oude buitenwijken - T O 57-60 plgr 1970")</f>
        <v>0</v>
      </c>
      <c r="D4461" s="1">
        <f>hyperlink("http://dspace.library.uu.nl/handle/1874/276884","Groei van Utrechts oude buitenwijken T Olthoff 57-60 1970")</f>
        <v>0</v>
      </c>
    </row>
    <row r="4462" spans="2:4">
      <c r="B4462">
        <v>89</v>
      </c>
      <c r="C4462" s="1">
        <f>hyperlink("https://hetutrechtsarchief.nl/collectie/40EBA0D698E65741A228D50E131149E9","De snode overheid Catharijneconvent en Bartholome -gasthuis 54-55 1970")</f>
        <v>0</v>
      </c>
      <c r="D4462" s="1">
        <f>hyperlink("http://dspace.library.uu.nl/handle/1874/276885","De snode overheid Catharijne-convent en Bartholome -gasthuis G G Pekelharing 54-55 1970")</f>
        <v>0</v>
      </c>
    </row>
    <row r="4463" spans="2:4">
      <c r="B4463">
        <v>91</v>
      </c>
      <c r="C4463" s="1">
        <f>hyperlink("https://hetutrechtsarchief.nl/collectie/BA6120F5DA295949B0429B4EAB2513E3","Nuboer was Utrechts laatste stadsheelmeester - JR 65 1970")</f>
        <v>0</v>
      </c>
      <c r="D4463" s="1">
        <f>hyperlink("http://dspace.library.uu.nl/handle/1874/276886","Nuboer was Utrechts laatste stadsheelmeester J Riphaagen 65 1970")</f>
        <v>0</v>
      </c>
    </row>
    <row r="4464" spans="2:4">
      <c r="B4464">
        <v>100</v>
      </c>
      <c r="C4464" s="1">
        <f>hyperlink("https://hetutrechtsarchief.nl/collectie/12344E9249FB57D1A801F1B3F21E6F95","Ook vroeger intens druk verkeer Jan Reeskamp 94-95 1970")</f>
        <v>0</v>
      </c>
      <c r="D4464" s="1">
        <f>hyperlink("http://dspace.library.uu.nl/handle/1874/276887","Ook vroeger intens druk verkeer Jan Reeskamp 94-95 1970")</f>
        <v>0</v>
      </c>
    </row>
    <row r="4465" spans="2:4">
      <c r="B4465">
        <v>100</v>
      </c>
      <c r="C4465" s="1">
        <f>hyperlink("https://hetutrechtsarchief.nl/collectie/B6EDCD22619F5E5DB2ED029F08AF6149","Nicolaas Beets over zijn huis aan de Boothstraat J H Rombach 80 1970")</f>
        <v>0</v>
      </c>
      <c r="D4465" s="1">
        <f>hyperlink("http://dspace.library.uu.nl/handle/1874/276888","Nicolaas Beets over zijn huis aan de Boothstraat J H Rombach 80 1970")</f>
        <v>0</v>
      </c>
    </row>
    <row r="4466" spans="2:4">
      <c r="B4466">
        <v>75</v>
      </c>
      <c r="C4466" s="1">
        <f>hyperlink("https://hetutrechtsarchief.nl/collectie/62E02F9EC9E55C0B9C9DC6ABE61D49EE","Jeugdherinneringen 56 ill 1970")</f>
        <v>0</v>
      </c>
      <c r="D4466" s="1">
        <f>hyperlink("http://dspace.library.uu.nl/handle/1874/276889","Jeugdherinneringen P H A Roskam 56 1970")</f>
        <v>0</v>
      </c>
    </row>
    <row r="4467" spans="2:4">
      <c r="B4467">
        <v>96</v>
      </c>
      <c r="C4467" s="1">
        <f>hyperlink("https://hetutrechtsarchief.nl/collectie/26AC3DCD91F853B5AE8623A50EF5BF55","Vernieuwing van binnenstad J E A L Struick 42-44 ill 1970")</f>
        <v>0</v>
      </c>
      <c r="D4467" s="1">
        <f>hyperlink("http://dspace.library.uu.nl/handle/1874/276890","Vernieuwing van binnenstad J E A L Struick 42-44 1970")</f>
        <v>0</v>
      </c>
    </row>
    <row r="4468" spans="2:4">
      <c r="B4468">
        <v>97</v>
      </c>
      <c r="C4468" s="1">
        <f>hyperlink("https://hetutrechtsarchief.nl/collectie/BBFD6E210D465C8E87C560AAA0D448AD","Dalmatieken van bisschop David van Bourgondi A J van de Ven 13-14 ill 1970")</f>
        <v>0</v>
      </c>
      <c r="D4468" s="1">
        <f>hyperlink("http://dspace.library.uu.nl/handle/1874/276891","Dalmatieken van Bisschop David van Bourgondi A J van de Ven 13-14 1970")</f>
        <v>0</v>
      </c>
    </row>
    <row r="4469" spans="2:4">
      <c r="B4469">
        <v>100</v>
      </c>
      <c r="C4469" s="1">
        <f>hyperlink("https://hetutrechtsarchief.nl/collectie/997F6B5217475B31B47EF4157E83CB29","Nieuw-Clarenburg of Nieuw-Croontgenspoort A J van de Ven 37-38 1970")</f>
        <v>0</v>
      </c>
      <c r="D4469" s="1">
        <f>hyperlink("http://dspace.library.uu.nl/handle/1874/276892","Nieuw-Clarenburg of Nieuw-Croontgenspoort A J van de Ven 37-38 1970")</f>
        <v>0</v>
      </c>
    </row>
    <row r="4470" spans="2:4">
      <c r="B4470">
        <v>87</v>
      </c>
      <c r="C4470" s="1">
        <f>hyperlink("https://hetutrechtsarchief.nl/collectie/69331AA3F3A956C2BD952E6FB43F1520","Het wapen van David en Philips van Bourgondi bisschoppen van Utrecht A J van de Ven 4-5 ill 1970")</f>
        <v>0</v>
      </c>
      <c r="D4470" s="1">
        <f>hyperlink("http://dspace.library.uu.nl/handle/1874/276893","Het wapen van David en Philips van Bourgondi bisschoppen van Utrecht A J van de Ven 4-5 jg 44 1971 nr 3 p 24 1970-1971")</f>
        <v>0</v>
      </c>
    </row>
    <row r="4471" spans="2:4">
      <c r="B4471">
        <v>94</v>
      </c>
      <c r="C4471" s="1">
        <f>hyperlink("https://hetutrechtsarchief.nl/collectie/B12FEAE68632562B890AEC3977B3059A","De meester van Santie E P Polak-de Booy 38-40 portr 1970")</f>
        <v>0</v>
      </c>
      <c r="D4471" s="1">
        <f>hyperlink("http://dspace.library.uu.nl/handle/1874/276894","De meester van Santie E P Polak-de Booy 38-40 1970")</f>
        <v>0</v>
      </c>
    </row>
    <row r="4472" spans="2:4">
      <c r="B4472">
        <v>87</v>
      </c>
      <c r="C4472" s="1">
        <f>hyperlink("https://hetutrechtsarchief.nl/collectie/9215567272F0521D9B4D4381FA2DF5DC","Bourgondische dagen na herstel stadstoren te Wijk bij Duurstede - K N 76-78 ill 1970")</f>
        <v>0</v>
      </c>
      <c r="D4472" s="1">
        <f>hyperlink("http://dspace.library.uu.nl/handle/1874/276895","Bourgondische dagen na herstel stadstoren te Wijk bij Duurstede H W M J Kits Nieuwenkamp 76-78 1970")</f>
        <v>0</v>
      </c>
    </row>
    <row r="4473" spans="2:4">
      <c r="B4473">
        <v>96</v>
      </c>
      <c r="C4473" s="1">
        <f>hyperlink("https://hetutrechtsarchief.nl/collectie/0C52760CD9CB546186E977243858A098","De grote ontginning J A Storm van Leeuwen 6-8 ill 1971")</f>
        <v>0</v>
      </c>
      <c r="D4473" s="1">
        <f>hyperlink("http://dspace.library.uu.nl/handle/1874/276942","De grote ontginning J A Storm van Leeuwen 6-8 1971")</f>
        <v>0</v>
      </c>
    </row>
    <row r="4474" spans="2:4">
      <c r="B4474">
        <v>86</v>
      </c>
      <c r="C4474" s="1">
        <f>hyperlink("https://hetutrechtsarchief.nl/collectie/BBF60A633B8F5AD093B2907E74D8B32C","Lunenburg mooi als weleer - K 1-2 ill 1971")</f>
        <v>0</v>
      </c>
      <c r="D4474" s="1">
        <f>hyperlink("http://dspace.library.uu.nl/handle/1874/276943","Lunenburg mooi als weleer B Kieboom 1-2 1971")</f>
        <v>0</v>
      </c>
    </row>
    <row r="4475" spans="2:4">
      <c r="B4475">
        <v>96</v>
      </c>
      <c r="C4475" s="1">
        <f>hyperlink("https://hetutrechtsarchief.nl/collectie/875BB713515B5E46A3571B35C2828490","Over begrafenisfondsen gesproken E D Veen 4-5 ill 1971")</f>
        <v>0</v>
      </c>
      <c r="D4475" s="1">
        <f>hyperlink("http://dspace.library.uu.nl/handle/1874/276944","Over begrafenisfondsen gesproken E D Veen 4-5 1971")</f>
        <v>0</v>
      </c>
    </row>
    <row r="4476" spans="2:4">
      <c r="B4476">
        <v>73</v>
      </c>
      <c r="C4476" s="1">
        <f>hyperlink("https://hetutrechtsarchief.nl/collectie/60A14C51C8915D98A7415B758D6721DB","Utrechtse bisschopswapens A J van de Ven 24 1971")</f>
        <v>0</v>
      </c>
      <c r="D4476" s="1">
        <f>hyperlink("http://dspace.library.uu.nl/handle/1874/277033","Wapen Utrechtse bisschoppen B C van Beusekom 5 1971")</f>
        <v>0</v>
      </c>
    </row>
    <row r="4477" spans="2:4">
      <c r="B4477">
        <v>96</v>
      </c>
      <c r="C4477" s="1">
        <f>hyperlink("https://hetutrechtsarchief.nl/collectie/1622E33E3E3350DFA482708F97B2777B","Avondklok voor de Middag E G Middag 31-32 ill 1971")</f>
        <v>0</v>
      </c>
      <c r="D4477" s="1">
        <f>hyperlink("http://dspace.library.uu.nl/handle/1874/277319","Avondklok voor de Middag E G Middag 31-32 1971")</f>
        <v>0</v>
      </c>
    </row>
    <row r="4478" spans="2:4">
      <c r="B4478">
        <v>82</v>
      </c>
      <c r="C4478" s="1">
        <f>hyperlink("https://hetutrechtsarchief.nl/collectie/895B782E18AB5793BE800EBBE43BF0C1","Gerrit van Goor moest schrijf- en rekenkunst bewijzen E P Polak-de Booy tekening A B R du Croo de Vries 15-16 tek 1971")</f>
        <v>0</v>
      </c>
      <c r="D4478" s="1">
        <f>hyperlink("http://dspace.library.uu.nl/handle/1874/277320","Gerrit van Goor moest schrijf- en rekenkunst bewijzen E P Polak-de Booy 15-16 1971")</f>
        <v>0</v>
      </c>
    </row>
    <row r="4479" spans="2:4">
      <c r="B4479">
        <v>92</v>
      </c>
      <c r="C4479" s="1">
        <f>hyperlink("https://hetutrechtsarchief.nl/collectie/4C76C006D6985F2287853B166BB055D4","Verbreding van Langbroekerdijk - K 14-15 1971")</f>
        <v>0</v>
      </c>
      <c r="D4479" s="1">
        <f>hyperlink("http://dspace.library.uu.nl/handle/1874/277321","Verbreding van Langbroekerdijk B Kieboom 14-15 1971")</f>
        <v>0</v>
      </c>
    </row>
    <row r="4480" spans="2:4">
      <c r="B4480">
        <v>100</v>
      </c>
      <c r="C4480" s="1">
        <f>hyperlink("https://hetutrechtsarchief.nl/collectie/BFB330748A865B8C90C4908F57937469","Min volk velocip dedienst pril voetbal en een koopje 12-13 1971")</f>
        <v>0</v>
      </c>
      <c r="D4480" s="1">
        <f>hyperlink("http://dspace.library.uu.nl/handle/1874/277322","Min volk velocip dedienst pril voetbal en een koopje 12-13 1971")</f>
        <v>0</v>
      </c>
    </row>
    <row r="4481" spans="2:4">
      <c r="B4481">
        <v>87</v>
      </c>
      <c r="C4481" s="1">
        <f>hyperlink("https://hetutrechtsarchief.nl/collectie/625BDDC3B72B5D5EB99D70045DBC45E4","Sluipmoord op oude panden - K 17-20 ill 1971")</f>
        <v>0</v>
      </c>
      <c r="D4481" s="1">
        <f>hyperlink("http://dspace.library.uu.nl/handle/1874/277323","Sluipmoord op oude panden B Kieboom 17-20 1971")</f>
        <v>0</v>
      </c>
    </row>
    <row r="4482" spans="2:4">
      <c r="B4482">
        <v>95</v>
      </c>
      <c r="C4482" s="1">
        <f>hyperlink("https://hetutrechtsarchief.nl/collectie/8372DD99E135500AA0A74DEE91C156EE","Voor Clarenburg 7 een 110-jarige 100 jaar in een 328-jarige A F E Kipp 33-35 plgr tek 1971")</f>
        <v>0</v>
      </c>
      <c r="D4482" s="1">
        <f>hyperlink("http://dspace.library.uu.nl/handle/1874/277324","Voor Clarenburg 7 een 110-jarige 100 jaar in een 328-jarige A F E Kipp 33-35 1971")</f>
        <v>0</v>
      </c>
    </row>
    <row r="4483" spans="2:4">
      <c r="B4483">
        <v>97</v>
      </c>
      <c r="C4483" s="1">
        <f>hyperlink("https://hetutrechtsarchief.nl/collectie/11A36B05F41F5E9FB40795C09B08ABE2","Trams en verkeersdrukte A J S van Lier 10 1971")</f>
        <v>0</v>
      </c>
      <c r="D4483" s="1">
        <f>hyperlink("http://dspace.library.uu.nl/handle/1874/277325","Trams en verkeersdrukte A J S van Lier 10-11 1971")</f>
        <v>0</v>
      </c>
    </row>
    <row r="4484" spans="2:4">
      <c r="B4484">
        <v>98</v>
      </c>
      <c r="C4484" s="1">
        <f>hyperlink("https://hetutrechtsarchief.nl/collectie/E38C04D36EF153F0B0F303758B79EBF2","Utrechts oude bodemschatten J E A L Struick 28-29 1971")</f>
        <v>0</v>
      </c>
      <c r="D4484" s="1">
        <f>hyperlink("http://dspace.library.uu.nl/handle/1874/277326","Utrechts oudste bodemschatten J E A L Struick 28-29 1971")</f>
        <v>0</v>
      </c>
    </row>
    <row r="4485" spans="2:4">
      <c r="B4485">
        <v>96</v>
      </c>
      <c r="C4485" s="1">
        <f>hyperlink("https://hetutrechtsarchief.nl/collectie/203B1511BFF95A3CA3B12D9D9D580967","Armenzorg in Vleuten E P Polak-de Booy 21-23 ill 1971")</f>
        <v>0</v>
      </c>
      <c r="D4485" s="1">
        <f>hyperlink("http://dspace.library.uu.nl/handle/1874/277327","Armenzorg in Vleuten E P Polak-de Booy 21-23 1971")</f>
        <v>0</v>
      </c>
    </row>
    <row r="4486" spans="2:4">
      <c r="B4486">
        <v>94</v>
      </c>
      <c r="C4486" s="1">
        <f>hyperlink("https://hetutrechtsarchief.nl/collectie/9131F85575AD56559435FE236725864B","De Lijst van Zijst of de Leist van Zeist C L Temminck Groll 25-27 ill plgr 1971")</f>
        <v>0</v>
      </c>
      <c r="D4486" s="1">
        <f>hyperlink("http://dspace.library.uu.nl/handle/1874/277328","De Lijst van Zijst of de Leist van Zeist C L Temminck Groll 25-27 1971")</f>
        <v>0</v>
      </c>
    </row>
    <row r="4487" spans="2:4">
      <c r="B4487">
        <v>87</v>
      </c>
      <c r="C4487" s="1">
        <f>hyperlink("https://hetutrechtsarchief.nl/collectie/821E92DA088053C59CC1ED07402AFAC0","Luchtvervuiling in Baarn - E P D B 40 1971")</f>
        <v>0</v>
      </c>
      <c r="D4487" s="1">
        <f>hyperlink("http://dspace.library.uu.nl/handle/1874/277409","Luchtvervuiling in Baarn E P Polak-de Booy 40 1971")</f>
        <v>0</v>
      </c>
    </row>
    <row r="4488" spans="2:4">
      <c r="B4488">
        <v>85</v>
      </c>
      <c r="C4488" s="1">
        <f>hyperlink("https://hetutrechtsarchief.nl/collectie/183CE6FDF47050788F9F3BB86C0B49F1","Verstoord evenwicht - E P D B 50 1971")</f>
        <v>0</v>
      </c>
      <c r="D4488" s="1">
        <f>hyperlink("http://dspace.library.uu.nl/handle/1874/277410","Verstoord evenwicht E P Polak-de Booy 50 1971")</f>
        <v>0</v>
      </c>
    </row>
    <row r="4489" spans="2:4">
      <c r="B4489">
        <v>90</v>
      </c>
      <c r="C4489" s="1">
        <f>hyperlink("https://hetutrechtsarchief.nl/collectie/B5516021D5B8539EB177DAA03CF7C910","Vecht voor de oorlog even smerig als nu - K 66-68 ill 1971")</f>
        <v>0</v>
      </c>
      <c r="D4489" s="1">
        <f>hyperlink("http://dspace.library.uu.nl/handle/1874/277411","Vecht voor de oorlog even smerig als nu B Kieboom 66-68 1971")</f>
        <v>0</v>
      </c>
    </row>
    <row r="4490" spans="2:4">
      <c r="B4490">
        <v>100</v>
      </c>
      <c r="C4490" s="1">
        <f>hyperlink("https://hetutrechtsarchief.nl/collectie/E6A7BD7EB5ED5A7F8161ACBBE67E8E62","De schoolmeester had eksterogen kosters en ambachtsheren in De Bilt 1715-1744 E P Polak-de Booy 59-61 1971")</f>
        <v>0</v>
      </c>
      <c r="D4490" s="1">
        <f>hyperlink("http://dspace.library.uu.nl/handle/1874/277412","De schoolmeester had eksterogen kosters en ambachtsheren in De Bilt 1715-1744 E P Polak-de Booy 59-61 1971")</f>
        <v>0</v>
      </c>
    </row>
    <row r="4491" spans="2:4">
      <c r="B4491">
        <v>87</v>
      </c>
      <c r="C4491" s="1">
        <f>hyperlink("https://hetutrechtsarchief.nl/collectie/442E895E857958CE991F6B7851AF31F8","Amelisweerd en het gelijk - K 73-75 ill 1971")</f>
        <v>0</v>
      </c>
      <c r="D4491" s="1">
        <f>hyperlink("http://dspace.library.uu.nl/handle/1874/277413","Amelisweerd en het gelijk B Kieboom 73-75 1971")</f>
        <v>0</v>
      </c>
    </row>
    <row r="4492" spans="2:4">
      <c r="B4492">
        <v>100</v>
      </c>
      <c r="C4492" s="1">
        <f>hyperlink("https://hetutrechtsarchief.nl/collectie/2A2F538B2597514C994682BC816C9D71","Briefwisseling over Rijsenburgse kousenfabriek Wim Harzing 55-56 1971")</f>
        <v>0</v>
      </c>
      <c r="D4492" s="1">
        <f>hyperlink("http://dspace.library.uu.nl/handle/1874/277414","Briefwisseling over Rijsenburgse kousenfabriek Wim Harzing 55-56 1971")</f>
        <v>0</v>
      </c>
    </row>
    <row r="4493" spans="2:4">
      <c r="B4493">
        <v>95</v>
      </c>
      <c r="C4493" s="1">
        <f>hyperlink("https://hetutrechtsarchief.nl/collectie/45AF48BDED4554D584DFB30CF3174647","Het Huis ter Heide P H Damst 62-64 ill 1971")</f>
        <v>0</v>
      </c>
      <c r="D4493" s="1">
        <f>hyperlink("http://dspace.library.uu.nl/handle/1874/277415","Het Huis ter Heide P H Damst 62-64 1971")</f>
        <v>0</v>
      </c>
    </row>
    <row r="4494" spans="2:4">
      <c r="B4494">
        <v>55</v>
      </c>
      <c r="C4494" s="1">
        <f>hyperlink("https://hetutrechtsarchief.nl/collectie/A6ADA426E41D5A3DA3D4A5E8C0C2ED5B","Hervormde kerk te Benschop gerestaureerd J G M Boon 134-135 1959")</f>
        <v>0</v>
      </c>
      <c r="D4494" s="1">
        <f>hyperlink("http://dspace.library.uu.nl/handle/1874/277416","Poortje kasteel Groenestein gerestaureerd 45 1971")</f>
        <v>0</v>
      </c>
    </row>
    <row r="4495" spans="2:4">
      <c r="B4495">
        <v>100</v>
      </c>
      <c r="C4495" s="1">
        <f>hyperlink("https://hetutrechtsarchief.nl/collectie/A216AF3C83325E4D82B001467E63434D","Onbekende buitenplaats te Loenersloot J Belonje 61-62 1971")</f>
        <v>0</v>
      </c>
      <c r="D4495" s="1">
        <f>hyperlink("http://dspace.library.uu.nl/handle/1874/277417","Onbekende buitenplaats te Loenersloot J Belonje 61-62 1971")</f>
        <v>0</v>
      </c>
    </row>
    <row r="4496" spans="2:4">
      <c r="B4496">
        <v>94</v>
      </c>
      <c r="C4496" s="1">
        <f>hyperlink("https://hetutrechtsarchief.nl/collectie/2831A81A84C95B73AE78A4B7C8FABD39","Oud-Zuilen voert actie voor behoud van laatste panoven - K 39 1971")</f>
        <v>0</v>
      </c>
      <c r="D4496" s="1">
        <f>hyperlink("http://dspace.library.uu.nl/handle/1874/277418","Oud-Zuilen voert actie voor behoud van laatste panoven B Kieboom 39 1971")</f>
        <v>0</v>
      </c>
    </row>
    <row r="4497" spans="2:4">
      <c r="B4497">
        <v>96</v>
      </c>
      <c r="C4497" s="1">
        <f>hyperlink("https://hetutrechtsarchief.nl/collectie/557A731A203C5BBCBFE97319A6BB6E11","Boerenwijsheid in Soest E Heupers 53-54 ill 1971")</f>
        <v>0</v>
      </c>
      <c r="D4497" s="1">
        <f>hyperlink("http://dspace.library.uu.nl/handle/1874/277419","Boerenwijsheid in Soest E Heupers 53-54 1971")</f>
        <v>0</v>
      </c>
    </row>
    <row r="4498" spans="2:4">
      <c r="B4498">
        <v>96</v>
      </c>
      <c r="C4498" s="1">
        <f>hyperlink("https://hetutrechtsarchief.nl/collectie/E621BB699C5A50B1AA5D020E7046D446","V r het front van Utrecht J Belonje 36-37 ill 1971")</f>
        <v>0</v>
      </c>
      <c r="D4498" s="1">
        <f>hyperlink("http://dspace.library.uu.nl/handle/1874/277420","V r het front van Utrecht J Belonje 36-37 1971")</f>
        <v>0</v>
      </c>
    </row>
    <row r="4499" spans="2:4">
      <c r="B4499">
        <v>98</v>
      </c>
      <c r="C4499" s="1">
        <f>hyperlink("https://hetutrechtsarchief.nl/collectie/77830F07A34156AE8526C5C6D5EA0960","Utrecht anderhalve eeuw bakermat van het diergeneeskundig onderwijs J van Binsbergen 82-84 ill 1971")</f>
        <v>0</v>
      </c>
      <c r="D4499" s="1">
        <f>hyperlink("http://dspace.library.uu.nl/handle/1874/277421","Utrecht anderhalve eeuw bakermat van het diergeneeskundig onderwijs J van Binsbergen 82-84 1971")</f>
        <v>0</v>
      </c>
    </row>
    <row r="4500" spans="2:4">
      <c r="B4500">
        <v>95</v>
      </c>
      <c r="C4500" s="1">
        <f>hyperlink("https://hetutrechtsarchief.nl/collectie/332AE6F5CD065A6C91196528D21A4622","Zes panden van Willem Arntsz Stichting zijn gerestaureerd C v d Braber 85-86 ill 1971")</f>
        <v>0</v>
      </c>
      <c r="D4500" s="1">
        <f>hyperlink("http://dspace.library.uu.nl/handle/1874/277422","Zes panden van Willem Arntsz Stichting zijn gerestaureerd C van den Braber 85-86 1971")</f>
        <v>0</v>
      </c>
    </row>
    <row r="4501" spans="2:4">
      <c r="B4501">
        <v>62</v>
      </c>
      <c r="C4501" s="1">
        <f>hyperlink("https://hetutrechtsarchief.nl/collectie/215D0C67E1F555CAA3510BBB69449689","Utrechtse oorkonden in Holland J C Kort 124-133 1974")</f>
        <v>0</v>
      </c>
      <c r="D4501" s="1">
        <f>hyperlink("http://dspace.library.uu.nl/handle/1874/277423","Utrecht als een hoofdpunt in Holland J G van Cittert-Eymers 72 1971")</f>
        <v>0</v>
      </c>
    </row>
    <row r="4502" spans="2:4">
      <c r="B4502">
        <v>87</v>
      </c>
      <c r="C4502" s="1">
        <f>hyperlink("https://hetutrechtsarchief.nl/collectie/71080342A4C25D6B919458BC44E11DAA","Prentenarchief te weinig bekend - K 87-88 portr 1971")</f>
        <v>0</v>
      </c>
      <c r="D4502" s="1">
        <f>hyperlink("http://dspace.library.uu.nl/handle/1874/277424","Prentenarchief te weinig bekend B Kieboom 87-88 1971")</f>
        <v>0</v>
      </c>
    </row>
    <row r="4503" spans="2:4">
      <c r="B4503">
        <v>88</v>
      </c>
      <c r="C4503" s="1">
        <f>hyperlink("https://hetutrechtsarchief.nl/collectie/3BE22B48DBA15C699FAE9A4AAFF4E661","Het ruikt er nog naar paarden - K 46-47 ill 1971")</f>
        <v>0</v>
      </c>
      <c r="D4503" s="1">
        <f>hyperlink("http://dspace.library.uu.nl/handle/1874/277425","Het ruikt er nog naar paarden B Kieboom 46-47 1971")</f>
        <v>0</v>
      </c>
    </row>
    <row r="4504" spans="2:4">
      <c r="B4504">
        <v>92</v>
      </c>
      <c r="C4504" s="1">
        <f>hyperlink("https://hetutrechtsarchief.nl/collectie/1C7B42DBE23A511D81279C831F507765","Tekening Jan de Beyer staat opnieuw model voor restauratie - K 70-72 ill 1971")</f>
        <v>0</v>
      </c>
      <c r="D4504" s="1">
        <f>hyperlink("http://dspace.library.uu.nl/handle/1874/277426","Tekening Jan de Beyer staat opnieuw model voor restauratie B Kieboom 70-72 1971")</f>
        <v>0</v>
      </c>
    </row>
    <row r="4505" spans="2:4">
      <c r="B4505">
        <v>84</v>
      </c>
      <c r="C4505" s="1">
        <f>hyperlink("https://hetutrechtsarchief.nl/collectie/688A5147C04357B9BBC923C7DF077595","IJver en terughoudendheid - K 90-91 ill 1971")</f>
        <v>0</v>
      </c>
      <c r="D4505" s="1">
        <f>hyperlink("http://dspace.library.uu.nl/handle/1874/277427","IJver en terughoudendheid B Kieboom 90-92 1971")</f>
        <v>0</v>
      </c>
    </row>
    <row r="4506" spans="2:4">
      <c r="B4506">
        <v>100</v>
      </c>
      <c r="C4506" s="1">
        <f>hyperlink("https://hetutrechtsarchief.nl/collectie/28A6DD4C30515BB0A41EC927C3D974F5","De oude binnenstad aangevreten R C J van Maanen 38 1971")</f>
        <v>0</v>
      </c>
      <c r="D4506" s="1">
        <f>hyperlink("http://dspace.library.uu.nl/handle/1874/277428","De oude binnenstad aangevreten R C J van Maanen 38 1971")</f>
        <v>0</v>
      </c>
    </row>
    <row r="4507" spans="2:4">
      <c r="B4507">
        <v>95</v>
      </c>
      <c r="C4507" s="1">
        <f>hyperlink("https://hetutrechtsarchief.nl/collectie/3A2FBA0843D355E689FF4F395A2EFCA1","Nieuw licht op n oude woonwijk J E A L Struick 41-45 ill 1971")</f>
        <v>0</v>
      </c>
      <c r="D4507" s="1">
        <f>hyperlink("http://dspace.library.uu.nl/handle/1874/277429","Nieuw licht op n oude woonwijk J E A L Struick 41-44 1971")</f>
        <v>0</v>
      </c>
    </row>
    <row r="4508" spans="2:4">
      <c r="B4508">
        <v>100</v>
      </c>
      <c r="C4508" s="1">
        <f>hyperlink("https://hetutrechtsarchief.nl/collectie/866AC94F6DD85C38842B6F3615A38260","650 jaar Domtoren J E A L Struick 45 1971")</f>
        <v>0</v>
      </c>
      <c r="D4508" s="1">
        <f>hyperlink("http://dspace.library.uu.nl/handle/1874/277430","650 Jaar Domtoren J E A L Struick 45 1971")</f>
        <v>0</v>
      </c>
    </row>
    <row r="4509" spans="2:4">
      <c r="B4509">
        <v>96</v>
      </c>
      <c r="C4509" s="1">
        <f>hyperlink("https://hetutrechtsarchief.nl/collectie/CF37FCB6395B52A2847D9035B6513D67","De terugkeer van Trijn J E A L Struick 89-90 ill 1971")</f>
        <v>0</v>
      </c>
      <c r="D4509" s="1">
        <f>hyperlink("http://dspace.library.uu.nl/handle/1874/277431","De terugkeer van Trijn J E A L Struick 89-90 1971")</f>
        <v>0</v>
      </c>
    </row>
    <row r="4510" spans="2:4">
      <c r="B4510">
        <v>95</v>
      </c>
      <c r="C4510" s="1">
        <f>hyperlink("https://hetutrechtsarchief.nl/collectie/CC0A082C754359B2920A848E078D6A73","Het gebouw de Utrecht E D Veen 79-80 ill 1971")</f>
        <v>0</v>
      </c>
      <c r="D4510" s="1">
        <f>hyperlink("http://dspace.library.uu.nl/handle/1874/277432","Het gebouw de Utrecht E D Veen 79-80 1971")</f>
        <v>0</v>
      </c>
    </row>
    <row r="4511" spans="2:4">
      <c r="B4511">
        <v>55</v>
      </c>
      <c r="C4511" s="1">
        <f>hyperlink("https://hetutrechtsarchief.nl/collectie/12344E9249FB57D1A801F1B3F21E6F95","Ook vroeger intens druk verkeer Jan Reeskamp 94-95 1970")</f>
        <v>0</v>
      </c>
      <c r="D4511" s="1">
        <f>hyperlink("http://dspace.library.uu.nl/handle/1874/277433","Vleutense kerk heropend B Kieboom 94-95 1971")</f>
        <v>0</v>
      </c>
    </row>
    <row r="4512" spans="2:4">
      <c r="B4512">
        <v>100</v>
      </c>
      <c r="C4512" s="1">
        <f>hyperlink("https://hetutrechtsarchief.nl/collectie/99BB2284184757429618CF89F253C21F","Kort levensberigt van P C Bor 211 -214 1835")</f>
        <v>0</v>
      </c>
      <c r="D4512" s="1">
        <f>hyperlink("http://dspace.library.uu.nl/handle/1874/278017","Kort levensberigt van P C Bor 211 -214 1835")</f>
        <v>0</v>
      </c>
    </row>
    <row r="4513" spans="2:4">
      <c r="B4513">
        <v>78</v>
      </c>
      <c r="C4513" s="1">
        <f>hyperlink("https://hetutrechtsarchief.nl/collectie/273D29B28E4C5ED6840E24467FF8E85F","De St Mariakerk 199 -210 1 pl 311 -328 1 uitvouwb pl 1835")</f>
        <v>0</v>
      </c>
      <c r="D4513" s="1">
        <f>hyperlink("http://dspace.library.uu.nl/handle/1874/278018","De St Mariakerk 199 -210 311 -326 1835")</f>
        <v>0</v>
      </c>
    </row>
    <row r="4514" spans="2:4">
      <c r="B4514">
        <v>100</v>
      </c>
      <c r="C4514" s="1">
        <f>hyperlink("https://hetutrechtsarchief.nl/collectie/522CC2A9BF6D54D2986793E5F9E4489F","Iets over de provincie en stad Utrecht 9 -18 1835")</f>
        <v>0</v>
      </c>
      <c r="D4514" s="1">
        <f>hyperlink("http://dspace.library.uu.nl/handle/1874/278019","Iets over de provincie en stad Utrecht 9 -18 1835")</f>
        <v>0</v>
      </c>
    </row>
    <row r="4515" spans="2:4">
      <c r="B4515">
        <v>90</v>
      </c>
      <c r="C4515" s="1">
        <f>hyperlink("https://hetutrechtsarchief.nl/collectie/BF8009659D8C5ED5BD321BE805801D58","Iets over het huis Brandaa Paus Adriaan op de oude gracht alhier J S 76 -81 1835")</f>
        <v>0</v>
      </c>
      <c r="D4515" s="1">
        <f>hyperlink("http://dspace.library.uu.nl/handle/1874/278020","Iets over het huis Brandaa Paus Adriaan op de Oude Gracht alhier J Scheltema 76 -80 109 -117 1835")</f>
        <v>0</v>
      </c>
    </row>
    <row r="4516" spans="2:4">
      <c r="B4516">
        <v>60</v>
      </c>
      <c r="C4516" s="1">
        <f>hyperlink("https://hetutrechtsarchief.nl/collectie/BA03ABDF1E2750CEADAA2D62668B29B5","Iets over de bouwgeschiedenis en het kunstbezit van de Chartroise te Utrecht H J J Scholtens 47-57 1953")</f>
        <v>0</v>
      </c>
      <c r="D4516" s="1">
        <f>hyperlink("http://dspace.library.uu.nl/handle/1874/278021","I Iets over den naam Utrecht II Over het wapen van de stad Utrecht Jacobus Scheltema 24 -26 27-28 1835")</f>
        <v>0</v>
      </c>
    </row>
    <row r="4517" spans="2:4">
      <c r="B4517">
        <v>99</v>
      </c>
      <c r="C4517" s="1">
        <f>hyperlink("https://hetutrechtsarchief.nl/collectie/184486191F245E518D7083124364D598","Vreemd geschenk van de regering van Utrecht aan eene jonge Princes in 1569 - S 214-215 1835")</f>
        <v>0</v>
      </c>
      <c r="D4517" s="1">
        <f>hyperlink("http://dspace.library.uu.nl/handle/1874/278022","Vreemd geschenk van de regering van Utrecht aan eene jonge princes in 1569 S 214-215 1835")</f>
        <v>0</v>
      </c>
    </row>
    <row r="4518" spans="2:4">
      <c r="B4518">
        <v>82</v>
      </c>
      <c r="C4518" s="1">
        <f>hyperlink("https://hetutrechtsarchief.nl/collectie/40CE716C340A5A63836BC5D50A7E8DCB","Binnen Utrecht dit jaar 1671 waren deze die carossen hielden 177 -178 1835")</f>
        <v>0</v>
      </c>
      <c r="D4518" s="1">
        <f>hyperlink("http://dspace.library.uu.nl/handle/1874/278023","Binnen Utrecht dit jaar waren deze die carossen G J Beeldsnijder van Voshol 177 -178 1835")</f>
        <v>0</v>
      </c>
    </row>
    <row r="4519" spans="2:4">
      <c r="B4519">
        <v>50</v>
      </c>
      <c r="C4519" s="1">
        <f>hyperlink("https://hetutrechtsarchief.nl/collectie/3FE3930D7FE2558EBBDE94A877786E45","Utrechtsche gevelsteenen en -opschriften - C C v d G 19-22 34-38 45-46 51-54 59-62 1928")</f>
        <v>0</v>
      </c>
      <c r="D4519" s="1">
        <f>hyperlink("http://dspace.library.uu.nl/handle/1874/278024","Lijst der verkochte huizen lustplaatsen enz 54 -55 104 149 -150 197 -198 246 310 354 402 449 -450 496 -498 546 592 1835")</f>
        <v>0</v>
      </c>
    </row>
    <row r="4520" spans="2:4">
      <c r="B4520">
        <v>72</v>
      </c>
      <c r="C4520" s="1">
        <f>hyperlink("https://hetutrechtsarchief.nl/collectie/3918457EC54658D4A65977D01A663229","De Domstoren 67 -75 2 pl 1835")</f>
        <v>0</v>
      </c>
      <c r="D4520" s="1">
        <f>hyperlink("http://dspace.library.uu.nl/handle/1874/278026","De Domstoren te Utrecht 66 -75 1835")</f>
        <v>0</v>
      </c>
    </row>
    <row r="4521" spans="2:4">
      <c r="B4521">
        <v>100</v>
      </c>
      <c r="C4521" s="1">
        <f>hyperlink("https://hetutrechtsarchief.nl/collectie/41D86754352453CB80D7459FC9CC4028","Spaarbank J A 168 -176 291 -294 1835")</f>
        <v>0</v>
      </c>
      <c r="D4521" s="1">
        <f>hyperlink("http://dspace.library.uu.nl/handle/1874/278027","Spaarbank J A 168 -176 291 -294 1835")</f>
        <v>0</v>
      </c>
    </row>
    <row r="4522" spans="2:4">
      <c r="B4522">
        <v>100</v>
      </c>
      <c r="C4522" s="1">
        <f>hyperlink("https://hetutrechtsarchief.nl/collectie/82453C7F0FD25494A2E6256F5AE2C646","Het vergulde poortje 105 -108 1835")</f>
        <v>0</v>
      </c>
      <c r="D4522" s="1">
        <f>hyperlink("http://dspace.library.uu.nl/handle/1874/278029","Het Vergulde Poortje 105 -108 1835")</f>
        <v>0</v>
      </c>
    </row>
    <row r="4523" spans="2:4">
      <c r="B4523">
        <v>86</v>
      </c>
      <c r="C4523" s="1">
        <f>hyperlink("https://hetutrechtsarchief.nl/collectie/C1FE4CF044DB5B4AB5069E25D90B4BC2","Het kasteel Vredenburg 131 -132 1936")</f>
        <v>0</v>
      </c>
      <c r="D4523" s="1">
        <f>hyperlink("http://dspace.library.uu.nl/handle/1874/278030","Het Kasteel Vredenburg 19 -23 1835")</f>
        <v>0</v>
      </c>
    </row>
    <row r="4524" spans="2:4">
      <c r="B4524">
        <v>96</v>
      </c>
      <c r="C4524" s="1">
        <f>hyperlink("https://hetutrechtsarchief.nl/collectie/1BE54CDB177A5B21A7204ADB81D61642","Oorsprong en korte geschiedenis van de bibliotheek der Utrechtsche Hoogeschool F B A 151 -167 1 pl 1835")</f>
        <v>0</v>
      </c>
      <c r="D4524" s="1">
        <f>hyperlink("http://dspace.library.uu.nl/handle/1874/278031","Oorsprong en korte geschiedenis van de Bibliotheek der Utrechtsche Hoogeschool F B Ader 151 -167 1835")</f>
        <v>0</v>
      </c>
    </row>
    <row r="4525" spans="2:4">
      <c r="B4525">
        <v>90</v>
      </c>
      <c r="C4525" s="1">
        <f>hyperlink("https://hetutrechtsarchief.nl/collectie/C40E0900785E55598BF165058F7A1331","Huldiging der Utrechtsche bisschoppen inzonderheid van Hendrik van Beijeren benevens de overdragt van het wereldlijk gezag aan Keizer Karel V 355 -371 1835")</f>
        <v>0</v>
      </c>
      <c r="D4525" s="1">
        <f>hyperlink("http://dspace.library.uu.nl/handle/1874/278065","Huldiging der Utrechtsche bisschoppen inzonderheid van Hendrik van Beijeren benevens de overdragt van het wereldlijk gezag aan keizer Karel V F van Bevervoorden tot Oldemeule 355 -371 1835")</f>
        <v>0</v>
      </c>
    </row>
    <row r="4526" spans="2:4">
      <c r="B4526">
        <v>87</v>
      </c>
      <c r="C4526" s="1">
        <f>hyperlink("https://hetutrechtsarchief.nl/collectie/94F05D5D0E195EC6A8B9F9FA10B9AFE1","Provincie Utrecht 403 -420 1 pl 1835")</f>
        <v>0</v>
      </c>
      <c r="D4526" s="1">
        <f>hyperlink("http://dspace.library.uu.nl/handle/1874/278066","Provincie Utrecht 403 -420 506 -518 1835")</f>
        <v>0</v>
      </c>
    </row>
    <row r="4527" spans="2:4">
      <c r="B4527">
        <v>99</v>
      </c>
      <c r="C4527" s="1">
        <f>hyperlink("https://hetutrechtsarchief.nl/collectie/24B464C2092454CABEDFCE51209F1207","Slag bij Koeverden in het jaar 1227 onder Otto van der Lippe XXXIV Bisschop van Utrecht - N 547 -569 1835")</f>
        <v>0</v>
      </c>
      <c r="D4527" s="1">
        <f>hyperlink("http://dspace.library.uu.nl/handle/1874/278067","Slag bij Koeverden in het jaar 1227 onder Otto van der Lippe XXXIV bisschop van Utrecht N 547 -569 1835")</f>
        <v>0</v>
      </c>
    </row>
    <row r="4528" spans="2:4">
      <c r="B4528">
        <v>99</v>
      </c>
      <c r="C4528" s="1">
        <f>hyperlink("https://hetutrechtsarchief.nl/collectie/FEAD9BC99D4F5D6580EC94AD6F99A679","Overzigt van de voornaamste verfraaijingen veranderingen en verbeteringen welke sedert den jare 1820 te Utrecht zijn daargesteld Jacobus Scheltema 249 -290 1835")</f>
        <v>0</v>
      </c>
      <c r="D4528" s="1">
        <f>hyperlink("http://dspace.library.uu.nl/handle/1874/278068","Overzigt van de voornaamste verfraaijingen veranderingen en verbeteringen welke sedert den jare 1820 te Utrecht zijn daargesteld Jacobus Scheltema 247 -290 1835")</f>
        <v>0</v>
      </c>
    </row>
    <row r="4529" spans="2:4">
      <c r="B4529">
        <v>100</v>
      </c>
      <c r="C4529" s="1">
        <f>hyperlink("https://hetutrechtsarchief.nl/collectie/3F056F1B611C5B718857BCA95BCAB036","Iets aangaande den toestand der nijverheid te Utrecht in het jaar 1778 433 -434 1835")</f>
        <v>0</v>
      </c>
      <c r="D4529" s="1">
        <f>hyperlink("http://dspace.library.uu.nl/handle/1874/278069","Iets aangaande den toestand der nijverheid te Utrecht in het jaar 1778 433 -434 1835")</f>
        <v>0</v>
      </c>
    </row>
    <row r="4530" spans="2:4">
      <c r="B4530">
        <v>76</v>
      </c>
      <c r="C4530" s="1">
        <f>hyperlink("https://hetutrechtsarchief.nl/collectie/1F3E559F818356AC8D3FC56FAE6F5469","De stad en burgt Utrecht in de VIIe eeuw volgens het kaartje 499 -505 uitvouwb krt 1835")</f>
        <v>0</v>
      </c>
      <c r="D4530" s="1">
        <f>hyperlink("http://dspace.library.uu.nl/handle/1874/278070","De stad en burgt Utrecht in de VII eeuw 499 -505 1835")</f>
        <v>0</v>
      </c>
    </row>
    <row r="4531" spans="2:4">
      <c r="B4531">
        <v>94</v>
      </c>
      <c r="C4531" s="1">
        <f>hyperlink("https://hetutrechtsarchief.nl/collectie/D232D905A3F256BDB38B308E28887762","Anna Maria Schuurman 570 -574 1835")</f>
        <v>0</v>
      </c>
      <c r="D4531" s="1">
        <f>hyperlink("http://dspace.library.uu.nl/handle/1874/278071","Anna Maria van Schuurman 570 -574 1835")</f>
        <v>0</v>
      </c>
    </row>
    <row r="4532" spans="2:4">
      <c r="B4532">
        <v>96</v>
      </c>
      <c r="C4532" s="1">
        <f>hyperlink("https://hetutrechtsarchief.nl/collectie/395E24BE05E15A4DBEFD6D69ECD38242","Mr Jacobus Scheltema F B A 451 -463 1835")</f>
        <v>0</v>
      </c>
      <c r="D4532" s="1">
        <f>hyperlink("http://dspace.library.uu.nl/handle/1874/278072","Mr Jacobus Scheltema F B Ader 451 -463 1835")</f>
        <v>0</v>
      </c>
    </row>
    <row r="4533" spans="2:4">
      <c r="B4533">
        <v>80</v>
      </c>
      <c r="C4533" s="1">
        <f>hyperlink("https://hetutrechtsarchief.nl/collectie/D22BE3F8454B53049478DFC396852AC2","De Graaf van Leicester in Utrecht - W 1-40 1836")</f>
        <v>0</v>
      </c>
      <c r="D4533" s="1">
        <f>hyperlink("http://dspace.library.uu.nl/handle/1874/278073","De Graaf van Leicester in Utrecht H M A J van Asch van Wijck 1-40 1836")</f>
        <v>0</v>
      </c>
    </row>
    <row r="4534" spans="2:4">
      <c r="B4534">
        <v>82</v>
      </c>
      <c r="C4534" s="1">
        <f>hyperlink("https://hetutrechtsarchief.nl/collectie/F54B7CB2B925522CB8411779A5054D9E","Oorsprong van den naam Utrecht 110 -113 1836")</f>
        <v>0</v>
      </c>
      <c r="D4534" s="1">
        <f>hyperlink("http://dspace.library.uu.nl/handle/1874/278116","Oorsprong van den naam Utrecht L Ph van den Bergh 110 -113 1836")</f>
        <v>0</v>
      </c>
    </row>
    <row r="4535" spans="2:4">
      <c r="B4535">
        <v>100</v>
      </c>
      <c r="C4535" s="1">
        <f>hyperlink("https://hetutrechtsarchief.nl/collectie/E1D9BA89DDA65279B5E79DE13D5EAED7","Dienstmannen van den Bisschop van Utrecht 114 -116 1836")</f>
        <v>0</v>
      </c>
      <c r="D4535" s="1">
        <f>hyperlink("http://dspace.library.uu.nl/handle/1874/278118","Dienstmannen van den Bisschop van Utrecht 114 -116 1836")</f>
        <v>0</v>
      </c>
    </row>
    <row r="4536" spans="2:4">
      <c r="B4536">
        <v>90</v>
      </c>
      <c r="C4536" s="1">
        <f>hyperlink("https://hetutrechtsarchief.nl/collectie/337C5413971F512B8AFE7C4F145202E5","Geschiedenis der veeartsenijkunde en beschrijving der inrigting van s RIjks Vee-Artsenijschool te Utrecht Alexander Numan 161 -191 1 uitvouwb pl 1836")</f>
        <v>0</v>
      </c>
      <c r="D4536" s="1">
        <f>hyperlink("http://dspace.library.uu.nl/handle/1874/278119","Geschiedenis der vee-artsenijkunde en beschrijving der inrigting van s Rijks Vee-artsenijschool te Utrecht A Numan 161 -188 1836")</f>
        <v>0</v>
      </c>
    </row>
    <row r="4537" spans="2:4">
      <c r="B4537">
        <v>91</v>
      </c>
      <c r="C4537" s="1">
        <f>hyperlink("https://hetutrechtsarchief.nl/collectie/A699BD85F9435311B1108BDCD94EFD9A","De Plompetoren 41 -42 1 pl 1836")</f>
        <v>0</v>
      </c>
      <c r="D4537" s="1">
        <f>hyperlink("http://dspace.library.uu.nl/handle/1874/278120","De Plompetoren 41 -42 1836")</f>
        <v>0</v>
      </c>
    </row>
    <row r="4538" spans="2:4">
      <c r="B4538">
        <v>100</v>
      </c>
      <c r="C4538" s="1">
        <f>hyperlink("https://hetutrechtsarchief.nl/collectie/2060E4800FF856E4B6D4C569A0E76D4A","Dagverhaal van het gebeurde gedurende het gijzelaarschap van de heeren W E de Perponcher Ph Ram C Singendonck en N W Buddingh 49 -73 1836")</f>
        <v>0</v>
      </c>
      <c r="D4538" s="1">
        <f>hyperlink("http://dspace.library.uu.nl/handle/1874/278121","Dagverhaal van het gebeurde gedurende het gijzelaarschap van de heeren W E de Perponcher Ph Ram C Singendonck en N W Buddingh 49 -73 1836")</f>
        <v>0</v>
      </c>
    </row>
    <row r="4539" spans="2:4">
      <c r="B4539">
        <v>55</v>
      </c>
      <c r="C4539" s="1">
        <f>hyperlink("https://hetutrechtsarchief.nl/collectie/BA05B38BFA9D590E9F0A382DDE750C5E","Verbeteringen aan de Domkerk 117-118 1860")</f>
        <v>0</v>
      </c>
      <c r="D4539" s="1">
        <f>hyperlink("http://dspace.library.uu.nl/handle/1874/278122","Kerkelijke statistiek 117 -118 1836")</f>
        <v>0</v>
      </c>
    </row>
    <row r="4540" spans="2:4">
      <c r="B4540">
        <v>92</v>
      </c>
      <c r="C4540" s="1">
        <f>hyperlink("https://hetutrechtsarchief.nl/collectie/B5FF2689DC89502D90A1ECC7132DB0F5","St Jobs Gasthuis 89 -95 1 pl 1836")</f>
        <v>0</v>
      </c>
      <c r="D4540" s="1">
        <f>hyperlink("http://dspace.library.uu.nl/handle/1874/278123","St Jobs gasthuis 89 -95 1836")</f>
        <v>0</v>
      </c>
    </row>
    <row r="4541" spans="2:4">
      <c r="B4541">
        <v>93</v>
      </c>
      <c r="C4541" s="1">
        <f>hyperlink("https://hetutrechtsarchief.nl/collectie/33C356F6BE7E53A8B9D8C9BC6B8B5DC4","Hoogeschool te Utrecht 96 -109 125 -139 421 -444 pl plgr 1836")</f>
        <v>0</v>
      </c>
      <c r="D4541" s="1">
        <f>hyperlink("http://dspace.library.uu.nl/handle/1874/278124","Hoogeschool te Utrecht 96 -109 125 -139 421 -444 1836")</f>
        <v>0</v>
      </c>
    </row>
    <row r="4542" spans="2:4">
      <c r="B4542">
        <v>67</v>
      </c>
      <c r="C4542" s="1">
        <f>hyperlink("https://hetutrechtsarchief.nl/collectie/A280AFE07805548C8B73B981F39CD9CF","Fresenburg - W 197 -204 1 pl 1836")</f>
        <v>0</v>
      </c>
      <c r="D4542" s="1">
        <f>hyperlink("http://dspace.library.uu.nl/handle/1874/278125","Fresenburg H M A J van Asch van Wijck 197 -204 1836")</f>
        <v>0</v>
      </c>
    </row>
    <row r="4543" spans="2:4">
      <c r="B4543">
        <v>94</v>
      </c>
      <c r="C4543" s="1">
        <f>hyperlink("https://hetutrechtsarchief.nl/collectie/39ED63B49C465D9BB2021876DD77B90E","Herinneringen aan oude Utrechtsche dichters L P C v d B 285 -286 1836")</f>
        <v>0</v>
      </c>
      <c r="D4543" s="1">
        <f>hyperlink("http://dspace.library.uu.nl/handle/1874/278184","Herinneringen aan oude Utrechtsche dichters L Ph C van den Bergh 285 -286 1836")</f>
        <v>0</v>
      </c>
    </row>
    <row r="4544" spans="2:4">
      <c r="B4544">
        <v>56</v>
      </c>
      <c r="C4544" s="1">
        <f>hyperlink("https://hetutrechtsarchief.nl/collectie/0CE853DFD0B25817AF7A493BFD430701","Rakende het modderen in de Vecht M A Dukes-Greup 60-62 1983")</f>
        <v>0</v>
      </c>
      <c r="D4544" s="1">
        <f>hyperlink("http://dspace.library.uu.nl/handle/1874/278185","Wapenborden der gilden M M S 260-262 1836")</f>
        <v>0</v>
      </c>
    </row>
    <row r="4545" spans="2:4">
      <c r="B4545">
        <v>52</v>
      </c>
      <c r="C4545" s="1">
        <f>hyperlink("https://hetutrechtsarchief.nl/collectie/4B7B6BBFDA6F55B1B857085AEDB95C60","Arnoldus Buchelius J J Dodt van Flensburg 20 -25 59 -64 163 -172 1837")</f>
        <v>0</v>
      </c>
      <c r="D4545" s="1">
        <f>hyperlink("http://dspace.library.uu.nl/handle/1874/278186","Hendrick de Keyser J H van Kramm C Dodt van Flensburg J J Bolhuis 305 -322 356 -357 jg 3 1837 p 200 -207 1836-1837")</f>
        <v>0</v>
      </c>
    </row>
    <row r="4546" spans="2:4">
      <c r="B4546">
        <v>87</v>
      </c>
      <c r="C4546" s="1">
        <f>hyperlink("https://hetutrechtsarchief.nl/collectie/60D4985B7E305F098A56D229F0B7A80D","t Voorgevallene omtrent de verandering van de regeeringe tot Utrecht in den Jare 1674 269 -284 1836")</f>
        <v>0</v>
      </c>
      <c r="D4546" s="1">
        <f>hyperlink("http://dspace.library.uu.nl/handle/1874/278187","t Voorgevallene omtrent de verandering van de regeeringe tot Utrecht in den jare 1674 Daniel de Milan Visconti 270 -284 1836")</f>
        <v>0</v>
      </c>
    </row>
    <row r="4547" spans="2:4">
      <c r="B4547">
        <v>91</v>
      </c>
      <c r="C4547" s="1">
        <f>hyperlink("https://hetutrechtsarchief.nl/collectie/ACB0317B59095AD9B3717FD7721ED4E3","Kermissen en jaarmarkten te Utrecht 233-255 tab 1836")</f>
        <v>0</v>
      </c>
      <c r="D4547" s="1">
        <f>hyperlink("http://dspace.library.uu.nl/handle/1874/278188","Kermissen en jaarmarkten in Utrecht 233 -255 1836")</f>
        <v>0</v>
      </c>
    </row>
    <row r="4548" spans="2:4">
      <c r="B4548">
        <v>95</v>
      </c>
      <c r="C4548" s="1">
        <f>hyperlink("https://hetutrechtsarchief.nl/collectie/4087049A25F750B59BC40104908B9217","Smee- of sterrentoren te Utrecht 345 -355 1 pl 1836")</f>
        <v>0</v>
      </c>
      <c r="D4548" s="1">
        <f>hyperlink("http://dspace.library.uu.nl/handle/1874/278189","Smee- of sterrentoren te Utrecht 345 -355 1836")</f>
        <v>0</v>
      </c>
    </row>
    <row r="4549" spans="2:4">
      <c r="B4549">
        <v>63</v>
      </c>
      <c r="C4549" s="1">
        <f>hyperlink("https://hetutrechtsarchief.nl/collectie/C7A18F0D125D500C80144D7CCBD34A96","Aanteekening op het stuk getiteld Hendrick de Keyser geplaatst in het Tijdschrift voor geschiedenis oudheden en statistiek van Utrecht 1836 blz 305 J J Dodt van Flensburg 356 1836")</f>
        <v>0</v>
      </c>
      <c r="D4549" s="1">
        <f>hyperlink("http://dspace.library.uu.nl/handle/1874/278190","Bijdrage tot het medegedeelde in het Tijdschrift voor geschiedenis oudheden en statistiek van Utrecht 1836 no 1 bl 1-40 onder het opschrift De Graaf van Leicester in Utrecht W C Ackersdijk 205 -228 1836")</f>
        <v>0</v>
      </c>
    </row>
    <row r="4550" spans="2:4">
      <c r="B4550">
        <v>90</v>
      </c>
      <c r="C4550" s="1">
        <f>hyperlink("https://hetutrechtsarchief.nl/collectie/B470CAE829CE5DCEBDA8A6950A513EDF","De Kennemers in het Sticht van Utrecht 1268-1270 41 -58 145 -155 1837")</f>
        <v>0</v>
      </c>
      <c r="D4550" s="1">
        <f>hyperlink("http://dspace.library.uu.nl/handle/1874/278274","De Kennemers in het Sticht van Utrecht 1268-1270 J H van Bolhuis 41 -58 145 -155 1837")</f>
        <v>0</v>
      </c>
    </row>
    <row r="4551" spans="2:4">
      <c r="B4551">
        <v>97</v>
      </c>
      <c r="C4551" s="1">
        <f>hyperlink("https://hetutrechtsarchief.nl/collectie/257CA15DAD325B129F9E6F5D496A1A46","Plegtige intrede van Philips II in Utrecht in de maand October 1549 A M C van Asch van Wijck 109-139 1 pl 156 -162 1837")</f>
        <v>0</v>
      </c>
      <c r="D4551" s="1">
        <f>hyperlink("http://dspace.library.uu.nl/handle/1874/278275","Plegtige intrede van Philips II in Utrecht in de maand October 1549 A M C van Asch van Wijck 109 -140 156 -162 1837")</f>
        <v>0</v>
      </c>
    </row>
    <row r="4552" spans="2:4">
      <c r="B4552">
        <v>56</v>
      </c>
      <c r="C4552" s="1">
        <f>hyperlink("https://hetutrechtsarchief.nl/collectie/4B7B6BBFDA6F55B1B857085AEDB95C60","Arnoldus Buchelius J J Dodt van Flensburg 20 -25 59 -64 163 -172 1837")</f>
        <v>0</v>
      </c>
      <c r="D4552" s="1">
        <f>hyperlink("http://dspace.library.uu.nl/handle/1874/278276","Arnoldus Buchellius met bijzondere betrekking tot het opstel Arnoldus Buchelius geplaatst in dit tijdschrift 1836 no 11 J J Dodt van Flensburg 20 -25 59 -64 163 -172 241-243 1837")</f>
        <v>0</v>
      </c>
    </row>
    <row r="4553" spans="2:4">
      <c r="B4553">
        <v>53</v>
      </c>
      <c r="C4553" s="1">
        <f>hyperlink("https://hetutrechtsarchief.nl/collectie/DE0969BB1BD056E1AC8BA649F3AB665F","Bijdragen tot de geschiedenis van de gemeenten der hervormden in de provincie Utrecht in 1618 P J Vermeulen 102-105 1848")</f>
        <v>0</v>
      </c>
      <c r="D4553" s="1">
        <f>hyperlink("http://dspace.library.uu.nl/handle/1874/278277","Tijdschrift voor geschiedenis oudheden en statistiek van Utrecht met naamlijst der geborenen ondertrouwden en overledenen binnen Utrecht en voorsteden 1835-1843")</f>
        <v>0</v>
      </c>
    </row>
    <row r="4554" spans="2:4">
      <c r="B4554">
        <v>100</v>
      </c>
      <c r="C4554" s="1">
        <f>hyperlink("https://hetutrechtsarchief.nl/collectie/B6F35FAC4B8F5542BE4393B41B652485","Quatrem re d Isjonval 15 -19 1837")</f>
        <v>0</v>
      </c>
      <c r="D4554" s="1">
        <f>hyperlink("http://dspace.library.uu.nl/handle/1874/278278","Quatrem re d Isjonval 15 -19 1837")</f>
        <v>0</v>
      </c>
    </row>
    <row r="4555" spans="2:4">
      <c r="B4555">
        <v>100</v>
      </c>
      <c r="C4555" s="1">
        <f>hyperlink("https://hetutrechtsarchief.nl/collectie/99A755ED754251CE9E75CB9A3133B2ED","Instelling van de Broederschap van St Anthonis in de St Janskerk te Utrecht S de Vries 64-65 1837")</f>
        <v>0</v>
      </c>
      <c r="D4555" s="1">
        <f>hyperlink("http://dspace.library.uu.nl/handle/1874/278279","Instelling van de Broederschap van St Anthonis in de St Janskerk te Utrecht S de Vries 64-65 1837")</f>
        <v>0</v>
      </c>
    </row>
    <row r="4556" spans="2:4">
      <c r="B4556">
        <v>99</v>
      </c>
      <c r="C4556" s="1">
        <f>hyperlink("https://hetutrechtsarchief.nl/collectie/F9DF6D434A0D5C24936F5135F43BC19F","Staat van het gevolg van den Keizer en de Keizerin der Franschen gedurende derzelver verblijf te Utrecht in 1811 benevens de opgave der inwoners waarbij gehuisvest waren 67 -69 1837")</f>
        <v>0</v>
      </c>
      <c r="D4556" s="1">
        <f>hyperlink("http://dspace.library.uu.nl/handle/1874/278280","Staat van het gevolg van den keizer en de keizerin der Franschen gedurende derzelver verblijf te Utrecht in 1811 benevens de opgave der inwoners waarbij zij gehuisvest waren 67 -69 1837")</f>
        <v>0</v>
      </c>
    </row>
    <row r="4557" spans="2:4">
      <c r="B4557">
        <v>55</v>
      </c>
      <c r="C4557" s="1">
        <f>hyperlink("https://hetutrechtsarchief.nl/collectie/B5E2B00D0B425CF09AF069709F64933D","Ondergronds verleden 17 Jos Bransen 28 2011")</f>
        <v>0</v>
      </c>
      <c r="D4557" s="1">
        <f>hyperlink("http://dspace.library.uu.nl/handle/1874/278281","Onderscheiden vonnissen 208 -209 244 1837")</f>
        <v>0</v>
      </c>
    </row>
    <row r="4558" spans="2:4">
      <c r="B4558">
        <v>98</v>
      </c>
      <c r="C4558" s="1">
        <f>hyperlink("https://hetutrechtsarchief.nl/collectie/ACE32C32FE175784BBE3AA74CE2B5294","Herinnering aan Mr A J W van Dielen F A van Rappard 179 -199 1837")</f>
        <v>0</v>
      </c>
      <c r="D4558" s="1">
        <f>hyperlink("http://dspace.library.uu.nl/handle/1874/278282","Herinnering aan Mr A J W van Dielen F A van Rappard 177 -199 1837")</f>
        <v>0</v>
      </c>
    </row>
    <row r="4559" spans="2:4">
      <c r="B4559">
        <v>60</v>
      </c>
      <c r="C4559" s="1">
        <f>hyperlink("https://hetutrechtsarchief.nl/collectie/1754C28EB472539DA72F5524A3739229","Utrecht aartsbisdom 1561-1580 385 -403 1 uitvouwb pl 1836")</f>
        <v>0</v>
      </c>
      <c r="D4559" s="1">
        <f>hyperlink("http://dspace.library.uu.nl/handle/1874/278283","Utrecht Aartsbisdom 1561-1580 met eene kaart van Meschisedech van Hooren 385 -403 1836")</f>
        <v>0</v>
      </c>
    </row>
    <row r="4560" spans="2:4">
      <c r="B4560">
        <v>74</v>
      </c>
      <c r="C4560" s="1">
        <f>hyperlink("https://hetutrechtsarchief.nl/collectie/E89A8947DE4B5EBC963C8FD5CC58E7E0","Wijk bij Duurstede - de J 92-93 1957")</f>
        <v>0</v>
      </c>
      <c r="D4560" s="1">
        <f>hyperlink("http://dspace.library.uu.nl/handle/1874/278284","Wijk bij Duurstede 1 -14 1837")</f>
        <v>0</v>
      </c>
    </row>
    <row r="4561" spans="2:4">
      <c r="B4561">
        <v>92</v>
      </c>
      <c r="C4561" s="1">
        <f>hyperlink("https://hetutrechtsarchief.nl/collectie/97AABC63ABB855C898F94C672F5903E1","Het slot Vreland 77 -88 1 pl 1837")</f>
        <v>0</v>
      </c>
      <c r="D4561" s="1">
        <f>hyperlink("http://dspace.library.uu.nl/handle/1874/278285","Het Slot Vreland 77 -88 1837")</f>
        <v>0</v>
      </c>
    </row>
    <row r="4562" spans="2:4">
      <c r="B4562">
        <v>100</v>
      </c>
      <c r="C4562" s="1">
        <f>hyperlink("https://hetutrechtsarchief.nl/collectie/661B9C76FEE15E088B617A9839F6097A","Vlugtige blik op het brandwezen in betrekking tot eenen zwaren brand in het jaar 1402 binnen Utrecht voorgevallen 213 -227 1837")</f>
        <v>0</v>
      </c>
      <c r="D4562" s="1">
        <f>hyperlink("http://dspace.library.uu.nl/handle/1874/278286","Vlugtige blik op het brandwezen in betrekking tot eenen zwaren brand in het jaar 1402 binnen Utrecht voorgevallen 213 -227 1837")</f>
        <v>0</v>
      </c>
    </row>
    <row r="4563" spans="2:4">
      <c r="B4563">
        <v>85</v>
      </c>
      <c r="C4563" s="1">
        <f>hyperlink("https://hetutrechtsarchief.nl/collectie/CF146C11161C5CDF96555447B85D407E","De Bemuurde Weerd 249 -261 289 -302 1 uitvouwb pl 1837")</f>
        <v>0</v>
      </c>
      <c r="D4563" s="1">
        <f>hyperlink("http://dspace.library.uu.nl/handle/1874/278287","De Bemuurde Weerd 249 -261 289 -302 1837")</f>
        <v>0</v>
      </c>
    </row>
    <row r="4564" spans="2:4">
      <c r="B4564">
        <v>58</v>
      </c>
      <c r="C4564" s="1">
        <f>hyperlink("https://hetutrechtsarchief.nl/collectie/50047FA20B115AF18C79FC06EDC9CA88","Twee merkwaardige documenten voor de geschiedenis van Utrecht 63-69")</f>
        <v>0</v>
      </c>
      <c r="D4564" s="1">
        <f>hyperlink("http://dspace.library.uu.nl/handle/1874/278288","Merkwaardig vonnis geslagen door de regering van Montfoort 93 -97 1837")</f>
        <v>0</v>
      </c>
    </row>
    <row r="4565" spans="2:4">
      <c r="B4565">
        <v>100</v>
      </c>
      <c r="C4565" s="1">
        <f>hyperlink("https://hetutrechtsarchief.nl/collectie/69B2C86F79AC55E1AE5CD5C3EE53FA01","Arnoldus Buchelius A A T 404 -407 1836")</f>
        <v>0</v>
      </c>
      <c r="D4565" s="1">
        <f>hyperlink("http://dspace.library.uu.nl/handle/1874/278289","Arnoldus Buchelius A A T 404 -407 1836")</f>
        <v>0</v>
      </c>
    </row>
    <row r="4566" spans="2:4">
      <c r="B4566">
        <v>96</v>
      </c>
      <c r="C4566" s="1">
        <f>hyperlink("https://hetutrechtsarchief.nl/collectie/1DBC3272F69F50B9A99959FA5A08F151","Oorspronkelijkheden bij welke de geschiedenis van Utrecht opheldering kan ontvangen J J Dodt van Flensburg 262 -266 303-307 384 -388 413 -414 ill 1837")</f>
        <v>0</v>
      </c>
      <c r="D4566" s="1">
        <f>hyperlink("http://dspace.library.uu.nl/handle/1874/278673","Oorspronkelijkheden bij welke de geschiedenis van Utrecht opheldering kan ontvangen J J Dodt van Flensburg 262 -266 303-307 343 -346 384 -388 413 -414 1837")</f>
        <v>0</v>
      </c>
    </row>
    <row r="4567" spans="2:4">
      <c r="B4567">
        <v>57</v>
      </c>
      <c r="C4567" s="1">
        <f>hyperlink("https://hetutrechtsarchief.nl/collectie/F89228C37A6A59D597F898307BE58570","Ridderhofstad Oudaen M A Dukes-Greup 25-34 2011")</f>
        <v>0</v>
      </c>
      <c r="D4567" s="1">
        <f>hyperlink("http://dspace.library.uu.nl/handle/1874/278674","Ridderhofstad Nijenrode 397 -412 1837")</f>
        <v>0</v>
      </c>
    </row>
    <row r="4568" spans="2:4">
      <c r="B4568">
        <v>54</v>
      </c>
      <c r="C4568" s="1">
        <f>hyperlink("https://hetutrechtsarchief.nl/collectie/B03EB93886915D78BB4F7A321AD57FDD","Orgels van de Nicola kerk M G L den Boer 1-7 ill 1983")</f>
        <v>0</v>
      </c>
      <c r="D4568" s="1">
        <f>hyperlink("http://dspace.library.uu.nl/handle/1874/278675","Mandenmakers gildenbord 389-390 1837")</f>
        <v>0</v>
      </c>
    </row>
    <row r="4569" spans="2:4">
      <c r="B4569">
        <v>80</v>
      </c>
      <c r="C4569" s="1">
        <f>hyperlink("https://hetutrechtsarchief.nl/collectie/1A3B23DDCED75D4D87F6E30ADB6FA481","Over het oude muntrecht der stad Utrecht 325 -342 361 -383 1837")</f>
        <v>0</v>
      </c>
      <c r="D4569" s="1">
        <f>hyperlink("http://dspace.library.uu.nl/handle/1874/278676","Over het oude muntregt der stad Utrecht H M A J van Asch van Wijck 325 -342 361 -383 1837")</f>
        <v>0</v>
      </c>
    </row>
    <row r="4570" spans="2:4">
      <c r="B4570">
        <v>93</v>
      </c>
      <c r="C4570" s="1">
        <f>hyperlink("https://hetutrechtsarchief.nl/collectie/E4800C6312F852CF886B21779E3C1B09","Beredeneerde lijst van de kaarten der provincie Utrecht in het algemeen onder den schrijver dezes berustende J T Bodel Nijenhuis 360 -368 381 -396 441 -449 tab 1838")</f>
        <v>0</v>
      </c>
      <c r="D4570" s="1">
        <f>hyperlink("http://dspace.library.uu.nl/handle/1874/279082","Beredeneerde lijst van de kaarten der provincie Utrecht in het algemeen onder den schrijver dezes berustende J T Bodel Nijenhuis 360 -368 381 -396 441 -449 jg 5 1839 p 20-26 1838-1839")</f>
        <v>0</v>
      </c>
    </row>
    <row r="4571" spans="2:4">
      <c r="B4571">
        <v>86</v>
      </c>
      <c r="C4571" s="1">
        <f>hyperlink("https://hetutrechtsarchief.nl/collectie/C61D3AD3C02554469ADE3129D214CD6D","Proeve eener geschiedenis van het kasteel Vredenburg J H v B 73 -104 109 -141 145 -176 185 -225 3 pl waarvan 2 uitvouwb 1838")</f>
        <v>0</v>
      </c>
      <c r="D4571" s="1">
        <f>hyperlink("http://dspace.library.uu.nl/handle/1874/279083","Proeve eener geschiedenis van het kasteel Vredenburg J H van Bolhuis 73 -104 109 -141 145 -176 185 -225 397 -416 1838")</f>
        <v>0</v>
      </c>
    </row>
    <row r="4572" spans="2:4">
      <c r="B4572">
        <v>55</v>
      </c>
      <c r="C4572" s="1">
        <f>hyperlink("https://hetutrechtsarchief.nl/collectie/B8A74632EA0C557287B16FBBDF6EE907","Een van sommigen - P B d H 369 -384 1891")</f>
        <v>0</v>
      </c>
      <c r="D4572" s="1">
        <f>hyperlink("http://dspace.library.uu.nl/handle/1874/279084","Jacob van Campen D D B chler 37 -54 1838")</f>
        <v>0</v>
      </c>
    </row>
    <row r="4573" spans="2:4">
      <c r="B4573">
        <v>60</v>
      </c>
      <c r="C4573" s="1">
        <f>hyperlink("https://hetutrechtsarchief.nl/collectie/C3C0DE9C7BE95151A2D60AC88B834552","De gek van Utrecht en die van den Prins van Oranje J J Dodt van Flensburg 211-213 1841")</f>
        <v>0</v>
      </c>
      <c r="D4573" s="1">
        <f>hyperlink("http://dspace.library.uu.nl/handle/1874/279085","Het vrijbrant-teijcken van bisschop Henrich van Beijeren ten jare 1527 J J Dodt van Flensburg 309a 1838")</f>
        <v>0</v>
      </c>
    </row>
    <row r="4574" spans="2:4">
      <c r="B4574">
        <v>99</v>
      </c>
      <c r="C4574" s="1">
        <f>hyperlink("https://hetutrechtsarchief.nl/collectie/1E5C5079E2545A3D9A54173F66D289AE","Brieven gewisseld tusschen Hertog Johan van Beyeren en de stad Utrecht in 1419 J J Dodt van Flensburg 24 -32 55 -66 1838")</f>
        <v>0</v>
      </c>
      <c r="D4574" s="1">
        <f>hyperlink("http://dspace.library.uu.nl/handle/1874/279086","Brieven gewisseld tusschen Hertog Johan van Beijeren en de stad Utrecht in 1419 J J Dodt van Flensburg 24 -32 55 -66 1838")</f>
        <v>0</v>
      </c>
    </row>
    <row r="4575" spans="2:4">
      <c r="B4575">
        <v>90</v>
      </c>
      <c r="C4575" s="1">
        <f>hyperlink("https://hetutrechtsarchief.nl/collectie/F3DF4D18155F544DB5AD8A8710362FF3","Crimineele vonnissen medeged door J J Dodt van Flensburg 267 -268 1838")</f>
        <v>0</v>
      </c>
      <c r="D4575" s="1">
        <f>hyperlink("http://dspace.library.uu.nl/handle/1874/279087","Crimineele vonnissen J J Dodt van Flensburg 267 -268 1838")</f>
        <v>0</v>
      </c>
    </row>
    <row r="4576" spans="2:4">
      <c r="B4576">
        <v>50</v>
      </c>
      <c r="C4576" s="1">
        <f>hyperlink("https://hetutrechtsarchief.nl/collectie/C0C7B5FEA30952E9824E7106259E5A62","De tol van Ameide van de heer van Brederode een verloren proces voor de Grote Raad van Mechelen tegen de stad Utrecht C L Verkerk 35-43 2001")</f>
        <v>0</v>
      </c>
      <c r="D4576" s="1">
        <f>hyperlink("http://dspace.library.uu.nl/handle/1874/279088","Lyste by de vier uytmaenders vant huysgeldt overgelevert rakende de aengeteeckende peerden in elcx quartier binnen dese Stadt Utrecht 1 Aprilis 1668 330-333 1838")</f>
        <v>0</v>
      </c>
    </row>
    <row r="4577" spans="2:4">
      <c r="B4577">
        <v>96</v>
      </c>
      <c r="C4577" s="1">
        <f>hyperlink("https://hetutrechtsarchief.nl/collectie/A0F6A754ACE45DB98746DADE85D2A1DD","Nog iets over het vermeende oude muntregt van de stad Utrecht D Groebe 273 -286 309 -323 352 -359 pl 1838")</f>
        <v>0</v>
      </c>
      <c r="D4577" s="1">
        <f>hyperlink("http://dspace.library.uu.nl/handle/1874/279089","Nog iets over het vermeende muntregt van de stad Utrecht D Groebe 273 -286 309 -323 352 -359 1838")</f>
        <v>0</v>
      </c>
    </row>
    <row r="4578" spans="2:4">
      <c r="B4578">
        <v>84</v>
      </c>
      <c r="C4578" s="1">
        <f>hyperlink("https://hetutrechtsarchief.nl/collectie/F336900F2BC058D185BA4A2AA6497579","Afzetting van het geld en regeling der dagelijksche behoeften naar de nieuwe muntspecien binnen Utrecht ten jare 1490 bijdragen tot de zeden en gewoonten der Utrechtenaren 417 -421 450 -455 1838")</f>
        <v>0</v>
      </c>
      <c r="D4578" s="1">
        <f>hyperlink("http://dspace.library.uu.nl/handle/1874/279090","Afzetting van het geld en regeling der dagelijksche behoeften naar de nieuwe muntspecien binnen Utrecht ten jare 1490 417 -421 450 -455 1838")</f>
        <v>0</v>
      </c>
    </row>
    <row r="4579" spans="2:4">
      <c r="B4579">
        <v>50</v>
      </c>
      <c r="C4579" s="1">
        <f>hyperlink("https://hetutrechtsarchief.nl/collectie/FAACC7829A6E5A02B89048AB5EC41B98","Gastvrijheid en caritas op de grens van Amersfoort en Leusden de geschiedenis van het Aldegonde Gasthuis 1890-1905 Willem Veltheer 31-48 2007")</f>
        <v>0</v>
      </c>
      <c r="D4579" s="1">
        <f>hyperlink("http://dspace.library.uu.nl/handle/1874/279091","Nijverheid onderzoek waardoor de burgers en inwoners van Amersfoort oudtijds hun bestaan gevonden hebben P W Lothes 294 -305 334 -341 1838")</f>
        <v>0</v>
      </c>
    </row>
    <row r="4580" spans="2:4">
      <c r="B4580">
        <v>98</v>
      </c>
      <c r="C4580" s="1">
        <f>hyperlink("https://hetutrechtsarchief.nl/collectie/6773E89CAC885715BE7F640A7BDD9FF0","Iets over de hoeveelheid van den in het laatst der vorige eeuw gebruikt zijnde sterken drank in de provincie Utrecht tegen dien van wijn en bier - P W L 177 -181 1838")</f>
        <v>0</v>
      </c>
      <c r="D4580" s="1">
        <f>hyperlink("http://dspace.library.uu.nl/handle/1874/279092","Iets over de hoeveelheid van den in het laatst der vorige eeuw gebruikt zijnde sterkendrank in de Provincie Utrecht tegen dien van wijn en bier P W Lothes 177 -181 1838")</f>
        <v>0</v>
      </c>
    </row>
    <row r="4581" spans="2:4">
      <c r="B4581">
        <v>96</v>
      </c>
      <c r="C4581" s="1">
        <f>hyperlink("https://hetutrechtsarchief.nl/collectie/96A66C729A81586B99174F213DBD27F0","Plegtige overgifte van het vaandel van de burgercompagnie De Zwarte Knechten in 1759 455-457 1838")</f>
        <v>0</v>
      </c>
      <c r="D4581" s="1">
        <f>hyperlink("http://dspace.library.uu.nl/handle/1874/279093","Plechtige overgifte van het vaandel van de burgercomp de Zwarte Knechten in 1759 455-457 1838")</f>
        <v>0</v>
      </c>
    </row>
    <row r="4582" spans="2:4">
      <c r="B4582">
        <v>99</v>
      </c>
      <c r="C4582" s="1">
        <f>hyperlink("https://hetutrechtsarchief.nl/collectie/03A3C362142358CF92962093E7AAAAC7","Redevoering ter historische herinnering der Unie van Utrecht voor twee honderd vijftig jaar gesloten uitgesproken te Utrecht in Nov 1828 H J Royaards 1-23 1838")</f>
        <v>0</v>
      </c>
      <c r="D4582" s="1">
        <f>hyperlink("http://dspace.library.uu.nl/handle/1874/279094","Redevoering ter historische herinnering der Unie van Utrecht voor tweehonderdvijftig jaar gesloten uitgesproken te Utrecht in Nov 1828 H J Royaards 1 -23 1838")</f>
        <v>0</v>
      </c>
    </row>
    <row r="4583" spans="2:4">
      <c r="B4583">
        <v>93</v>
      </c>
      <c r="C4583" s="1">
        <f>hyperlink("https://hetutrechtsarchief.nl/collectie/FA36BC15FEB8511AA6A8C51B65CC19E5","Over de beteekenis van den naam der stad Utrecht - V 263 -266 1838")</f>
        <v>0</v>
      </c>
      <c r="D4583" s="1">
        <f>hyperlink("http://dspace.library.uu.nl/handle/1874/279095","Over de beteekenis van den naam der stad Utrecht P J Vermeulen 263 -266 1838")</f>
        <v>0</v>
      </c>
    </row>
    <row r="4584" spans="2:4">
      <c r="B4584">
        <v>57</v>
      </c>
      <c r="C4584" s="1">
        <f>hyperlink("https://hetutrechtsarchief.nl/collectie/FC064F432EDA560D9395E7F94E4FF667","Plegtige intrede van Willem II als Koning der Nederlanden in de stad Utrecht den 18den Mei 1841 A M C van Asch van Wijck 217 -241 1841")</f>
        <v>0</v>
      </c>
      <c r="D4584" s="1">
        <f>hyperlink("http://dspace.library.uu.nl/handle/1874/279096","Mengelingen betrekkelijk den ouden toestand der beeldende kunsten te Utrecht I Beeld van den heiligen Johannes den Dooper H M A J van Asch van Wijck 1 -19 1839")</f>
        <v>0</v>
      </c>
    </row>
    <row r="4585" spans="2:4">
      <c r="B4585">
        <v>92</v>
      </c>
      <c r="C4585" s="1">
        <f>hyperlink("https://hetutrechtsarchief.nl/collectie/460C070956855CEBB036CF2BE2D02916","Plan der stad Utrecht en een gedeelte harer omstreken de kadastrale opmeting gevolgd 345 -351 1 uitvouwb plgr 1838")</f>
        <v>0</v>
      </c>
      <c r="D4585" s="1">
        <f>hyperlink("http://dspace.library.uu.nl/handle/1874/279097","Plan der stad Utrecht en een gedeelte harer omstreken de kadastrale opmeting gevolgd 345 -351 1838")</f>
        <v>0</v>
      </c>
    </row>
    <row r="4586" spans="2:4">
      <c r="B4586">
        <v>86</v>
      </c>
      <c r="C4586" s="1">
        <f>hyperlink("https://hetutrechtsarchief.nl/collectie/1E3A7A97D3835E059B0B4D0F04A2070B","Toverij in Utrecht twee vonnissen gewezen 1555 J J D v F 67-69 1838")</f>
        <v>0</v>
      </c>
      <c r="D4586" s="1">
        <f>hyperlink("http://dspace.library.uu.nl/handle/1874/279098","Toverij in Utrecht twee vonnissen gewezen 1533 J J Dodt van Flensburg 67 -68 1838")</f>
        <v>0</v>
      </c>
    </row>
    <row r="4587" spans="2:4">
      <c r="B4587">
        <v>94</v>
      </c>
      <c r="C4587" s="1">
        <f>hyperlink("https://hetutrechtsarchief.nl/collectie/2393D2D13BC356C69B9EFCD1065467D7","Depositie ende attestatie van H Hubert van Buchell canonick S marien van die Spaensche capiteynen ende soldaeten gelogeert tot syne huyse gedaen Anno 1570 opten XII december medeged door A M C van Asch van Wijck 287 -293 324-330 1838")</f>
        <v>0</v>
      </c>
      <c r="D4587" s="1">
        <f>hyperlink("http://dspace.library.uu.nl/handle/1874/279099","Depositie ende attestatie van H Hubert van Buchell Canonick S Marien van die Spaensche Capiteynen ende soldaeten gelogeert tot synen huyse gedaan anno XV LXX opten XIIte december A M C van Asch van Wijck 287 -293 324-330 1838")</f>
        <v>0</v>
      </c>
    </row>
    <row r="4588" spans="2:4">
      <c r="B4588">
        <v>90</v>
      </c>
      <c r="C4588" s="1">
        <f>hyperlink("https://hetutrechtsarchief.nl/collectie/487D510EBE3C554EAD7D571A5127BD94","De bisschoppen Coenraad en Waltram verdedigers van het gezag van Keizer Hendrik den IV 1085 - W 425 -440 1838")</f>
        <v>0</v>
      </c>
      <c r="D4588" s="1">
        <f>hyperlink("http://dspace.library.uu.nl/handle/1874/279100","De bisschoppen Coenraad en Waltram verdedigers van het gezag van keizer Hendrik den IV 1085 H M A J van Asch van Wijck 425 -440 1838")</f>
        <v>0</v>
      </c>
    </row>
    <row r="4589" spans="2:4">
      <c r="B4589">
        <v>90</v>
      </c>
      <c r="C4589" s="1">
        <f>hyperlink("https://hetutrechtsarchief.nl/collectie/42EC5BB67F6754E2B9EB493C80DD7E09","De St Pieterskerk te Utrecht C T v d B 229 -262 1838")</f>
        <v>0</v>
      </c>
      <c r="D4589" s="1">
        <f>hyperlink("http://dspace.library.uu.nl/handle/1874/279101","De St Pieters-kerk te Utrecht C T van der Bruggen 229 -262 1838")</f>
        <v>0</v>
      </c>
    </row>
    <row r="4590" spans="2:4">
      <c r="B4590">
        <v>64</v>
      </c>
      <c r="C4590" s="1">
        <f>hyperlink("https://hetutrechtsarchief.nl/collectie/757A556B58B450A7B9F1F2BDD2F7CC4D","De jaarstijl van bisschop David van Bourgondi D Th Enklaar 26-28 1923")</f>
        <v>0</v>
      </c>
      <c r="D4590" s="1">
        <f>hyperlink("http://dspace.library.uu.nl/handle/1874/279541","Van den Raad van Appel gesteld bij bisschop David van Bourgondien 324 -325 1839")</f>
        <v>0</v>
      </c>
    </row>
    <row r="4591" spans="2:4">
      <c r="B4591">
        <v>91</v>
      </c>
      <c r="C4591" s="1">
        <f>hyperlink("https://hetutrechtsarchief.nl/collectie/88BED7ED7A855FD782E9C1C96FC9EA5A","Stukken betreffende de bezending der Staten van Holland aan die van Utrecht bij gelegenheid der benoeming van Prins W K H Friso tot stadhouder van Gelderland in 1722 41 -65 1839")</f>
        <v>0</v>
      </c>
      <c r="D4591" s="1">
        <f>hyperlink("http://dspace.library.uu.nl/handle/1874/279542","Stukken betreffende de bezending der Staten van Holland aan die van Utrecht bij gelegenheid aan die van Utrecht bij gelegenheid der benoeming van prins W K H Friso tot stadhouder van Gelderland in 1722 41 -65 1839")</f>
        <v>0</v>
      </c>
    </row>
    <row r="4592" spans="2:4">
      <c r="B4592">
        <v>96</v>
      </c>
      <c r="C4592" s="1">
        <f>hyperlink("https://hetutrechtsarchief.nl/collectie/82C32C6F8F92533D821574306C4698F8","Bepalingen omtrent de exequien van eenen prelaat of kanonik der vijf godshuizen te Utrecht de anno 1414 J J Dodt van Flensburg 66 -68 1840")</f>
        <v>0</v>
      </c>
      <c r="D4592" s="1">
        <f>hyperlink("http://dspace.library.uu.nl/handle/1874/279543","Bepalingen omtrent de exequien van eenen prelaat of kanonik der vijf godshuizen te Utrecht de anno XIV XIV J J Dodt van Flensburg 66 -68 1840")</f>
        <v>0</v>
      </c>
    </row>
    <row r="4593" spans="2:4">
      <c r="B4593">
        <v>99</v>
      </c>
      <c r="C4593" s="1">
        <f>hyperlink("https://hetutrechtsarchief.nl/collectie/9AC039F2601955BB8FC52D2EF7207B25","Copye van den brief die in Suster Barte dootkist geleyt is wel besloten in een glas t Utrecht 289 1839")</f>
        <v>0</v>
      </c>
      <c r="D4593" s="1">
        <f>hyperlink("http://dspace.library.uu.nl/handle/1874/279544","Copye vanden brief die in Suster Barte dootkist geleyt is wel beslooten in een glas t Utrecht 289 1839")</f>
        <v>0</v>
      </c>
    </row>
    <row r="4594" spans="2:4">
      <c r="B4594">
        <v>85</v>
      </c>
      <c r="C4594" s="1">
        <f>hyperlink("https://hetutrechtsarchief.nl/collectie/1DCCD21497915A7FAFB79D003DA206D7","Wolvenjagt in de provincie Utrecht 57 -65 1840")</f>
        <v>0</v>
      </c>
      <c r="D4594" s="1">
        <f>hyperlink("http://dspace.library.uu.nl/handle/1874/279545","Wolvenjagt in de provincie Utrecht N van der Monde 57 -65 1840")</f>
        <v>0</v>
      </c>
    </row>
    <row r="4595" spans="2:4">
      <c r="B4595">
        <v>89</v>
      </c>
      <c r="C4595" s="1">
        <f>hyperlink("https://hetutrechtsarchief.nl/collectie/39FA93E61B9F5EB8932D8BD05BA09134","De abdij Oudwijk te Utrecht voornamelijk in hare huishoudelijke inrigting beschouwd eene bijdrage tot de zeden en gewoonten der kloosterlingen in de XV en XVI eeuw 401 -431 1 uitvouwb pl 1839")</f>
        <v>0</v>
      </c>
      <c r="D4595" s="1">
        <f>hyperlink("http://dspace.library.uu.nl/handle/1874/279546","De abdij Oudwijk te Utrecht voornamelijk in hare huishoudelijke inrigting beschouwd eene bijdrage tot de zeden en gewoonten der kloosterlingen in de XV en XVI eeuw N van der Monde 401 -431 jg 6 1840 p 24 -33 1839-1840")</f>
        <v>0</v>
      </c>
    </row>
    <row r="4596" spans="2:4">
      <c r="B4596">
        <v>100</v>
      </c>
      <c r="C4596" s="1">
        <f>hyperlink("https://hetutrechtsarchief.nl/collectie/C927DEF08D5E5DD38B9D453CDDE452C3","Proven van de adelijke jonkvrouwen in het vrouwenklooster te Oostbroek 242 -244 1839")</f>
        <v>0</v>
      </c>
      <c r="D4596" s="1">
        <f>hyperlink("http://dspace.library.uu.nl/handle/1874/279547","Proven van de adelijke jonkvrouwen in het vrouwenklooster te Oostbroek 242 -244 1839")</f>
        <v>0</v>
      </c>
    </row>
    <row r="4597" spans="2:4">
      <c r="B4597">
        <v>60</v>
      </c>
      <c r="C4597" s="1">
        <f>hyperlink("https://hetutrechtsarchief.nl/collectie/257CA15DAD325B129F9E6F5D496A1A46","Plegtige intrede van Philips II in Utrecht in de maand October 1549 A M C van Asch van Wijck 109-139 1 pl 156 -162 1837")</f>
        <v>0</v>
      </c>
      <c r="D4597" s="1">
        <f>hyperlink("http://dspace.library.uu.nl/handle/1874/279548","Plegtige intrede van Karel V in Utrecht 1540 C Visscher L G Valerius 293 -305 345 -360 1839")</f>
        <v>0</v>
      </c>
    </row>
    <row r="4598" spans="2:4">
      <c r="B4598">
        <v>100</v>
      </c>
      <c r="C4598" s="1">
        <f>hyperlink("https://hetutrechtsarchief.nl/collectie/5AE7E211C45752DB82F35E41DEFC9369","Oude benamingen van sommige plaatsen in het Sticht van Utrecht 65-69 1839")</f>
        <v>0</v>
      </c>
      <c r="D4598" s="1">
        <f>hyperlink("http://dspace.library.uu.nl/handle/1874/279549","Oude benamingen van sommige plaatsen in het Sticht van Utrecht 65-69 1839")</f>
        <v>0</v>
      </c>
    </row>
    <row r="4599" spans="2:4">
      <c r="B4599">
        <v>99</v>
      </c>
      <c r="C4599" s="1">
        <f>hyperlink("https://hetutrechtsarchief.nl/collectie/A8433B9D668B5BE8B19BB24BAB1EE9D7","De fundatie der zielbroeders te Utrecht anno 1436 F A L van Rappard 221 -241 257 -272 1839")</f>
        <v>0</v>
      </c>
      <c r="D4599" s="1">
        <f>hyperlink("http://dspace.library.uu.nl/handle/1874/279550","De Fundatie der Zielbroeders te Utrecht anno 1436 F A van Rappard 221 -241 257 -272 1839")</f>
        <v>0</v>
      </c>
    </row>
    <row r="4600" spans="2:4">
      <c r="B4600">
        <v>90</v>
      </c>
      <c r="C4600" s="1">
        <f>hyperlink("https://hetutrechtsarchief.nl/collectie/8B28D6D874AF516FB681AA75F33D59EE","Willebrordus 329 -344 1 afb 1839")</f>
        <v>0</v>
      </c>
      <c r="D4600" s="1">
        <f>hyperlink("http://dspace.library.uu.nl/handle/1874/279551","Willebrordus 329 -344 1839")</f>
        <v>0</v>
      </c>
    </row>
    <row r="4601" spans="2:4">
      <c r="B4601">
        <v>100</v>
      </c>
      <c r="C4601" s="1">
        <f>hyperlink("https://hetutrechtsarchief.nl/collectie/DD33BE672BB85CCE85AB36E4E91B0FF4","Geldheffing in 1483 93 -103 1839")</f>
        <v>0</v>
      </c>
      <c r="D4601" s="1">
        <f>hyperlink("http://dspace.library.uu.nl/handle/1874/279552","Geldheffing in 1483 93 -103 1839")</f>
        <v>0</v>
      </c>
    </row>
    <row r="4602" spans="2:4">
      <c r="B4602">
        <v>83</v>
      </c>
      <c r="C4602" s="1">
        <f>hyperlink("https://hetutrechtsarchief.nl/collectie/0237F19A28F9592DB757620C084956B9","Onlusten te Utrecht in 1610 77 -92 185 -196 1839")</f>
        <v>0</v>
      </c>
      <c r="D4602" s="1">
        <f>hyperlink("http://dspace.library.uu.nl/handle/1874/279553","Onlusten te Utrecht in 1610 Cornelis Corneliszn 77 -92 185 -196 1839")</f>
        <v>0</v>
      </c>
    </row>
    <row r="4603" spans="2:4">
      <c r="B4603">
        <v>58</v>
      </c>
      <c r="C4603" s="1">
        <f>hyperlink("https://hetutrechtsarchief.nl/collectie/E6904D8F034455B4BF05CDF95CFA0C07","Op het afbreken der Waardpoort te Utrecht - N A v C 144 1836")</f>
        <v>0</v>
      </c>
      <c r="D4603" s="1">
        <f>hyperlink("http://dspace.library.uu.nl/handle/1874/279554","Het afdanken der waardgelders door Prins Maurits te Utrecht in 1618 cort verhael Redactie 113 -119 1839")</f>
        <v>0</v>
      </c>
    </row>
    <row r="4604" spans="2:4">
      <c r="B4604">
        <v>84</v>
      </c>
      <c r="C4604" s="1">
        <f>hyperlink("https://hetutrechtsarchief.nl/collectie/73F10BFD63DF561091855A6AEBBFE339","Zeden en gewoonten der Utrechtenaren herbergen en koffijhuizen 120 -133 1839")</f>
        <v>0</v>
      </c>
      <c r="D4604" s="1">
        <f>hyperlink("http://dspace.library.uu.nl/handle/1874/279555","Zeden en gewoonten der Utrechtenaren I Herbergen en koffijhuizen P v d S 120 -133 165 -181 316 -323 1839")</f>
        <v>0</v>
      </c>
    </row>
    <row r="4605" spans="2:4">
      <c r="B4605">
        <v>99</v>
      </c>
      <c r="C4605" s="1">
        <f>hyperlink("https://hetutrechtsarchief.nl/collectie/695FDEAE8E425044B7B501C6AF806C68","Bethlehem een gulden cleynoet door bisschop David van Bourgondien aan de St Maarten of Domkerk te Utrecht geschonken in 1489 376 -381 1839")</f>
        <v>0</v>
      </c>
      <c r="D4605" s="1">
        <f>hyperlink("http://dspace.library.uu.nl/handle/1874/279556","Betlehem een gulden cleynoet Door bisschop David van Bourgondien aan de St Maarten- of Domkerk te Utrecht geschonken in 1489 376 -381 1839")</f>
        <v>0</v>
      </c>
    </row>
    <row r="4606" spans="2:4">
      <c r="B4606">
        <v>97</v>
      </c>
      <c r="C4606" s="1">
        <f>hyperlink("https://hetutrechtsarchief.nl/collectie/59117C54DDF15A8BA631CC2B80B25AB9","Zeden en gewoonten der Utrechtenaren in de 15e eeuw loterijen 306 -315 1839")</f>
        <v>0</v>
      </c>
      <c r="D4606" s="1">
        <f>hyperlink("http://dspace.library.uu.nl/handle/1874/279557","Zeden en gewoonten der Utrechtenaren in de 15 eeuw II Loterijen 306 -315 1839")</f>
        <v>0</v>
      </c>
    </row>
    <row r="4607" spans="2:4">
      <c r="B4607">
        <v>80</v>
      </c>
      <c r="C4607" s="1">
        <f>hyperlink("https://hetutrechtsarchief.nl/collectie/6C1CAB130DED5161B3ABF88678D0AB2E","Driejarige oorlog tusschen Maximiliaan van Oostenrijk en de stad Utrecht 1481 tot 1484 vervolg A M C van Asch van Wijck 1 -23 37 -56 73 -97 113 -142 157 -173 185 -204 238 -258 1840")</f>
        <v>0</v>
      </c>
      <c r="D4607" s="1">
        <f>hyperlink("http://dspace.library.uu.nl/handle/1874/279558","Driejarige oorlog tusschen Maximiliaan van Oostenrijk en de stad Utrecht 1481 tot 1484 A M C van Asch van Wijck 365 -375 jg 6 1840 p 1 -23 37 -56 73 -97 113 -142 157 -173 185 -204 238 -258 jg 7 1841 p 1-24 37 -52 82 -96 125 -138 145 -162 1839-1841")</f>
        <v>0</v>
      </c>
    </row>
    <row r="4608" spans="2:4">
      <c r="B4608">
        <v>98</v>
      </c>
      <c r="C4608" s="1">
        <f>hyperlink("https://hetutrechtsarchief.nl/collectie/9EB8C1756DE859B1959A81954BA28D36","Plegtstatig onthaal van Willem Henrick Prins van Oranje binnen de stad Utrecht 1661 A M C van Asch van Wijck 149 -150 1839")</f>
        <v>0</v>
      </c>
      <c r="D4608" s="1">
        <f>hyperlink("http://dspace.library.uu.nl/handle/1874/279559","Plegtstatig onthaal van Willem Henrick Prins van Oranje binnen de stad Utrecht 1661 A M C van Asch van Wijck 149 -164 1839")</f>
        <v>0</v>
      </c>
    </row>
    <row r="4609" spans="2:4">
      <c r="B4609">
        <v>91</v>
      </c>
      <c r="C4609" s="1">
        <f>hyperlink("https://hetutrechtsarchief.nl/collectie/AA24D7D393895A708A5B64DEB1F3A01F","Jan Byster s sententie 1566 medeged door J J Dodt van Flensburg 210 -211 1840")</f>
        <v>0</v>
      </c>
      <c r="D4609" s="1">
        <f>hyperlink("http://dspace.library.uu.nl/handle/1874/279633","Jan Byster s sententie 1566 J J Dodt van Flensburg 210 -211 1840")</f>
        <v>0</v>
      </c>
    </row>
    <row r="4610" spans="2:4">
      <c r="B4610">
        <v>93</v>
      </c>
      <c r="C4610" s="1">
        <f>hyperlink("https://hetutrechtsarchief.nl/collectie/F8261DA60C955B638F0E4DC5B3EF3073","Carmina alardi in laudem Joannis Scorelli pictoris medeged door J J Dodt van Flensburg 212 -213 1840")</f>
        <v>0</v>
      </c>
      <c r="D4610" s="1">
        <f>hyperlink("http://dspace.library.uu.nl/handle/1874/279634","Carmina Allardi in laudem Joannis Scorelli Pictoris J J Dodt van Flensburg 212 -213 1840")</f>
        <v>0</v>
      </c>
    </row>
    <row r="4611" spans="2:4">
      <c r="B4611">
        <v>83</v>
      </c>
      <c r="C4611" s="1">
        <f>hyperlink("https://hetutrechtsarchief.nl/collectie/350692B177305237B4A62AA8012B1A08","Brief tot lof van Gisb Voetius Hoogleeraar in de Godgeleertheyt t Utrecht medeged door J J Dodt van Flensburg 205 -209 1 pl portr 1840")</f>
        <v>0</v>
      </c>
      <c r="D4611" s="1">
        <f>hyperlink("http://dspace.library.uu.nl/handle/1874/279635","Voetiana Inedita 1 Brief tot lof van Gisb Voetius hoogleeraer in de Godgeleertheyt t Utrecht J J Dodt van Flensburg 205 -209 1840")</f>
        <v>0</v>
      </c>
    </row>
    <row r="4612" spans="2:4">
      <c r="B4612">
        <v>96</v>
      </c>
      <c r="C4612" s="1">
        <f>hyperlink("https://hetutrechtsarchief.nl/collectie/D75D324CEF0257428B899E4753098383","Den eersten April 1840 bij de plegtige inwijding der nieuw aangelegde schipbrug over de rivier de Lek tusschen Vreeswijk en Vianen ten gevolge der magtiging van het amortisatie-syndikaat onder directie van den WE gestr heer B C U van Doorn agent van het Domein te Utrecht gedicht E I Mecima 214 -215 1840")</f>
        <v>0</v>
      </c>
      <c r="D4612" s="1">
        <f>hyperlink("http://dspace.library.uu.nl/handle/1874/279636","Den eersten april 1840 bij de plegtige inwijding der nieuw aangelegde schipbrug over de rivier de Lek tusschen Vreeswijk en Vianen ten gevolge der magtiging van het amortisatie-syndicaat onder directie van den weledelen gestrengen heer E C U van Doorn agent van het Domein te Utrecht E I Mecima 214 -217 1840")</f>
        <v>0</v>
      </c>
    </row>
    <row r="4613" spans="2:4">
      <c r="B4613">
        <v>89</v>
      </c>
      <c r="C4613" s="1">
        <f>hyperlink("https://hetutrechtsarchief.nl/collectie/84A95EAE93C450EC935DD7971A77EC32","De nieuwe platte grondkaart van Uittrecht op zijn schoonst en sterkst door Jr E Meister 1670 437-441 1 uitvouwb plgr 1840")</f>
        <v>0</v>
      </c>
      <c r="D4613" s="1">
        <f>hyperlink("http://dspace.library.uu.nl/handle/1874/279637","De nieuwe platte grondkaart van Uittrecht sic op zijn schoonst en sterrkst sic door Jr E Meyster 1670 437-441 1840")</f>
        <v>0</v>
      </c>
    </row>
    <row r="4614" spans="2:4">
      <c r="B4614">
        <v>80</v>
      </c>
      <c r="C4614" s="1">
        <f>hyperlink("https://hetutrechtsarchief.nl/collectie/B144EACA24945CE48F4481FD11DC6073","Uitlegging der stad Utrecht volgens het ontwerp van den burgemeester Hendrik Moreelse ten jare 1664 medeged door J G A Royaards 361 -367 1 losse plgr in enveloppe 1840")</f>
        <v>0</v>
      </c>
      <c r="D4614" s="1">
        <f>hyperlink("http://dspace.library.uu.nl/handle/1874/279638","Uitlegging der stad Utrecht volgens het ontwerp van den Burgemeester Hendrik Moreelse ten jare 1664 361 -365 1840")</f>
        <v>0</v>
      </c>
    </row>
    <row r="4615" spans="2:4">
      <c r="B4615">
        <v>97</v>
      </c>
      <c r="C4615" s="1">
        <f>hyperlink("https://hetutrechtsarchief.nl/collectie/DFD110B758BA5E1C87B021F2DA0A1814","Deductie ge xhibeert bij de heere borgemeester Moreelse in het collegie van de vroedtschap der stadt Utrecht den XXIIJe Januarij 1664 raeckende de verbeteringe ende het nodigh uytleggen der selver stadt 373 -396 1840")</f>
        <v>0</v>
      </c>
      <c r="D4615" s="1">
        <f>hyperlink("http://dspace.library.uu.nl/handle/1874/279639","Deductie ge xhibeert bij de heere borgermeester Moreelse in het college van de vroedtschap der stadt Utrecht den XXIIJen Januarij 1664 Raeckende de verbeteringe ende het nodigh uyt-leggen der selver stadt H Moreelse 373 -396 1840")</f>
        <v>0</v>
      </c>
    </row>
    <row r="4616" spans="2:4">
      <c r="B4616">
        <v>95</v>
      </c>
      <c r="C4616" s="1">
        <f>hyperlink("https://hetutrechtsarchief.nl/collectie/8318E7EF9DDB5FA19E772E5EC62C875F","Memorie betrekkelijk het wapen der stad Utrecht overgegeven aan den Hoogen Raad van Adel van wege het Stedelijk Bestuur den 17 April 1815 265 -271 ill 1840")</f>
        <v>0</v>
      </c>
      <c r="D4616" s="1">
        <f>hyperlink("http://dspace.library.uu.nl/handle/1874/279640","Memorie betrekkelijk het wapen der Stad Utrecht overgegeven aan den Hoogen Raad van Adel van wege het Stedelijk Bestuur den 17 April 1815 J van Doelen 265 -271 1840")</f>
        <v>0</v>
      </c>
    </row>
    <row r="4617" spans="2:4">
      <c r="B4617">
        <v>91</v>
      </c>
      <c r="C4617" s="1">
        <f>hyperlink("https://hetutrechtsarchief.nl/collectie/C3494789B0C75DEDB6364FB4220C6338","Informatie voor die genen die van mijns genadigen heeren wegen van Utrecht ende den drien Staten van den lande gedeputeert zullen worden in den Hage by den Hoechgeboren Kaerle van Bourgoingien etc ruerende van de Veenen medeged door J J Dodt van Flensburg 272 -278 1840")</f>
        <v>0</v>
      </c>
      <c r="D4617" s="1">
        <f>hyperlink("http://dspace.library.uu.nl/handle/1874/279641","Informatie voor die genen die van mijns genadigen heeren wegen van Utrecht ende den drien Staten van den lande gedeputeert zullen worden in den Hage by den Hoechgeboren Kaerle van Bourgoingi n etc medegedeeld door J J Dodt van Flensburg J J Dodt van Flensburg 272 -278 1840")</f>
        <v>0</v>
      </c>
    </row>
    <row r="4618" spans="2:4">
      <c r="B4618">
        <v>82</v>
      </c>
      <c r="C4618" s="1">
        <f>hyperlink("https://hetutrechtsarchief.nl/collectie/A65D1F30402554BF90E3016FBAB47499","Historisch-chirurgische bijzonderheden uit de XV eeuw J J Dodt van Flensburg 278-288 1840")</f>
        <v>0</v>
      </c>
      <c r="D4618" s="1">
        <f>hyperlink("http://dspace.library.uu.nl/handle/1874/279642","Historisch-chirurgische bijzonderheden uit de XV eeuw medegedeeld door J J Dodt van Flensburg J J Dodt van Flensburg 278-288 1840")</f>
        <v>0</v>
      </c>
    </row>
    <row r="4619" spans="2:4">
      <c r="B4619">
        <v>88</v>
      </c>
      <c r="C4619" s="1">
        <f>hyperlink("https://hetutrechtsarchief.nl/collectie/0D120FFC63E75131ACBA730A57F242B6","Bij het overlijden van den heer Dirck van Velthuysen medeged door J J Dodt van Flensburg 289 -292 1840")</f>
        <v>0</v>
      </c>
      <c r="D4619" s="1">
        <f>hyperlink("http://dspace.library.uu.nl/handle/1874/279643","Bij het overlijden van den Heer Dirck van Velthuysen medegedeeld door J J Dodt van Flensburg J J Dodt van Flensburg 289 -292 1840")</f>
        <v>0</v>
      </c>
    </row>
    <row r="4620" spans="2:4">
      <c r="B4620">
        <v>96</v>
      </c>
      <c r="C4620" s="1">
        <f>hyperlink("https://hetutrechtsarchief.nl/collectie/3DD55E8A1BC7533FA7C4F4AC570B057C","Uitlegging der stad Utrecht ten jare 1664 aanmerkingen op de plan ofte grontcaerte der stadt Utrecht door den heer burgemeester Moreelsen 415 -437 1840")</f>
        <v>0</v>
      </c>
      <c r="D4620" s="1">
        <f>hyperlink("http://dspace.library.uu.nl/handle/1874/279644","Uitlegging der stad Utrecht ten jare 1664 aanmerkingen op de plan ofte grontcaerte der Stadt Utrecht door den Heer Burgemeester Moreelsen H Moreelse 415 -437 1840")</f>
        <v>0</v>
      </c>
    </row>
    <row r="4621" spans="2:4">
      <c r="B4621">
        <v>97</v>
      </c>
      <c r="C4621" s="1">
        <f>hyperlink("https://hetutrechtsarchief.nl/collectie/BC45ADD184625DC79D9814FD4E512FFE","Beschrijving van eenige romeinsche oudheden gevonden te Vechten W J A van Romondt 409 -414 1 pl 1840")</f>
        <v>0</v>
      </c>
      <c r="D4621" s="1">
        <f>hyperlink("http://dspace.library.uu.nl/handle/1874/279645","Beschrijving van eenige Romeinsche oudheden gevonden te Vechten W J A van Romondt 409 -414 1840")</f>
        <v>0</v>
      </c>
    </row>
    <row r="4622" spans="2:4">
      <c r="B4622">
        <v>76</v>
      </c>
      <c r="C4622" s="1">
        <f>hyperlink("https://hetutrechtsarchief.nl/collectie/9385FEDD22905C6AB26092059302183C","Zeden en gewoonten bij huwelijken en begrafenissen huwelijksplegtigheden 397 -405 1840")</f>
        <v>0</v>
      </c>
      <c r="D4622" s="1">
        <f>hyperlink("http://dspace.library.uu.nl/handle/1874/279646","Zeden en gewoonten bij huwelijken en begrafenissen P W Lothes 397 -405 jg 7 1841 p 53 -62 1840-1841")</f>
        <v>0</v>
      </c>
    </row>
    <row r="4623" spans="2:4">
      <c r="B4623">
        <v>91</v>
      </c>
      <c r="C4623" s="1">
        <f>hyperlink("https://hetutrechtsarchief.nl/collectie/AF8661E5417E5F368DEF69C0CC00B9EF","Krijgstoerustingen te Utrecht in 1815 tegen den algemenen vijand H J R 297 -357 1840")</f>
        <v>0</v>
      </c>
      <c r="D4623" s="1">
        <f>hyperlink("http://dspace.library.uu.nl/handle/1874/279647","Krijgstoerustingen te Utrecht in 1815 tegen den algemeenen vijand H J Royaards 297 -319 320 -357 1840")</f>
        <v>0</v>
      </c>
    </row>
    <row r="4624" spans="2:4">
      <c r="B4624">
        <v>58</v>
      </c>
      <c r="C4624" s="1">
        <f>hyperlink("https://hetutrechtsarchief.nl/collectie/4F7C73CBE7AB5007AD0C64655F1A418B","Naar aanleiding van den brand van 1007 A Johanna Maris 46-47 1957")</f>
        <v>0</v>
      </c>
      <c r="D4624" s="1">
        <f>hyperlink("http://dspace.library.uu.nl/handle/1874/279648","Aanstelling van den baljuw van St Jan J G A Roijaards 366-367 1840")</f>
        <v>0</v>
      </c>
    </row>
    <row r="4625" spans="2:4">
      <c r="B4625">
        <v>56</v>
      </c>
      <c r="C4625" s="1">
        <f>hyperlink("https://hetutrechtsarchief.nl/collectie/92B1778F3FBF5217AA06ACD4CB0D6042","Evert Rein van Nes ambachtsheer van Meerkerk ridder der orde van den Nederlandschen Leeuw en lid van den Hoogen Raad der Nederlanden 12-16 1849")</f>
        <v>0</v>
      </c>
      <c r="D4625" s="1">
        <f>hyperlink("http://dspace.library.uu.nl/handle/1874/279649","Vergoeding van landswege aan den heer van Amerongen wegens de devastatie van het huis en de bossen van Amerongen door de Franschen in 1672 143 -145 1840")</f>
        <v>0</v>
      </c>
    </row>
    <row r="4626" spans="2:4">
      <c r="B4626">
        <v>66</v>
      </c>
      <c r="C4626" s="1">
        <f>hyperlink("https://hetutrechtsarchief.nl/collectie/2EFDA4EC98695C9ABBEC4C4EDABF6AD9","Vonnis 1654 Steven Cornelis Joncker 98 -99 1840")</f>
        <v>0</v>
      </c>
      <c r="D4626" s="1">
        <f>hyperlink("http://dspace.library.uu.nl/handle/1874/279650","Vonnis 1654 98 -99 1840")</f>
        <v>0</v>
      </c>
    </row>
    <row r="4627" spans="2:4">
      <c r="B4627">
        <v>99</v>
      </c>
      <c r="C4627" s="1">
        <f>hyperlink("https://hetutrechtsarchief.nl/collectie/562FF1C019FB55E0A8C166D49B017B2E","Aanteekening omtrent eene schilderij van het jaar 1363 voorkomende in de verzameling van den ridder Florent van Ertborn oud-gouverneur der provincie Utrecht 149 -156 1 pl 1840")</f>
        <v>0</v>
      </c>
      <c r="D4627" s="1">
        <f>hyperlink("http://dspace.library.uu.nl/handle/1874/279651","Aanteekening omtrent eene schilderij van het jaar 1363 voorkomende in de verzameling van den ridder Florent van Ertborn oud gouverneur der provincie Utrecht 149 -156 1840")</f>
        <v>0</v>
      </c>
    </row>
    <row r="4628" spans="2:4">
      <c r="B4628">
        <v>100</v>
      </c>
      <c r="C4628" s="1">
        <f>hyperlink("https://hetutrechtsarchief.nl/collectie/F75993B1524659EEA13A975282B70167","Militair logement 218 -219 1840")</f>
        <v>0</v>
      </c>
      <c r="D4628" s="1">
        <f>hyperlink("http://dspace.library.uu.nl/handle/1874/279652","Militair logement 218 -219 1840")</f>
        <v>0</v>
      </c>
    </row>
    <row r="4629" spans="2:4">
      <c r="B4629">
        <v>70</v>
      </c>
      <c r="C4629" s="1">
        <f>hyperlink("https://hetutrechtsarchief.nl/collectie/30215B541A0851FB9C8AE9028ADA582A","Requeste van die van de Kerkeraad der Nederd Gereform Gemeente binnen Utrecht aan de Vroedschap der stad Utrecht tegen de comedie 259 -261 1840")</f>
        <v>0</v>
      </c>
      <c r="D4629" s="1">
        <f>hyperlink("http://dspace.library.uu.nl/handle/1874/279653","Jaarmarkt Requeste van de Kerkeraad der Nederd Gereform Gemeente binnen Utrecht 259 -261 1840")</f>
        <v>0</v>
      </c>
    </row>
    <row r="4630" spans="2:4">
      <c r="B4630">
        <v>89</v>
      </c>
      <c r="C4630" s="1">
        <f>hyperlink("https://hetutrechtsarchief.nl/collectie/750227FDDEFA5E48A412544E9EFDF16F","Bijdrage aangaande den Balderikstoren tusschen de Waard- en Catharijne poorten in verband met de oude bemuring der stad Utrecht - v A v W 225 -237 1 uitvouwb pl 1840")</f>
        <v>0</v>
      </c>
      <c r="D4630" s="1">
        <f>hyperlink("http://dspace.library.uu.nl/handle/1874/279654","Bijdrage aangaande de Balderiks-toren tusschen de Waard- en Catherijne poorten in verband met de oude bemuring der stad Utrecht H M A J van Asch van Wijck 225 -237 1840")</f>
        <v>0</v>
      </c>
    </row>
    <row r="4631" spans="2:4">
      <c r="B4631">
        <v>51</v>
      </c>
      <c r="C4631" s="1">
        <f>hyperlink("https://hetutrechtsarchief.nl/collectie/2EE68D05A5C25D4E99D9BF75BFE96BE4","Canon van de geschiedenis van IJsselstein onder red van Charles Burghard en Tobias van Dijk 2-20 2013")</f>
        <v>0</v>
      </c>
      <c r="D4631" s="1">
        <f>hyperlink("http://dspace.library.uu.nl/handle/1874/279866","Bioscoop Concordia de bioscoop van IJsselstein en haar culturele bemiddelaars 1948-1959 Rosa van Holten 2013")</f>
        <v>0</v>
      </c>
    </row>
    <row r="4632" spans="2:4">
      <c r="B4632">
        <v>100</v>
      </c>
      <c r="C4632" s="1">
        <f>hyperlink("https://hetutrechtsarchief.nl/collectie/FA3B3BB38A875F488EFA74432A69CC72","Een blekerij bij Amersfoort J Belonje 24 1972")</f>
        <v>0</v>
      </c>
      <c r="D4632" s="1">
        <f>hyperlink("http://dspace.library.uu.nl/handle/1874/283105","Een blekerij bij Amersfoort J Belonje 24 1972")</f>
        <v>0</v>
      </c>
    </row>
    <row r="4633" spans="2:4">
      <c r="B4633">
        <v>98</v>
      </c>
      <c r="C4633" s="1">
        <f>hyperlink("https://hetutrechtsarchief.nl/collectie/B6F6067DE27E557A981A3ED620B3EC73","De Heus Sluishoef onder De Bilt en een rechtssymbool H W M J Kits Nieuwenkamp 14-16 ill 1972")</f>
        <v>0</v>
      </c>
      <c r="D4633" s="1">
        <f>hyperlink("http://dspace.library.uu.nl/handle/1874/283106","De Heus Sluishoef onder De Bilt en een rechtssymbool H W M J Kits Nieuwenkamp 14-16 1972")</f>
        <v>0</v>
      </c>
    </row>
    <row r="4634" spans="2:4">
      <c r="B4634">
        <v>68</v>
      </c>
      <c r="C4634" s="1">
        <f>hyperlink("https://hetutrechtsarchief.nl/collectie/45C5C1E143BD5121B7A17777EE9A76CC","Dansen op de doodskist E P Polak-de Booy 23-24 tek 1970")</f>
        <v>0</v>
      </c>
      <c r="D4634" s="1">
        <f>hyperlink("http://dspace.library.uu.nl/handle/1874/283107","De Heus E P Polak-de Booy 32 1972")</f>
        <v>0</v>
      </c>
    </row>
    <row r="4635" spans="2:4">
      <c r="B4635">
        <v>98</v>
      </c>
      <c r="C4635" s="1">
        <f>hyperlink("https://hetutrechtsarchief.nl/collectie/E57E9D6B1AB95C21A43877F0B49F5101","Sluiten is niet slopen drie neogotische kerken in Utrechtse binnenstad Werkgroep Neogotiek 34-38 ill 1972")</f>
        <v>0</v>
      </c>
      <c r="D4635" s="1">
        <f>hyperlink("http://dspace.library.uu.nl/handle/1874/283108","Sluiten is niet slopen drie neogothische kerken in Utrechtse binnenstad Werkgroep Neogotiek 34-38 1972")</f>
        <v>0</v>
      </c>
    </row>
    <row r="4636" spans="2:4">
      <c r="B4636">
        <v>96</v>
      </c>
      <c r="C4636" s="1">
        <f>hyperlink("https://hetutrechtsarchief.nl/collectie/3C3AEAAEF41151EDA3E5379CF338B585","Utrechtse schouten tot 1300 D A Berents 29-31 ill 1972")</f>
        <v>0</v>
      </c>
      <c r="D4636" s="1">
        <f>hyperlink("http://dspace.library.uu.nl/handle/1874/283109","Utrechtse schouten tot 1300 D A Berents 29-31 1972")</f>
        <v>0</v>
      </c>
    </row>
    <row r="4637" spans="2:4">
      <c r="B4637">
        <v>92</v>
      </c>
      <c r="C4637" s="1">
        <f>hyperlink("https://hetutrechtsarchief.nl/collectie/8EC6AB811F69566EA7F8074D32F5825F","Fort Rhijnauwen ongeschonden houden - K 12-13 1972")</f>
        <v>0</v>
      </c>
      <c r="D4637" s="1">
        <f>hyperlink("http://dspace.library.uu.nl/handle/1874/283110","Fort Rhijnauwen ongeschonden houden B Kieboom 12-13 1972")</f>
        <v>0</v>
      </c>
    </row>
    <row r="4638" spans="2:4">
      <c r="B4638">
        <v>92</v>
      </c>
      <c r="C4638" s="1">
        <f>hyperlink("https://hetutrechtsarchief.nl/collectie/1C59E2F0D3765D1B810BE243B61F3CA8","Herbouwd Domschip in het groene gras - K 32 1972")</f>
        <v>0</v>
      </c>
      <c r="D4638" s="1">
        <f>hyperlink("http://dspace.library.uu.nl/handle/1874/283111","Herbouwd Domschip in het groene gras B Kieboom 32 1972")</f>
        <v>0</v>
      </c>
    </row>
    <row r="4639" spans="2:4">
      <c r="B4639">
        <v>92</v>
      </c>
      <c r="C4639" s="1">
        <f>hyperlink("https://hetutrechtsarchief.nl/collectie/06355CDF309A58758BA919AB42699565","In t geweer voor Achter Clarenburg - K 7-8 1972")</f>
        <v>0</v>
      </c>
      <c r="D4639" s="1">
        <f>hyperlink("http://dspace.library.uu.nl/handle/1874/283112","In t geweer voor Achter Clarenburg B Kieboom 7-8 1972")</f>
        <v>0</v>
      </c>
    </row>
    <row r="4640" spans="2:4">
      <c r="B4640">
        <v>92</v>
      </c>
      <c r="C4640" s="1">
        <f>hyperlink("https://hetutrechtsarchief.nl/collectie/B5E888B15BEB5EA3982D38BD6C4F9897","Stadsarcheoloog aan taak begonnen - K 28 1972")</f>
        <v>0</v>
      </c>
      <c r="D4640" s="1">
        <f>hyperlink("http://dspace.library.uu.nl/handle/1874/283113","Stadsarcheoloog aan taak begonnen B Kieboom 28 1972")</f>
        <v>0</v>
      </c>
    </row>
    <row r="4641" spans="2:4">
      <c r="B4641">
        <v>96</v>
      </c>
      <c r="C4641" s="1">
        <f>hyperlink("https://hetutrechtsarchief.nl/collectie/78A9299AF8465D9CAC7D9B2AA5E7126E","Mariaplaats 22 een monument A F E Kipp 9-10 tek 1972")</f>
        <v>0</v>
      </c>
      <c r="D4641" s="1">
        <f>hyperlink("http://dspace.library.uu.nl/handle/1874/283114","Mariaplaats 22 een monument A F E Kipp 9-10 1972")</f>
        <v>0</v>
      </c>
    </row>
    <row r="4642" spans="2:4">
      <c r="B4642">
        <v>100</v>
      </c>
      <c r="C4642" s="1">
        <f>hyperlink("https://hetutrechtsarchief.nl/collectie/9B68233F7D0B51BCA4501D857F43B166","Woerden en Utrecht in de Middeleeuwen Nico Plomp 19-20 1972")</f>
        <v>0</v>
      </c>
      <c r="D4642" s="1">
        <f>hyperlink("http://dspace.library.uu.nl/handle/1874/283115","Woerden en Utrecht in de Middeleeuwen Nico Plomp 19-20 1972")</f>
        <v>0</v>
      </c>
    </row>
    <row r="4643" spans="2:4">
      <c r="B4643">
        <v>84</v>
      </c>
      <c r="C4643" s="1">
        <f>hyperlink("https://hetutrechtsarchief.nl/collectie/CDCE9EFBA12A5D8D923E5582150061EB","Een stad vol scholen Utrechtse scholenhouders in 1663 J Belonje 21-24 ill 1972")</f>
        <v>0</v>
      </c>
      <c r="D4643" s="1">
        <f>hyperlink("http://dspace.library.uu.nl/handle/1874/283116","Een stad vol scholen Utrechtse scholenhouders in 1663 E P Polak-de Booy 21-23 1972")</f>
        <v>0</v>
      </c>
    </row>
    <row r="4644" spans="2:4">
      <c r="B4644">
        <v>97</v>
      </c>
      <c r="C4644" s="1">
        <f>hyperlink("https://hetutrechtsarchief.nl/collectie/78FE616E732A500880F1F7D64FEC97E5","1972 Utrecht 850 jaar stadsrecht J E A L Struick 1-6 ill 1972")</f>
        <v>0</v>
      </c>
      <c r="D4644" s="1">
        <f>hyperlink("http://dspace.library.uu.nl/handle/1874/283117","1972 Utrecht 850 jaar stadsrecht J E A L Struick 1-6 1972")</f>
        <v>0</v>
      </c>
    </row>
    <row r="4645" spans="2:4">
      <c r="B4645">
        <v>93</v>
      </c>
      <c r="C4645" s="1">
        <f>hyperlink("https://hetutrechtsarchief.nl/collectie/B464FC7A62D05ACD93A39AAB103597DF","Premies op schadelijk wild H W M J Kits Nieuwenkamp 78-79 ill 1972")</f>
        <v>0</v>
      </c>
      <c r="D4645" s="1">
        <f>hyperlink("http://dspace.library.uu.nl/handle/1874/283256","Premies op schadelijk wild H W M J K ts Nieuwenkamp 78 1972")</f>
        <v>0</v>
      </c>
    </row>
    <row r="4646" spans="2:4">
      <c r="B4646">
        <v>97</v>
      </c>
      <c r="C4646" s="1">
        <f>hyperlink("https://hetutrechtsarchief.nl/collectie/E02127E7160854C293F5DE1A0F1B1D06","Wapen voor waterschap Kromme Rijn H W M J Kits Nieuwenkamp 46-47 ill 1972")</f>
        <v>0</v>
      </c>
      <c r="D4646" s="1">
        <f>hyperlink("http://dspace.library.uu.nl/handle/1874/283257","Wapen voor Waterschap Kromme Rijn H W M J Kits Nieuwenkamp 46-47 1972")</f>
        <v>0</v>
      </c>
    </row>
    <row r="4647" spans="2:4">
      <c r="B4647">
        <v>82</v>
      </c>
      <c r="C4647" s="1">
        <f>hyperlink("https://hetutrechtsarchief.nl/collectie/99B78E544B24515CB3FA0D49906AC6E4","Steen- en pannenbakkerijen langs de Vecht 1 2 en 3 F H Landzaat m m v J Hollestelle 42-44 54-56 61-63 ill 1972")</f>
        <v>0</v>
      </c>
      <c r="D4647" s="1">
        <f>hyperlink("http://dspace.library.uu.nl/handle/1874/283258","Steen- en pannenbakkerijen langs de Vecht J Landzaat F H Hollestelle 42-44 nr 7 p 54-56 nr 8 p 61-63 1972")</f>
        <v>0</v>
      </c>
    </row>
    <row r="4648" spans="2:4">
      <c r="B4648">
        <v>86</v>
      </c>
      <c r="C4648" s="1">
        <f>hyperlink("https://hetutrechtsarchief.nl/collectie/AE586571105D5925B92743FDB5163945","Sint Aegtenkapel Amersfoort na eeuwen in ere hersteld - K 52-53 ill 1972")</f>
        <v>0</v>
      </c>
      <c r="D4648" s="1">
        <f>hyperlink("http://dspace.library.uu.nl/handle/1874/283259","Sint Aegtenkapel Amersfoort na eeuwen hersteld B Kieboom 52-53 1972")</f>
        <v>0</v>
      </c>
    </row>
    <row r="4649" spans="2:4">
      <c r="B4649">
        <v>73</v>
      </c>
      <c r="C4649" s="1">
        <f>hyperlink("https://hetutrechtsarchief.nl/collectie/23B2B2E4E7C756B4A8B50129C3D3420B","Van twee grafmonumenten en een penning 1 en 2 P H Damst 87-88 96 ill 1972")</f>
        <v>0</v>
      </c>
      <c r="D4649" s="1">
        <f>hyperlink("http://dspace.library.uu.nl/handle/1874/283260","Van twee grafmonumenten en een penning P H Damst 87-88 nr 12 p 95-96 jg 46 1973 nr 1 p 6-7 1972-1973")</f>
        <v>0</v>
      </c>
    </row>
    <row r="4650" spans="2:4">
      <c r="B4650">
        <v>79</v>
      </c>
      <c r="C4650" s="1">
        <f>hyperlink("https://hetutrechtsarchief.nl/collectie/96EF03E914495EE08466CC3032E39921","Zuilen voorop met openbare begraafplaats 93 1972")</f>
        <v>0</v>
      </c>
      <c r="D4650" s="1">
        <f>hyperlink("http://dspace.library.uu.nl/handle/1874/283261","Zuilen voorop met openbare begraafplaats J G van Cittert-Eymers 93-94 1972")</f>
        <v>0</v>
      </c>
    </row>
    <row r="4651" spans="2:4">
      <c r="B4651">
        <v>88</v>
      </c>
      <c r="C4651" s="1">
        <f>hyperlink("https://hetutrechtsarchief.nl/collectie/1480D9792A8B5E9E8D77731F21FC1EF9","Schouten en partijverhoudingen D A Berents")</f>
        <v>0</v>
      </c>
      <c r="D4651" s="1">
        <f>hyperlink("http://dspace.library.uu.nl/handle/1874/283262","Schouten en partijverhoudingen D A Berents 76-77 1972")</f>
        <v>0</v>
      </c>
    </row>
    <row r="4652" spans="2:4">
      <c r="B4652">
        <v>96</v>
      </c>
      <c r="C4652" s="1">
        <f>hyperlink("https://hetutrechtsarchief.nl/collectie/69E564901D0E5ECF9096709077DBD8B0","Taak van schout en schepenen D A Berents 58-60 ill 1972")</f>
        <v>0</v>
      </c>
      <c r="D4652" s="1">
        <f>hyperlink("http://dspace.library.uu.nl/handle/1874/283263","Taak van schout en schepenen D A Berents 58-60 1972")</f>
        <v>0</v>
      </c>
    </row>
    <row r="4653" spans="2:4">
      <c r="B4653">
        <v>95</v>
      </c>
      <c r="C4653" s="1">
        <f>hyperlink("https://hetutrechtsarchief.nl/collectie/30A8FBA8270B5D9993F5289E419E43FC","Dochters dochters E P de Booy 66-69 ill 1972")</f>
        <v>0</v>
      </c>
      <c r="D4653" s="1">
        <f>hyperlink("http://dspace.library.uu.nl/handle/1874/283264","Dochters dochters E P de Booy 66-69 1972")</f>
        <v>0</v>
      </c>
    </row>
    <row r="4654" spans="2:4">
      <c r="B4654">
        <v>89</v>
      </c>
      <c r="C4654" s="1">
        <f>hyperlink("https://hetutrechtsarchief.nl/collectie/288A0CA283B050F1BEE050CA027AC03F","Majestueuse langzaamheid de Utrechtse Telephoonkwestie 75 jaar geleden Maria W Derks-Verhagen en Peter H Kylstra 82-86 ill 1972")</f>
        <v>0</v>
      </c>
      <c r="D4654" s="1">
        <f>hyperlink("http://dspace.library.uu.nl/handle/1874/283265","Majestueuse langzaamheid de Utrechtse Telephoonkwestie 75 jaar geleden Peter H Derks-Verhagen Maria W Kylstra 82-86 1972")</f>
        <v>0</v>
      </c>
    </row>
    <row r="4655" spans="2:4">
      <c r="B4655">
        <v>91</v>
      </c>
      <c r="C4655" s="1">
        <f>hyperlink("https://hetutrechtsarchief.nl/collectie/31DDC38A173B5DFA8AB601DF6024C6FA","Muntvondst in bouwput H Enno van Gelder 1916- 73-74 ill 1972")</f>
        <v>0</v>
      </c>
      <c r="D4655" s="1">
        <f>hyperlink("http://dspace.library.uu.nl/handle/1874/283266","Muntvondst in bouwput H Enno van Gelder 73-74 1972")</f>
        <v>0</v>
      </c>
    </row>
    <row r="4656" spans="2:4">
      <c r="B4656">
        <v>60</v>
      </c>
      <c r="C4656" s="1">
        <f>hyperlink("https://hetutrechtsarchief.nl/collectie/1211421DA92B59B3B2558793B70267F6","Een dubbele doop A Graafhuis 32 39-40 aanv 1974")</f>
        <v>0</v>
      </c>
      <c r="D4656" s="1">
        <f>hyperlink("http://dspace.library.uu.nl/handle/1874/283267","Geef Utrecht de vijf A Graafhuis 94-95 1972")</f>
        <v>0</v>
      </c>
    </row>
    <row r="4657" spans="2:4">
      <c r="B4657">
        <v>100</v>
      </c>
      <c r="C4657" s="1">
        <f>hyperlink("https://hetutrechtsarchief.nl/collectie/07351AEFE8895DC1A02EA8A4DAC5EC2E","Samuel Muller Frederikszoon 1848-1872-1922 A Graafhuis 90 1972")</f>
        <v>0</v>
      </c>
      <c r="D4657" s="1">
        <f>hyperlink("http://dspace.library.uu.nl/handle/1874/283268","Samuel Muller Frederikszoon 1848-1872-1922 A Graafhuis 90 1972")</f>
        <v>0</v>
      </c>
    </row>
    <row r="4658" spans="2:4">
      <c r="B4658">
        <v>100</v>
      </c>
      <c r="C4658" s="1">
        <f>hyperlink("https://hetutrechtsarchief.nl/collectie/633A79FFB23A5A88AAFAF47BF97066BC","Wat gaat er gebeuren met De Utrecht A Graafhuis 86 1972")</f>
        <v>0</v>
      </c>
      <c r="D4658" s="1">
        <f>hyperlink("http://dspace.library.uu.nl/handle/1874/283269","Wat gaat er gebeuren met De Utrecht A Graafhuis 86 1972")</f>
        <v>0</v>
      </c>
    </row>
    <row r="4659" spans="2:4">
      <c r="B4659">
        <v>96</v>
      </c>
      <c r="C4659" s="1">
        <f>hyperlink("https://hetutrechtsarchief.nl/collectie/7CFDF721837D59CFACAF50050AE41413","Russisch kolonel op bezoek P t Hart 91-93 ill 1972")</f>
        <v>0</v>
      </c>
      <c r="D4659" s="1">
        <f>hyperlink("http://dspace.library.uu.nl/handle/1874/283270","Russisch kolonel op bezoek P t Hart 91-93 1972")</f>
        <v>0</v>
      </c>
    </row>
    <row r="4660" spans="2:4">
      <c r="B4660">
        <v>95</v>
      </c>
      <c r="C4660" s="1">
        <f>hyperlink("https://hetutrechtsarchief.nl/collectie/0DB3E4F874995D15A4144ED0387FF4B3","Restauratie grote stadskerken vergt jaarlijks ruim twee miljoen - K 45 1972")</f>
        <v>0</v>
      </c>
      <c r="D4660" s="1">
        <f>hyperlink("http://dspace.library.uu.nl/handle/1874/283271","Restauratie grote stadskerken vergt jaarlijks ruim twee miljoen B Kieboom 45 1972")</f>
        <v>0</v>
      </c>
    </row>
    <row r="4661" spans="2:4">
      <c r="B4661">
        <v>83</v>
      </c>
      <c r="C4661" s="1">
        <f>hyperlink("https://hetutrechtsarchief.nl/collectie/5A06F3D16A7557908614AB1976D3E58D","Stormloop op middeleeuws eten 49-51 ill 1972")</f>
        <v>0</v>
      </c>
      <c r="D4661" s="1">
        <f>hyperlink("http://dspace.library.uu.nl/handle/1874/283272","Stormloop op middeleeuws eten B Kieboom 49-52 1972")</f>
        <v>0</v>
      </c>
    </row>
    <row r="4662" spans="2:4">
      <c r="B4662">
        <v>98</v>
      </c>
      <c r="C4662" s="1">
        <f>hyperlink("https://hetutrechtsarchief.nl/collectie/AFF4E8F0AC8F56529154E97593AD1E9F","Utrecht 850 jaar stadsrecht aanvulling A Johanna Maris 39 1972")</f>
        <v>0</v>
      </c>
      <c r="D4662" s="1">
        <f>hyperlink("http://dspace.library.uu.nl/handle/1874/283273","Utrecht 850 jaar stadsrecht aanvulling A Johanna Maris 39-40 1972")</f>
        <v>0</v>
      </c>
    </row>
    <row r="4663" spans="2:4">
      <c r="B4663">
        <v>100</v>
      </c>
      <c r="C4663" s="1">
        <f>hyperlink("https://hetutrechtsarchief.nl/collectie/CEA9C5B363C1563CBF916249BBB6BB6A","Mijmerij over verleden heden toekomst W F van Schaverbeke 89-90 1972")</f>
        <v>0</v>
      </c>
      <c r="D4663" s="1">
        <f>hyperlink("http://dspace.library.uu.nl/handle/1874/283274","Mijmerij over verleden-heden-toekomst W F van Schaverbeke 89-90 1972")</f>
        <v>0</v>
      </c>
    </row>
    <row r="4664" spans="2:4">
      <c r="B4664">
        <v>100</v>
      </c>
      <c r="C4664" s="1">
        <f>hyperlink("https://hetutrechtsarchief.nl/collectie/2E329D50459350DBB0AA48ACEE84F066","Utrechtse Dom tragische zaak Joh H Stolk 75 1972")</f>
        <v>0</v>
      </c>
      <c r="D4664" s="1">
        <f>hyperlink("http://dspace.library.uu.nl/handle/1874/283275","Utrechtse Dom tragische zaak Joh H Stolk 75 1972")</f>
        <v>0</v>
      </c>
    </row>
    <row r="4665" spans="2:4">
      <c r="B4665">
        <v>100</v>
      </c>
      <c r="C4665" s="1">
        <f>hyperlink("https://hetutrechtsarchief.nl/collectie/F21EF16BBCAC54CD84702A3761A4AFBA","Testament van een regent A Graafhuis 7-8 1973")</f>
        <v>0</v>
      </c>
      <c r="D4665" s="1">
        <f>hyperlink("http://dspace.library.uu.nl/handle/1874/283276","Testament van een regent A Graafhuis 7-8 1973")</f>
        <v>0</v>
      </c>
    </row>
    <row r="4666" spans="2:4">
      <c r="B4666">
        <v>86</v>
      </c>
      <c r="C4666" s="1">
        <f>hyperlink("https://hetutrechtsarchief.nl/collectie/30A202FE82F55FD18A49CB97419198B7","Pestis Bovina in Utrecht 1813-1814 P D t Hart m m v P Lourens 2-6 ill krt 1973")</f>
        <v>0</v>
      </c>
      <c r="D4666" s="1">
        <f>hyperlink("http://dspace.library.uu.nl/handle/1874/283277","Pestis bovina in Utrecht 1813-1814 P Hart P D t Lourens 2-6 1973")</f>
        <v>0</v>
      </c>
    </row>
    <row r="4667" spans="2:4">
      <c r="B4667">
        <v>92</v>
      </c>
      <c r="C4667" s="1">
        <f>hyperlink("https://hetutrechtsarchief.nl/collectie/02C2353EA4615A8892E730E6D21C6756","Volkstaal en bijnamen hou je moel in t Veen hoor J van Binsbergen 70-71 1972")</f>
        <v>0</v>
      </c>
      <c r="D4667" s="1">
        <f>hyperlink("http://dspace.library.uu.nl/handle/1874/283278","Volkstaal en bijnamen Hou je moel in t Veen J van Binsbergen 1972")</f>
        <v>0</v>
      </c>
    </row>
    <row r="4668" spans="2:4">
      <c r="B4668">
        <v>94</v>
      </c>
      <c r="C4668" s="1">
        <f>hyperlink("https://hetutrechtsarchief.nl/collectie/0E9AB42C909A5B9F80CC8E371797D252","Theedrinken tussen steen- en panovens F H Landzaat 58-59 ill 1973")</f>
        <v>0</v>
      </c>
      <c r="D4668" s="1">
        <f>hyperlink("http://dspace.library.uu.nl/handle/1874/283495","Theedrinken tussen steen- en panovens F H Landzaat 58-60 1973")</f>
        <v>0</v>
      </c>
    </row>
    <row r="4669" spans="2:4">
      <c r="B4669">
        <v>97</v>
      </c>
      <c r="C4669" s="1">
        <f>hyperlink("https://hetutrechtsarchief.nl/collectie/84284F8CC64955DCAED5821711896FF0","Restauratie Groenesteijn gelukkig compromis P H Damst 26-27 ill 1973")</f>
        <v>0</v>
      </c>
      <c r="D4669" s="1">
        <f>hyperlink("http://dspace.library.uu.nl/handle/1874/283496","Restauratie Groenesteijn gelukkig compromis P H Damst 26-27 1973")</f>
        <v>0</v>
      </c>
    </row>
    <row r="4670" spans="2:4">
      <c r="B4670">
        <v>100</v>
      </c>
      <c r="C4670" s="1">
        <f>hyperlink("https://hetutrechtsarchief.nl/collectie/D4694182DD955D1CA756DC5CD6A775EC","Het trekpad langs de Kromme Rijn tussen Wijk en Cothen H W M J Kits Nieuwenkamp 62-63 1973")</f>
        <v>0</v>
      </c>
      <c r="D4670" s="1">
        <f>hyperlink("http://dspace.library.uu.nl/handle/1874/283497","Het trekpad langs de Kromme Rijn tussen Wijk en Cothen H W M J Kits Nieuwenkamp 62-63 1973")</f>
        <v>0</v>
      </c>
    </row>
    <row r="4671" spans="2:4">
      <c r="B4671">
        <v>77</v>
      </c>
      <c r="C4671" s="1">
        <f>hyperlink("https://hetutrechtsarchief.nl/collectie/A3D64D4A0ABE5AED97AEAB44E0DFC411","Het Kerkplein van Rijsenburg Wim Harzing 66-67 ill plgr 1973")</f>
        <v>0</v>
      </c>
      <c r="D4671" s="1">
        <f>hyperlink("http://dspace.library.uu.nl/handle/1874/283498","Het Kerkplein van Rijsenburg Wim Harzing 66-67 jg 48 1975 nr 6 p 44-45 1973-1975")</f>
        <v>0</v>
      </c>
    </row>
    <row r="4672" spans="2:4">
      <c r="B4672">
        <v>57</v>
      </c>
      <c r="C4672" s="1">
        <f>hyperlink("https://hetutrechtsarchief.nl/collectie/1DC320207FE05D7E9019BE03BB2918B4","Hoop op historisch museum 15 2003")</f>
        <v>0</v>
      </c>
      <c r="D4672" s="1">
        <f>hyperlink("http://dspace.library.uu.nl/handle/1874/283499","Ondermijning historisch besef 15 1973")</f>
        <v>0</v>
      </c>
    </row>
    <row r="4673" spans="2:4">
      <c r="B4673">
        <v>58</v>
      </c>
      <c r="C4673" s="1">
        <f>hyperlink("https://hetutrechtsarchief.nl/collectie/A2E8407EEC635FCC95EA88D9BCA44E7B","Lunetten 3 - 24 1983")</f>
        <v>0</v>
      </c>
      <c r="D4673" s="1">
        <f>hyperlink("http://dspace.library.uu.nl/handle/1874/283500","Nieuwegein 24 1973")</f>
        <v>0</v>
      </c>
    </row>
    <row r="4674" spans="2:4">
      <c r="B4674">
        <v>94</v>
      </c>
      <c r="C4674" s="1">
        <f>hyperlink("https://hetutrechtsarchief.nl/collectie/C549404CE7D15B929D9C8C971105D62C","Vergeten toponymen in Soest E Heupers 41-43 ill 1973")</f>
        <v>0</v>
      </c>
      <c r="D4674" s="1">
        <f>hyperlink("http://dspace.library.uu.nl/handle/1874/283501","Vergeten toponymen in Soest E Heupers 41-45 1973")</f>
        <v>0</v>
      </c>
    </row>
    <row r="4675" spans="2:4">
      <c r="B4675">
        <v>93</v>
      </c>
      <c r="C4675" s="1">
        <f>hyperlink("https://hetutrechtsarchief.nl/collectie/09827FC95EF257D3ACBE45731E99C694","Momentopnamen van een stijlvolle jubileumviering 28-29 foto s 1973")</f>
        <v>0</v>
      </c>
      <c r="D4675" s="1">
        <f>hyperlink("http://dspace.library.uu.nl/handle/1874/283502","Momentopnamen van een stijlvolle jubileumviering 28 - 29 1973")</f>
        <v>0</v>
      </c>
    </row>
    <row r="4676" spans="2:4">
      <c r="B4676">
        <v>95</v>
      </c>
      <c r="C4676" s="1">
        <f>hyperlink("https://hetutrechtsarchief.nl/collectie/15607408D90B5DF1AC35A6F0160132E0","Utrecht als vesting J D M Bardet 36-38 plgr 1973")</f>
        <v>0</v>
      </c>
      <c r="D4676" s="1">
        <f>hyperlink("http://dspace.library.uu.nl/handle/1874/283503","Utrecht als vesting J D M Bardet 36-38 1973")</f>
        <v>0</v>
      </c>
    </row>
    <row r="4677" spans="2:4">
      <c r="B4677">
        <v>86</v>
      </c>
      <c r="C4677" s="1">
        <f>hyperlink("https://hetutrechtsarchief.nl/collectie/2C646A04DAB85B4B93A5B21DEE77EE9D","Gedachten over Utrechts binnenstad 1 en 2 B C van Beusekom 30-35 ill 1973")</f>
        <v>0</v>
      </c>
      <c r="D4677" s="1">
        <f>hyperlink("http://dspace.library.uu.nl/handle/1874/283504","Gedachten over Utrechts binnenstad B C van Beusekom 30-32 nr 5 33-35 1973")</f>
        <v>0</v>
      </c>
    </row>
    <row r="4678" spans="2:4">
      <c r="B4678">
        <v>89</v>
      </c>
      <c r="C4678" s="1">
        <f>hyperlink("https://hetutrechtsarchief.nl/collectie/135292E08DC553268624A17AD90FBA4B","Utrechtse misbaksels uit 1400 A Bruijn en T J Hoekstra 19-22 ill 1973")</f>
        <v>0</v>
      </c>
      <c r="D4678" s="1">
        <f>hyperlink("http://dspace.library.uu.nl/handle/1874/283505","Utrechtse misbaksels uit 1400 T J Bruijn A Hoekstra 19-22 1973")</f>
        <v>0</v>
      </c>
    </row>
    <row r="4679" spans="2:4">
      <c r="B4679">
        <v>93</v>
      </c>
      <c r="C4679" s="1">
        <f>hyperlink("https://hetutrechtsarchief.nl/collectie/DDAE124E95D95C9A99FEF777D0457E2E","De collectie van Taets van Amerongen A Graafhuis 12-14 ill 1973")</f>
        <v>0</v>
      </c>
      <c r="D4679" s="1">
        <f>hyperlink("http://dspace.library.uu.nl/handle/1874/283506","De collectie Taets van Amerongen A Graafhuis 12-14 1973")</f>
        <v>0</v>
      </c>
    </row>
    <row r="4680" spans="2:4">
      <c r="B4680">
        <v>81</v>
      </c>
      <c r="C4680" s="1">
        <f>hyperlink("https://hetutrechtsarchief.nl/collectie/14382CDB89965FF880AA03DA3F5BED72","De restauratie van het centrum t Hoogt F Kipp en T Zoetelief 49-56 63-64 aanv ill plgr tek 1973")</f>
        <v>0</v>
      </c>
      <c r="D4680" s="1">
        <f>hyperlink("http://dspace.library.uu.nl/handle/1874/283507","De restauratie van het centrum t Hoogt T Kipp F Zoetelief 49-56 nr 7 p 63- 64 1973")</f>
        <v>0</v>
      </c>
    </row>
    <row r="4681" spans="2:4">
      <c r="B4681">
        <v>96</v>
      </c>
      <c r="C4681" s="1">
        <f>hyperlink("https://hetutrechtsarchief.nl/collectie/366BAE58517354D18252D4F8CE15033F","Prof dr Pieter Harting veelzijdig Utrechts hoogleraar G Koppert 46-48 portr 1973")</f>
        <v>0</v>
      </c>
      <c r="D4681" s="1">
        <f>hyperlink("http://dspace.library.uu.nl/handle/1874/283508","Prof dr Pieter Harting veelzijdig Utrechts hoogleraar G Koppert 46-48 1973")</f>
        <v>0</v>
      </c>
    </row>
    <row r="4682" spans="2:4">
      <c r="B4682">
        <v>86</v>
      </c>
      <c r="C4682" s="1">
        <f>hyperlink("https://hetutrechtsarchief.nl/collectie/25332F6981EE5000923035CE496EEB90","De verdwenen Rijnloop I en II waarnemingen in de bouwput van V D Achter Clarenburg H H van Regteren Altena en H Sarfatij 68-70 77-79 ill schema s 1973")</f>
        <v>0</v>
      </c>
      <c r="D4682" s="1">
        <f>hyperlink("http://dspace.library.uu.nl/handle/1874/283509","De verdwenen Rijnloop waarnemingen in de bouwput van V D Achter Clarenburg H Regteren Altena H H van Sarfatij 68-70 nr 9 p 77-80 1973")</f>
        <v>0</v>
      </c>
    </row>
    <row r="4683" spans="2:4">
      <c r="B4683">
        <v>58</v>
      </c>
      <c r="C4683" s="1">
        <f>hyperlink("https://hetutrechtsarchief.nl/collectie/E7EE4AB2EABE5E1DB085DAA6994EC180","Utrechtsche en andere straatnamen B Kruitwagen 20-23 1949")</f>
        <v>0</v>
      </c>
      <c r="D4683" s="1">
        <f>hyperlink("http://dspace.library.uu.nl/handle/1874/283511","Utrechts onderaardse gangen Gibo Smilda 22 1973")</f>
        <v>0</v>
      </c>
    </row>
    <row r="4684" spans="2:4">
      <c r="B4684">
        <v>75</v>
      </c>
      <c r="C4684" s="1">
        <f>hyperlink("https://hetutrechtsarchief.nl/collectie/8315C9F01CE75C19A2DE7FC8689C29F5","Ter nagedachtenis van Jan-Eloy Brom J W C van Campen 17-20 1954")</f>
        <v>0</v>
      </c>
      <c r="D4684" s="1">
        <f>hyperlink("http://dspace.library.uu.nl/handle/1874/283614","Gedachtenis van H de Jong J W C van Campen 3 1974")</f>
        <v>0</v>
      </c>
    </row>
    <row r="4685" spans="2:4">
      <c r="B4685">
        <v>61</v>
      </c>
      <c r="C4685" s="1">
        <f>hyperlink("https://hetutrechtsarchief.nl/collectie/393A8D41B9BD52408518A1CF69E1764E","De molens in Utrecht J D M Bardet 81-83 1954")</f>
        <v>0</v>
      </c>
      <c r="D4685" s="1">
        <f>hyperlink("http://dspace.library.uu.nl/handle/1874/283615","Melaeten I D M Bardet 95-96 1974")</f>
        <v>0</v>
      </c>
    </row>
    <row r="4686" spans="2:4">
      <c r="B4686">
        <v>100</v>
      </c>
      <c r="C4686" s="1">
        <f>hyperlink("https://hetutrechtsarchief.nl/collectie/652ED5DA02FB52D493847C843EA5E7E3","Oude kaarten van de provincie Utrecht C Koeman 68-69 1974")</f>
        <v>0</v>
      </c>
      <c r="D4686" s="1">
        <f>hyperlink("http://dspace.library.uu.nl/handle/1874/283616","Oude kaarten van de provincie Utrecht C Koeman 68-69 1974")</f>
        <v>0</v>
      </c>
    </row>
    <row r="4687" spans="2:4">
      <c r="B4687">
        <v>70</v>
      </c>
      <c r="C4687" s="1">
        <f>hyperlink("https://hetutrechtsarchief.nl/collectie/483AA13DB29D58049EE067BF73C4649E","Vreemde straatnamen in De Bilt 1 en 2 P H Damst 14 54 1974")</f>
        <v>0</v>
      </c>
      <c r="D4687" s="1">
        <f>hyperlink("http://dspace.library.uu.nl/handle/1874/283617","Vreemde straatnamen in De Bilt P H Damst 14 nr 6 p 54-55 jg 48 1975 nr 1 p 6-7 1974-1975")</f>
        <v>0</v>
      </c>
    </row>
    <row r="4688" spans="2:4">
      <c r="B4688">
        <v>96</v>
      </c>
      <c r="C4688" s="1">
        <f>hyperlink("https://hetutrechtsarchief.nl/collectie/E0019E0F2A385038A33FF12073D2C2DB","Huibert Vogelzang een Bilthovense kolonist P H Damst 78-80 plgr 1974")</f>
        <v>0</v>
      </c>
      <c r="D4688" s="1">
        <f>hyperlink("http://dspace.library.uu.nl/handle/1874/283618","Huibert Vogelzang een Bilthovense kolonist P H Damst 78-80 1974")</f>
        <v>0</v>
      </c>
    </row>
    <row r="4689" spans="2:4">
      <c r="B4689">
        <v>97</v>
      </c>
      <c r="C4689" s="1">
        <f>hyperlink("https://hetutrechtsarchief.nl/collectie/DACF320AB25C54C1836014EE2704DD75","De beeldenlaan op Oud-Amelisweerd J W C van Campen 65-67 ill 1974")</f>
        <v>0</v>
      </c>
      <c r="D4689" s="1">
        <f>hyperlink("http://dspace.library.uu.nl/handle/1874/283619","De beeldenlaan op Oud-Amelisweerd J W C van Campen 65-67 1974")</f>
        <v>0</v>
      </c>
    </row>
    <row r="4690" spans="2:4">
      <c r="B4690">
        <v>86</v>
      </c>
      <c r="C4690" s="1">
        <f>hyperlink("https://hetutrechtsarchief.nl/collectie/553C47E6E88E58129B520D1E15434B5A","Over enkele bewoners van het Huis Voordaan - L v T 89-90 ill 1974")</f>
        <v>0</v>
      </c>
      <c r="D4690" s="1">
        <f>hyperlink("http://dspace.library.uu.nl/handle/1874/283620","Over enkele bewoners van het huis Voordaan J Belonje 89-91 1974")</f>
        <v>0</v>
      </c>
    </row>
    <row r="4691" spans="2:4">
      <c r="B4691">
        <v>97</v>
      </c>
      <c r="C4691" s="1">
        <f>hyperlink("https://hetutrechtsarchief.nl/collectie/C4BE1566AB5C561CB1CB5578262AA315","Driehonderd jaar geleden overleed IJsbrand van Diemerbroeck H L Houtzager 69-71 portr 1974")</f>
        <v>0</v>
      </c>
      <c r="D4691" s="1">
        <f>hyperlink("http://dspace.library.uu.nl/handle/1874/283621","Driehonderd jaar geleden overleed IJsbrand van Diemerbroeck H L Houtzager 69-71 1974")</f>
        <v>0</v>
      </c>
    </row>
    <row r="4692" spans="2:4">
      <c r="B4692">
        <v>100</v>
      </c>
      <c r="C4692" s="1">
        <f>hyperlink("https://hetutrechtsarchief.nl/collectie/D548908C906F5AE1BC796B898BCA7B27","De vroedvrouw van Thamen een sociaal conflict in de 18e eeuw F Doeleman 9-10 1974")</f>
        <v>0</v>
      </c>
      <c r="D4692" s="1">
        <f>hyperlink("http://dspace.library.uu.nl/handle/1874/283622","De vroedvrouw van Thamen een sociaal conflict in de 18e eeuw F Doeleman 9-10 1974")</f>
        <v>0</v>
      </c>
    </row>
    <row r="4693" spans="2:4">
      <c r="B4693">
        <v>50</v>
      </c>
      <c r="C4693" s="1">
        <f>hyperlink("https://hetutrechtsarchief.nl/collectie/C8E2F67FC97851C2B07BE2839301B90A","De gemeente in en om de Jacobikerk A Kool 22-24 ill 1988")</f>
        <v>0</v>
      </c>
      <c r="D4693" s="1">
        <f>hyperlink("http://dspace.library.uu.nl/handle/1874/283623","Gemeente- of plaatsnamen historie of blancopapier T Olthoff 28 1974")</f>
        <v>0</v>
      </c>
    </row>
    <row r="4694" spans="2:4">
      <c r="B4694">
        <v>57</v>
      </c>
      <c r="C4694" s="1">
        <f>hyperlink("https://hetutrechtsarchief.nl/collectie/967C8EE81B6D577EB7D5FDD52FAC1E29","De la musique avant toute chose Belle van Zuylen en haar violon d Ingres Pierre H Dubois 9-12 1994")</f>
        <v>0</v>
      </c>
      <c r="D4694" s="1">
        <f>hyperlink("http://dspace.library.uu.nl/handle/1874/283624","De actualiteit van Belle van Zuylen evenementen op het Slot Zuylen Simone Dubois 57-58 1974")</f>
        <v>0</v>
      </c>
    </row>
    <row r="4695" spans="2:4">
      <c r="B4695">
        <v>95</v>
      </c>
      <c r="C4695" s="1">
        <f>hyperlink("https://hetutrechtsarchief.nl/collectie/5E73E243AC30550093B8DD61694C9DA7","Oude Kamp 5 en 7 een onderzoek naar de bouwgeschiedenis T J Hoekstra 72-76 ill plgr 1973")</f>
        <v>0</v>
      </c>
      <c r="D4695" s="1">
        <f>hyperlink("http://dspace.library.uu.nl/handle/1874/283625","Oude Kamp 5 en 7 een onderzoek naar de bouwgeschiedenis T J Hoekstra 72-76 1973")</f>
        <v>0</v>
      </c>
    </row>
    <row r="4696" spans="2:4">
      <c r="B4696">
        <v>97</v>
      </c>
      <c r="C4696" s="1">
        <f>hyperlink("https://hetutrechtsarchief.nl/collectie/E891740350565E449FA831AC70054007","Een versierde steen uit de Oude Gracht T J Hoekstra 91 ill 1973")</f>
        <v>0</v>
      </c>
      <c r="D4696" s="1">
        <f>hyperlink("http://dspace.library.uu.nl/handle/1874/283626","Een versierde steen uit de Oude Gracht T J Hoekstra 91 1973")</f>
        <v>0</v>
      </c>
    </row>
    <row r="4697" spans="2:4">
      <c r="B4697">
        <v>100</v>
      </c>
      <c r="C4697" s="1">
        <f>hyperlink("https://hetutrechtsarchief.nl/collectie/A9FE726D43065EDE9CB5CF6678AF9648","Guicciardini en de Utrechtse stadsplattegrond van 1612 W F Kaldenberg 89-92 1973")</f>
        <v>0</v>
      </c>
      <c r="D4697" s="1">
        <f>hyperlink("http://dspace.library.uu.nl/handle/1874/283627","Guicciardini en de Utrechtse stadsplattegrond van 1612 W F Kaldenberg 89-92 1973")</f>
        <v>0</v>
      </c>
    </row>
    <row r="4698" spans="2:4">
      <c r="B4698">
        <v>98</v>
      </c>
      <c r="C4698" s="1">
        <f>hyperlink("https://hetutrechtsarchief.nl/collectie/D689AD09A5915C1FA22E1E39B871683F","Paus Adriaan VI en de betekenis van zijn wapen H W M J Kits Nieuwenkamp 87-88 ill 1973")</f>
        <v>0</v>
      </c>
      <c r="D4698" s="1">
        <f>hyperlink("http://dspace.library.uu.nl/handle/1874/283628","Paus Adriaan VI en de betekenis van zijn wapen H W M J Kits Nieuwenkamp 87-88 1973")</f>
        <v>0</v>
      </c>
    </row>
    <row r="4699" spans="2:4">
      <c r="B4699">
        <v>100</v>
      </c>
      <c r="C4699" s="1">
        <f>hyperlink("https://hetutrechtsarchief.nl/collectie/13FD7103780A5D63AD9A87AC10467A83","Oud-Utrecht in het nieuws G J R hner 84 1973")</f>
        <v>0</v>
      </c>
      <c r="D4699" s="1">
        <f>hyperlink("http://dspace.library.uu.nl/handle/1874/283629","Oud-Utrecht in het nieuws G J R hner 84 1973")</f>
        <v>0</v>
      </c>
    </row>
    <row r="4700" spans="2:4">
      <c r="B4700">
        <v>97</v>
      </c>
      <c r="C4700" s="1">
        <f>hyperlink("https://hetutrechtsarchief.nl/collectie/1008523C8F29556DACEED845253648AE","Alberts Fr res en hun sprekende bioscope R de Vries 81-83 ill 1973")</f>
        <v>0</v>
      </c>
      <c r="D4700" s="1">
        <f>hyperlink("http://dspace.library.uu.nl/handle/1874/283630","Alberts Fr res en hun sprekende bioscope R de Vries 81-83 1973")</f>
        <v>0</v>
      </c>
    </row>
    <row r="4701" spans="2:4">
      <c r="B4701">
        <v>94</v>
      </c>
      <c r="C4701" s="1">
        <f>hyperlink("https://hetutrechtsarchief.nl/collectie/870913ED58FE5C6AAA59D445A65E6FE0","De tram in Utrecht rond 1910 herinneringen van een oud-inwoner J J Beyerman 33-36 1974")</f>
        <v>0</v>
      </c>
      <c r="D4701" s="1">
        <f>hyperlink("http://dspace.library.uu.nl/handle/1874/283631","De tram in Utrecht rond 1910 herinneringen van een oud-inwoner J J Beyerman 33-36 nr 10 p 96 1974")</f>
        <v>0</v>
      </c>
    </row>
    <row r="4702" spans="2:4">
      <c r="B4702">
        <v>98</v>
      </c>
      <c r="C4702" s="1">
        <f>hyperlink("https://hetutrechtsarchief.nl/collectie/3F7607E7DB7651CFAF6A0D89DC61C12A","Het Maximiliaanraam van Otto Mengelberg 1867-1924 Alfred M M Dekker 97-99 ill 1974")</f>
        <v>0</v>
      </c>
      <c r="D4702" s="1">
        <f>hyperlink("http://dspace.library.uu.nl/handle/1874/283632","Het Maximiliaanraam van Otto Mengelberg 1867-1924 Alfred M M Dekker 97-99 1974")</f>
        <v>0</v>
      </c>
    </row>
    <row r="4703" spans="2:4">
      <c r="B4703">
        <v>88</v>
      </c>
      <c r="C4703" s="1">
        <f>hyperlink("https://hetutrechtsarchief.nl/collectie/1211421DA92B59B3B2558793B70267F6","Een dubbele doop A Graafhuis 32 39-40 aanv 1974")</f>
        <v>0</v>
      </c>
      <c r="D4703" s="1">
        <f>hyperlink("http://dspace.library.uu.nl/handle/1874/283633","Een dubbele doop A Graafhuis 32 nr 5 p 39-40 1974")</f>
        <v>0</v>
      </c>
    </row>
    <row r="4704" spans="2:4">
      <c r="B4704">
        <v>69</v>
      </c>
      <c r="C4704" s="1">
        <f>hyperlink("https://hetutrechtsarchief.nl/collectie/53460F3FD07E5BE195CE270C821471CF","De orkaan van 1674 de Donder-Basuyne Godts A Graafhuis 41-46 ill 1974")</f>
        <v>0</v>
      </c>
      <c r="D4704" s="1">
        <f>hyperlink("http://dspace.library.uu.nl/handle/1874/283634","De Donder-basuyne Godts de orkaan van 1674 A Graafhuis 41-46 1974")</f>
        <v>0</v>
      </c>
    </row>
    <row r="4705" spans="2:4">
      <c r="B4705">
        <v>100</v>
      </c>
      <c r="C4705" s="1">
        <f>hyperlink("https://hetutrechtsarchief.nl/collectie/E553FBF3AB285EE2B3D12F3FF8B10150","Utrechtse scholen rond 1800 P D t Hart 100-103 1974")</f>
        <v>0</v>
      </c>
      <c r="D4705" s="1">
        <f>hyperlink("http://dspace.library.uu.nl/handle/1874/283635","Utrechtse scholen rond 1800 P D t Hart 100-103 1974")</f>
        <v>0</v>
      </c>
    </row>
    <row r="4706" spans="2:4">
      <c r="B4706">
        <v>97</v>
      </c>
      <c r="C4706" s="1">
        <f>hyperlink("https://hetutrechtsarchief.nl/collectie/FD927192C70A53319F17DD99CE2895B3","Een tinnen lepel uit de Oude Gracht T J Hoekstra 7-8 ill 1974")</f>
        <v>0</v>
      </c>
      <c r="D4706" s="1">
        <f>hyperlink("http://dspace.library.uu.nl/handle/1874/283636","Een tinnen lepel uit de Oude Gracht T J Hoekstra 7-8 1974")</f>
        <v>0</v>
      </c>
    </row>
    <row r="4707" spans="2:4">
      <c r="B4707">
        <v>95</v>
      </c>
      <c r="C4707" s="1">
        <f>hyperlink("https://hetutrechtsarchief.nl/collectie/BB5136F764ED5ABE8667C006C0C3DDED","Toren uit de 14e eeuw T J Hoekstra 22 ill 1974")</f>
        <v>0</v>
      </c>
      <c r="D4707" s="1">
        <f>hyperlink("http://dspace.library.uu.nl/handle/1874/283637","Toren uit de 14e eeuw T J Hoekstra 22 1974")</f>
        <v>0</v>
      </c>
    </row>
    <row r="4708" spans="2:4">
      <c r="B4708">
        <v>97</v>
      </c>
      <c r="C4708" s="1">
        <f>hyperlink("https://hetutrechtsarchief.nl/collectie/12B7D960CB835A29B308F2BB20B8BA12","De Driekoningenkapel aan de Brigittenstraat P Luykx 20-21 ill 1974")</f>
        <v>0</v>
      </c>
      <c r="D4708" s="1">
        <f>hyperlink("http://dspace.library.uu.nl/handle/1874/283638","De Driekoningenkapel aan de Brigittenstraat P Luykx 20-21 1974")</f>
        <v>0</v>
      </c>
    </row>
    <row r="4709" spans="2:4">
      <c r="B4709">
        <v>93</v>
      </c>
      <c r="C4709" s="1">
        <f>hyperlink("https://hetutrechtsarchief.nl/collectie/70BFDC0710785958AD8AB9D16AA1AFA7","De restauratie van Lichte Gaard 3 t Craentgen J C Meulenbelt 59-61 ill plgr 1974")</f>
        <v>0</v>
      </c>
      <c r="D4709" s="1">
        <f>hyperlink("http://dspace.library.uu.nl/handle/1874/283639","De restauratie van Lichte Gaard 3 t Craentgen J C Meulenbelt 59-63 1974")</f>
        <v>0</v>
      </c>
    </row>
    <row r="4710" spans="2:4">
      <c r="B4710">
        <v>99</v>
      </c>
      <c r="C4710" s="1">
        <f>hyperlink("https://hetutrechtsarchief.nl/collectie/2739A2ABDBAD528A9B809216DFDC2E78","De Hieronymusschool en de Universiteit van Utrecht R M Nepveu 87-88 1974")</f>
        <v>0</v>
      </c>
      <c r="D4710" s="1">
        <f>hyperlink("http://dspace.library.uu.nl/handle/1874/283640","De Hi ronymusschool en de Universiteit van Utrecht R M Nepveu 87-88 1974")</f>
        <v>0</v>
      </c>
    </row>
    <row r="4711" spans="2:4">
      <c r="B4711">
        <v>97</v>
      </c>
      <c r="C4711" s="1">
        <f>hyperlink("https://hetutrechtsarchief.nl/collectie/C34227C746FA5F29823ADE7D40122E17","Over een ernstig spel en speelse ernst R M Nepveu 12-14 ill 1974")</f>
        <v>0</v>
      </c>
      <c r="D4711" s="1">
        <f>hyperlink("http://dspace.library.uu.nl/handle/1874/283641","Over een ernstig spel en speelse ernst R M Nepveu 12-14 1974")</f>
        <v>0</v>
      </c>
    </row>
    <row r="4712" spans="2:4">
      <c r="B4712">
        <v>96</v>
      </c>
      <c r="C4712" s="1">
        <f>hyperlink("https://hetutrechtsarchief.nl/collectie/C0D1F5B71CA1520CB71FAE3CC576B7A7","De Bibliotheek over Utrecht J G Riphaagen 4-7 ill 1974")</f>
        <v>0</v>
      </c>
      <c r="D4712" s="1">
        <f>hyperlink("http://dspace.library.uu.nl/handle/1874/283642","De Bibliotheek over Utrecht J G Riphaagen 4-7 1974")</f>
        <v>0</v>
      </c>
    </row>
    <row r="4713" spans="2:4">
      <c r="B4713">
        <v>100</v>
      </c>
      <c r="C4713" s="1">
        <f>hyperlink("https://hetutrechtsarchief.nl/collectie/BB811196310853C98D5032955B743C56","Beroepssport in 1825 G J R hner 84 1974")</f>
        <v>0</v>
      </c>
      <c r="D4713" s="1">
        <f>hyperlink("http://dspace.library.uu.nl/handle/1874/283643","Beroepssport in 1825 G J R hner 84 1974")</f>
        <v>0</v>
      </c>
    </row>
    <row r="4714" spans="2:4">
      <c r="B4714">
        <v>96</v>
      </c>
      <c r="C4714" s="1">
        <f>hyperlink("https://hetutrechtsarchief.nl/collectie/7F169562909B51E6BBEE40C139D8402C","Juliana van Stolbergschool de oudste openbare basisschool van Utrecht R L R hner en S Verbeeck 82-83 1974")</f>
        <v>0</v>
      </c>
      <c r="D4714" s="1">
        <f>hyperlink("http://dspace.library.uu.nl/handle/1874/283644","Juliana van Stolbergschool de oudste openbare basisschool van Utrecht S R hner R L Verbeeck 82-83 1974")</f>
        <v>0</v>
      </c>
    </row>
    <row r="4715" spans="2:4">
      <c r="B4715">
        <v>100</v>
      </c>
      <c r="C4715" s="1">
        <f>hyperlink("https://hetutrechtsarchief.nl/collectie/37624C3C16925A629793250E9B6358AE","Samuel Muller Fz 1874-1974 J E A L Struick 1-2 1974")</f>
        <v>0</v>
      </c>
      <c r="D4715" s="1">
        <f>hyperlink("http://dspace.library.uu.nl/handle/1874/283645","Samuel Muller Fz 1874-1974 J E A L Struick 1-2 1974")</f>
        <v>0</v>
      </c>
    </row>
    <row r="4716" spans="2:4">
      <c r="B4716">
        <v>91</v>
      </c>
      <c r="C4716" s="1">
        <f>hyperlink("https://hetutrechtsarchief.nl/collectie/1568A56015AA514691F488C2D5C943C5","Restauratie Nieuwegracht 39 W Thoomes 50-53 ill plgr 1974")</f>
        <v>0</v>
      </c>
      <c r="D4716" s="1">
        <f>hyperlink("http://dspace.library.uu.nl/handle/1874/283646","Restauratie Nieuwegracht 39 W Thoomes 50-53 1974")</f>
        <v>0</v>
      </c>
    </row>
    <row r="4717" spans="2:4">
      <c r="B4717">
        <v>88</v>
      </c>
      <c r="C4717" s="1">
        <f>hyperlink("https://hetutrechtsarchief.nl/collectie/C78240EDA2F6555A970F2BF0576FC26E","Restauratie Domtoren en reconstructie Mariahoek - L v T 30-31 plgr 1974")</f>
        <v>0</v>
      </c>
      <c r="D4717" s="1">
        <f>hyperlink("http://dspace.library.uu.nl/handle/1874/283647","Restauratie Domtoren en reconstructie Mariahoek L van Tongerloo 30-31 1974")</f>
        <v>0</v>
      </c>
    </row>
    <row r="4718" spans="2:4">
      <c r="B4718">
        <v>93</v>
      </c>
      <c r="C4718" s="1">
        <f>hyperlink("https://hetutrechtsarchief.nl/collectie/37297CA23C075429B2664EAFBCE971F4","Restauratie Loeff Berchmakerstraat 38 A Verlaan 92-94 ill plgr 1974")</f>
        <v>0</v>
      </c>
      <c r="D4718" s="1">
        <f>hyperlink("http://dspace.library.uu.nl/handle/1874/283648","Restauratie Loeff Berchmakerstraat 38 A Verlaan 92-94 1974")</f>
        <v>0</v>
      </c>
    </row>
    <row r="4719" spans="2:4">
      <c r="B4719">
        <v>96</v>
      </c>
      <c r="C4719" s="1">
        <f>hyperlink("https://hetutrechtsarchief.nl/collectie/98AEF53FE86855469185CF0C1CD15E59","Restauratie van twee schouwen A Verlaan 37 ill 1974")</f>
        <v>0</v>
      </c>
      <c r="D4719" s="1">
        <f>hyperlink("http://dspace.library.uu.nl/handle/1874/283649","Restauratie van twee schouwen A Verlaan 37 1974")</f>
        <v>0</v>
      </c>
    </row>
    <row r="4720" spans="2:4">
      <c r="B4720">
        <v>99</v>
      </c>
      <c r="C4720" s="1">
        <f>hyperlink("https://hetutrechtsarchief.nl/collectie/3EFCD3DFBA675E10A875D5977E156E54","Pieter Valck timmerman en kannonier van Wijk ten tijde van prins Maurits H W M J Kits Nieuwenkamp 38-39 1974")</f>
        <v>0</v>
      </c>
      <c r="D4720" s="1">
        <f>hyperlink("http://dspace.library.uu.nl/handle/1874/283650","Pieter Valck timmerman en kanonnier van Wijk ten tijde van prins Maurits H W M J Kits Nieuwenkamp 38-39 1974")</f>
        <v>0</v>
      </c>
    </row>
    <row r="4721" spans="2:4">
      <c r="B4721">
        <v>100</v>
      </c>
      <c r="C4721" s="1">
        <f>hyperlink("https://hetutrechtsarchief.nl/collectie/85A388F0848352D699BCFE554896860E","Het recht op wapenborden en rouwkassen in de kerken H W M J Kits Nieuwenkamp 55-56 1974")</f>
        <v>0</v>
      </c>
      <c r="D4721" s="1">
        <f>hyperlink("http://dspace.library.uu.nl/handle/1874/283651","Het recht op wapenborden en rouwkassen in de kerken H W M J Kits Nieuwenkamp 55-56 1974")</f>
        <v>0</v>
      </c>
    </row>
    <row r="4722" spans="2:4">
      <c r="B4722">
        <v>97</v>
      </c>
      <c r="C4722" s="1">
        <f>hyperlink("https://hetutrechtsarchief.nl/collectie/EE5BADA9E0555C77A0E90D8F9A54AAF1","Wijk bij Duurstede of een andere stad L C J M Rouppe van der Voort 46-47 ill 1974")</f>
        <v>0</v>
      </c>
      <c r="D4722" s="1">
        <f>hyperlink("http://dspace.library.uu.nl/handle/1874/283652","Wijk bij Duurstede of een andere stad L C J M Rouppe van der Voort 46-47 1974")</f>
        <v>0</v>
      </c>
    </row>
    <row r="4723" spans="2:4">
      <c r="B4723">
        <v>100</v>
      </c>
      <c r="C4723" s="1">
        <f>hyperlink("https://hetutrechtsarchief.nl/collectie/7FC05E67706A5E04A4F3696EFFDD07EA","De Broedergemeente te Zeist korte bouwgeschiedenis van slot en pleinen H Janse 85-86 1974")</f>
        <v>0</v>
      </c>
      <c r="D4723" s="1">
        <f>hyperlink("http://dspace.library.uu.nl/handle/1874/283653","De Broedergemeente te Zeist korte bouwgeschiedenis van slot en pleinen H Janse 85-86 1974")</f>
        <v>0</v>
      </c>
    </row>
    <row r="4724" spans="2:4">
      <c r="B4724">
        <v>97</v>
      </c>
      <c r="C4724" s="1">
        <f>hyperlink("https://hetutrechtsarchief.nl/collectie/BD5F034278115319A58127CF9025338C","Hernhutters in vijf continenten H L Ph Leeuwenberg 80-82 ill 1974")</f>
        <v>0</v>
      </c>
      <c r="D4724" s="1">
        <f>hyperlink("http://dspace.library.uu.nl/handle/1874/283654","Hernhutters in vijf continenten H L Ph Leeuwenberg 80-82 1974")</f>
        <v>0</v>
      </c>
    </row>
    <row r="4725" spans="2:4">
      <c r="B4725">
        <v>65</v>
      </c>
      <c r="C4725" s="1">
        <f>hyperlink("https://hetutrechtsarchief.nl/collectie/9EDFF6D6DFF65344997DF16C3E64C49E","Een vraag over Maarssen C L Temminck Groll 38 1969")</f>
        <v>0</v>
      </c>
      <c r="D4725" s="1">
        <f>hyperlink("http://dspace.library.uu.nl/handle/1874/283719","In memoriam ir J D M Bardet C L Temminck Groll 29 1975")</f>
        <v>0</v>
      </c>
    </row>
    <row r="4726" spans="2:4">
      <c r="B4726">
        <v>97</v>
      </c>
      <c r="C4726" s="1">
        <f>hyperlink("https://hetutrechtsarchief.nl/collectie/08C997FAB83E5EBDA8878D88CC592141","Restauraties in 1974 in de provincie C J Bardet 20-21 ill 1975")</f>
        <v>0</v>
      </c>
      <c r="D4726" s="1">
        <f>hyperlink("http://dspace.library.uu.nl/handle/1874/283720","Restauraties in 1974 in de provincie C J Bardet 20-21 1975")</f>
        <v>0</v>
      </c>
    </row>
    <row r="4727" spans="2:4">
      <c r="B4727">
        <v>100</v>
      </c>
      <c r="C4727" s="1">
        <f>hyperlink("https://hetutrechtsarchief.nl/collectie/D19E5C08BF6A56728B03881D94463840","Bisschop Liudger te Maarssen geboren H Lubbers 28 1975")</f>
        <v>0</v>
      </c>
      <c r="D4727" s="1">
        <f>hyperlink("http://dspace.library.uu.nl/handle/1874/283721","Bisschop Liudger te Maarssen geboren H Lubbers 28 1975")</f>
        <v>0</v>
      </c>
    </row>
    <row r="4728" spans="2:4">
      <c r="B4728">
        <v>95</v>
      </c>
      <c r="C4728" s="1">
        <f>hyperlink("https://hetutrechtsarchief.nl/collectie/31F21C63B90551229876E3386AC32400","Restauraties in 1974 in de stad 21-22 ill 1975")</f>
        <v>0</v>
      </c>
      <c r="D4728" s="1">
        <f>hyperlink("http://dspace.library.uu.nl/handle/1874/283722","Restauraties in 1974 in de stad 21-22 1975")</f>
        <v>0</v>
      </c>
    </row>
    <row r="4729" spans="2:4">
      <c r="B4729">
        <v>97</v>
      </c>
      <c r="C4729" s="1">
        <f>hyperlink("https://hetutrechtsarchief.nl/collectie/6D887F57BDDA5CEAB60907D16C735C4A","Zo maar een foto van zo maar een boom D A Belderbos 14-15 ill 1975")</f>
        <v>0</v>
      </c>
      <c r="D4729" s="1">
        <f>hyperlink("http://dspace.library.uu.nl/handle/1874/283724","Zo maar een foto van zo maar een boom D A Belderbos 14-15 1975")</f>
        <v>0</v>
      </c>
    </row>
    <row r="4730" spans="2:4">
      <c r="B4730">
        <v>86</v>
      </c>
      <c r="C4730" s="1">
        <f>hyperlink("https://hetutrechtsarchief.nl/collectie/A6ED43FC55355DFBA0667F485A3D355A","De Dom-beiaard een unieke reconstructie tekst en foto s Chris Bos 33-34 ill 1975")</f>
        <v>0</v>
      </c>
      <c r="D4730" s="1">
        <f>hyperlink("http://dspace.library.uu.nl/handle/1874/283725","De Dom-beiaard een unieke reconstructie Chris Bos 33-34 1975")</f>
        <v>0</v>
      </c>
    </row>
    <row r="4731" spans="2:4">
      <c r="B4731">
        <v>90</v>
      </c>
      <c r="C4731" s="1">
        <f>hyperlink("https://hetutrechtsarchief.nl/collectie/3EB6B999BE4C5230A738D5BEC4E3CCE5","Utrechtse klokkenmakers G Brinkhuis 1-3 12-13 ill 1975")</f>
        <v>0</v>
      </c>
      <c r="D4731" s="1">
        <f>hyperlink("http://dspace.library.uu.nl/handle/1874/283726","Utrechtse klokkenmakers G Brinkhuis 1-3 nr 2 p 12-13 1975")</f>
        <v>0</v>
      </c>
    </row>
    <row r="4732" spans="2:4">
      <c r="B4732">
        <v>58</v>
      </c>
      <c r="C4732" s="1">
        <f>hyperlink("https://hetutrechtsarchief.nl/collectie/6AC37A450BA059B08885DB1CCA736EAF","Het vliegtuig op Wittevrouwen 1 2 en 3 de nacht van 22 op 23 juni 1943 A Cocural en L Zwaaf jr 41-43 56-59 65-67 ill plgr 1975")</f>
        <v>0</v>
      </c>
      <c r="D4732" s="1">
        <f>hyperlink("http://dspace.library.uu.nl/handle/1874/283727","De nacht van 22 op 23 Juni 1943 het vliegtuig op Wittevrouwen L Cocural A Zwaaf 41-43 nr 7 p 56-59 nr 9 p 65-67 1975")</f>
        <v>0</v>
      </c>
    </row>
    <row r="4733" spans="2:4">
      <c r="B4733">
        <v>95</v>
      </c>
      <c r="C4733" s="1">
        <f>hyperlink("https://hetutrechtsarchief.nl/collectie/6B0B93AE0CC75177B4AAF3CFEBD4046F","Maarten Maartenshuis en Zuylestein A Johanna Maris 86 1975")</f>
        <v>0</v>
      </c>
      <c r="D4733" s="1">
        <f>hyperlink("http://dspace.library.uu.nl/handle/1874/283796","Maarten Maartenshuis en Zuylestein A J Maris 86 1975")</f>
        <v>0</v>
      </c>
    </row>
    <row r="4734" spans="2:4">
      <c r="B4734">
        <v>100</v>
      </c>
      <c r="C4734" s="1">
        <f>hyperlink("https://hetutrechtsarchief.nl/collectie/D0A3424A541A5D6DB3A14FF57815C362","Een elitair ziekenfonds anno 1621 P H Damst 82-85 1975")</f>
        <v>0</v>
      </c>
      <c r="D4734" s="1">
        <f>hyperlink("http://dspace.library.uu.nl/handle/1874/283797","Een elitair ziekenfonds anno 1621 P H Damst 82-85 1975")</f>
        <v>0</v>
      </c>
    </row>
    <row r="4735" spans="2:4">
      <c r="B4735">
        <v>67</v>
      </c>
      <c r="C4735" s="1">
        <f>hyperlink("https://hetutrechtsarchief.nl/collectie/49E420971C025F0E89FB127DB0A4762B","Johan Wagenaar 1862-1941 tentoonstelling in Haags Gemeentemuseum A F Bax 27-28 portr 1976")</f>
        <v>0</v>
      </c>
      <c r="D4735" s="1">
        <f>hyperlink("http://dspace.library.uu.nl/handle/1874/283867","Tentoonstelling in Haags Gemeentemuseum Johan Wagenaar 1862-1941 A F Bax 27-28 1976")</f>
        <v>0</v>
      </c>
    </row>
    <row r="4736" spans="2:4">
      <c r="B4736">
        <v>100</v>
      </c>
      <c r="C4736" s="1">
        <f>hyperlink("https://hetutrechtsarchief.nl/collectie/1C741A9305D85D8E8A2F293B6CB1C805","De restauraties van 1975 provincie C J Bardet 26 1976")</f>
        <v>0</v>
      </c>
      <c r="D4736" s="1">
        <f>hyperlink("http://dspace.library.uu.nl/handle/1874/283868","De restauraties van 1975 provincie C J Bardet 26 1976")</f>
        <v>0</v>
      </c>
    </row>
    <row r="4737" spans="2:4">
      <c r="B4737">
        <v>60</v>
      </c>
      <c r="C4737" s="1">
        <f>hyperlink("https://hetutrechtsarchief.nl/collectie/A88C45BB2BC05A9C808600439F98199E","Restauratie Domkerk begonnen Theo Kralt 11 2017")</f>
        <v>0</v>
      </c>
      <c r="D4737" s="1">
        <f>hyperlink("http://dspace.library.uu.nl/handle/1874/283869","Restauratie kerk en plein Rijsenburg het begin is er 18-19 1976")</f>
        <v>0</v>
      </c>
    </row>
    <row r="4738" spans="2:4">
      <c r="B4738">
        <v>96</v>
      </c>
      <c r="C4738" s="1">
        <f>hyperlink("https://hetutrechtsarchief.nl/collectie/4FB1B21772AE5ED68C574C07AF3FFC51","Het Schuitenhuis te Maarssen D Dekker 22-23 ill 1976")</f>
        <v>0</v>
      </c>
      <c r="D4738" s="1">
        <f>hyperlink("http://dspace.library.uu.nl/handle/1874/283870","Het Schuitenhuis te Maarssen D Dekker 22-23 1976")</f>
        <v>0</v>
      </c>
    </row>
    <row r="4739" spans="2:4">
      <c r="B4739">
        <v>96</v>
      </c>
      <c r="C4739" s="1">
        <f>hyperlink("https://hetutrechtsarchief.nl/collectie/AF1326F6828F5737B9E435BB2BEDCA9E","Honderd jaar geleden werd baas Flentge geboren Th Haakma Wagenaar 4-5 portr 1975")</f>
        <v>0</v>
      </c>
      <c r="D4739" s="1">
        <f>hyperlink("http://dspace.library.uu.nl/handle/1874/283871","Honderd jaar geleden werd baas Flentge geboren Th Haakma Wagenaar 4-5 1975")</f>
        <v>0</v>
      </c>
    </row>
    <row r="4740" spans="2:4">
      <c r="B4740">
        <v>95</v>
      </c>
      <c r="C4740" s="1">
        <f>hyperlink("https://hetutrechtsarchief.nl/collectie/D26F6C7B68DF5B9B9E68CC8CDE4C171A","Het Catharijneconvent T J Hoekstra 22-23 ill 1975")</f>
        <v>0</v>
      </c>
      <c r="D4740" s="1">
        <f>hyperlink("http://dspace.library.uu.nl/handle/1874/283872","Het Catharijne Convent T J Hoekstra 22-23 1975")</f>
        <v>0</v>
      </c>
    </row>
    <row r="4741" spans="2:4">
      <c r="B4741">
        <v>96</v>
      </c>
      <c r="C4741" s="1">
        <f>hyperlink("https://hetutrechtsarchief.nl/collectie/415FC2868DDA56D19802F6083749C05B","De eerste automobiel in Utrecht A van Hulzen 69 ill 1975")</f>
        <v>0</v>
      </c>
      <c r="D4741" s="1">
        <f>hyperlink("http://dspace.library.uu.nl/handle/1874/283873","De eerste automobiel in Utrecht A van Hulzen 69 1975")</f>
        <v>0</v>
      </c>
    </row>
    <row r="4742" spans="2:4">
      <c r="B4742">
        <v>97</v>
      </c>
      <c r="C4742" s="1">
        <f>hyperlink("https://hetutrechtsarchief.nl/collectie/1F0BEE7C4DCD5B64AF7A6497E7D86D8D","De eerste paardentram in Utrecht A van Hulzen 77-78 ill 1975")</f>
        <v>0</v>
      </c>
      <c r="D4742" s="1">
        <f>hyperlink("http://dspace.library.uu.nl/handle/1874/283874","De eerste paardentram in Utrecht A van Hulzen 77-78 1975")</f>
        <v>0</v>
      </c>
    </row>
    <row r="4743" spans="2:4">
      <c r="B4743">
        <v>96</v>
      </c>
      <c r="C4743" s="1">
        <f>hyperlink("https://hetutrechtsarchief.nl/collectie/4CD3C4C70BFB5FCE8C63F0A6CBE3C552","Oudegracht in de bocht Annelies Jordens 61-62 ill 1975")</f>
        <v>0</v>
      </c>
      <c r="D4743" s="1">
        <f>hyperlink("http://dspace.library.uu.nl/handle/1874/283875","Oudegracht in de bocht Annelies Jordens 61-62 1975")</f>
        <v>0</v>
      </c>
    </row>
    <row r="4744" spans="2:4">
      <c r="B4744">
        <v>68</v>
      </c>
      <c r="C4744" s="1">
        <f>hyperlink("https://hetutrechtsarchief.nl/collectie/20B3AF9EB72E5BB7A7E3E93518787F0E","De sneltram G J R hner 2-3 ill 1978")</f>
        <v>0</v>
      </c>
      <c r="D4744" s="1">
        <f>hyperlink("http://dspace.library.uu.nl/handle/1874/283876","De stad onder de straat G J R hner 35 1975")</f>
        <v>0</v>
      </c>
    </row>
    <row r="4745" spans="2:4">
      <c r="B4745">
        <v>96</v>
      </c>
      <c r="C4745" s="1">
        <f>hyperlink("https://hetutrechtsarchief.nl/collectie/BEFFD772B503519D8D3009DB22093CF4","Honderd jaar Utrechtse orgelbouw D Snoep 73-74 ill 1975")</f>
        <v>0</v>
      </c>
      <c r="D4745" s="1">
        <f>hyperlink("http://dspace.library.uu.nl/handle/1874/283877","Honderd jaar Utrechtse orgelbouw D Snoep 73-74 1975")</f>
        <v>0</v>
      </c>
    </row>
    <row r="4746" spans="2:4">
      <c r="B4746">
        <v>97</v>
      </c>
      <c r="C4746" s="1">
        <f>hyperlink("https://hetutrechtsarchief.nl/collectie/F3C7BDBF657C521090BF5A8AB3CB2C7C","We zijn nog steeds bezig met de Dom C L Temminck Groll 9-11 ill 1975")</f>
        <v>0</v>
      </c>
      <c r="D4746" s="1">
        <f>hyperlink("http://dspace.library.uu.nl/handle/1874/283878","We zijn nog steeds bezig met de Dom C L Temminck Groll 9-11 1975")</f>
        <v>0</v>
      </c>
    </row>
    <row r="4747" spans="2:4">
      <c r="B4747">
        <v>78</v>
      </c>
      <c r="C4747" s="1">
        <f>hyperlink("https://hetutrechtsarchief.nl/collectie/D9B0A161FBEF5B94ACADC5EAF2A42810","Restauratie Dorstige Hartsteeg 21 W Thoomes foto s Florian J Lem 36-38 ill plgr 1975")</f>
        <v>0</v>
      </c>
      <c r="D4747" s="1">
        <f>hyperlink("http://dspace.library.uu.nl/handle/1874/283879","Restauratie Dorstige Hartsteeg 21 W Thoomes 36-38 1975")</f>
        <v>0</v>
      </c>
    </row>
    <row r="4748" spans="2:4">
      <c r="B4748">
        <v>95</v>
      </c>
      <c r="C4748" s="1">
        <f>hyperlink("https://hetutrechtsarchief.nl/collectie/EE3EC2BB345D5F18B8A83EFAF30AAFCA","De restauraties van 1975 stad 21 ill 1976")</f>
        <v>0</v>
      </c>
      <c r="D4748" s="1">
        <f>hyperlink("http://dspace.library.uu.nl/handle/1874/283880","De restauraties van 1975 stad 21 1976")</f>
        <v>0</v>
      </c>
    </row>
    <row r="4749" spans="2:4">
      <c r="B4749">
        <v>97</v>
      </c>
      <c r="C4749" s="1">
        <f>hyperlink("https://hetutrechtsarchief.nl/collectie/3C9C8641423E5271B8B3B7BA5437AE58","Tot leringe maar niet tot vermaak A Graafhuis 36-38 ill 1976")</f>
        <v>0</v>
      </c>
      <c r="D4749" s="1">
        <f>hyperlink("http://dspace.library.uu.nl/handle/1874/283881","Tot leringe maar niet tot vermaak A Graafhuis 36-38 1976")</f>
        <v>0</v>
      </c>
    </row>
    <row r="4750" spans="2:4">
      <c r="B4750">
        <v>97</v>
      </c>
      <c r="C4750" s="1">
        <f>hyperlink("https://hetutrechtsarchief.nl/collectie/8356B2B75A6C5CCD984FD925D345942F","De Domtoren en zijn klokken Th Haakma Wagenaar 33-35 tek 1976")</f>
        <v>0</v>
      </c>
      <c r="D4750" s="1">
        <f>hyperlink("http://dspace.library.uu.nl/handle/1874/283882","De Domtoren en zijn klokken Th Haakma Wagenaar 33-35 1976")</f>
        <v>0</v>
      </c>
    </row>
    <row r="4751" spans="2:4">
      <c r="B4751">
        <v>98</v>
      </c>
      <c r="C4751" s="1">
        <f>hyperlink("https://hetutrechtsarchief.nl/collectie/F6504DF0FE44537EA8CB96DFCD6E299C","Utrecht wijst Feyenoord af hoe regenten een vorstelijk plan tegenwerkten P D t Hart 5-7 ill 1976")</f>
        <v>0</v>
      </c>
      <c r="D4751" s="1">
        <f>hyperlink("http://dspace.library.uu.nl/handle/1874/283883","Utrecht wijst Feyenoord af hoe regenten een vorstelijk plan tegenwerkten P D t Hart 5-7 1976")</f>
        <v>0</v>
      </c>
    </row>
    <row r="4752" spans="2:4">
      <c r="B4752">
        <v>96</v>
      </c>
      <c r="C4752" s="1">
        <f>hyperlink("https://hetutrechtsarchief.nl/collectie/6BCE7C15206350F9BC4304EF8B4B81AC","Catharijnesingel in de bocht F Kipp 28-29 ill 1976")</f>
        <v>0</v>
      </c>
      <c r="D4752" s="1">
        <f>hyperlink("http://dspace.library.uu.nl/handle/1874/283884","Catharijnesingel in de bocht F Kipp 28-29 1976")</f>
        <v>0</v>
      </c>
    </row>
    <row r="4753" spans="2:4">
      <c r="B4753">
        <v>100</v>
      </c>
      <c r="C4753" s="1">
        <f>hyperlink("https://hetutrechtsarchief.nl/collectie/BA93E9BB7D12547E8FC4E4E893D7523E","De hofpomp G J R hner 39-40 1976")</f>
        <v>0</v>
      </c>
      <c r="D4753" s="1">
        <f>hyperlink("http://dspace.library.uu.nl/handle/1874/283885","De Hofpomp G J R hner 39-40 1976")</f>
        <v>0</v>
      </c>
    </row>
    <row r="4754" spans="2:4">
      <c r="B4754">
        <v>97</v>
      </c>
      <c r="C4754" s="1">
        <f>hyperlink("https://hetutrechtsarchief.nl/collectie/FB1A9C3F13F950C69A13677B6D87BDDA","Heropening Historische Afdeling van het Centraal Museum D P Snoep 11-13 ill 1976")</f>
        <v>0</v>
      </c>
      <c r="D4754" s="1">
        <f>hyperlink("http://dspace.library.uu.nl/handle/1874/283886","Heropening Historische Afdeling van het Centraal Museum D P Snoep 11-13 1976")</f>
        <v>0</v>
      </c>
    </row>
    <row r="4755" spans="2:4">
      <c r="B4755">
        <v>64</v>
      </c>
      <c r="C4755" s="1">
        <f>hyperlink("https://hetutrechtsarchief.nl/collectie/BFB35FF177465945953A64365A1A9669","Woontoren Den Ham gerestaureerd 1 en 2 op 21 juni open voor publiek passende bestemming grootste zorg J F K Kits Nieuwenkamp 46-49 53-55 ill 1975")</f>
        <v>0</v>
      </c>
      <c r="D4755" s="1">
        <f>hyperlink("http://dspace.library.uu.nl/handle/1874/283887","Woontoren Den Ham gerestaureerd J F K Kits Nieuwenkamp 46-49 nr 7 p 53-55 1975")</f>
        <v>0</v>
      </c>
    </row>
    <row r="4756" spans="2:4">
      <c r="B4756">
        <v>93</v>
      </c>
      <c r="C4756" s="1">
        <f>hyperlink("https://hetutrechtsarchief.nl/collectie/1BA157CF7F565BA480084847625B49CB","Muurschilderingen ontdekt in Wed 5-7 A F E Kipp 30-31 ill 1976")</f>
        <v>0</v>
      </c>
      <c r="D4756" s="1">
        <f>hyperlink("http://dspace.library.uu.nl/handle/1874/283888","Muurschilderingen ontdekt in Wed 5-7 F Kipp 30-31 1976")</f>
        <v>0</v>
      </c>
    </row>
    <row r="4757" spans="2:4">
      <c r="B4757">
        <v>52</v>
      </c>
      <c r="C4757" s="1">
        <f>hyperlink("https://hetutrechtsarchief.nl/collectie/AC05B24DF12F5DE8A347C8C84C2E454A","Beknopt verslag der viering van het tweede eeuwfeest der Utrechtsche Akademie op den 12 Junij 1836 en de vijf volgende dagen 115 -148 1837")</f>
        <v>0</v>
      </c>
      <c r="D4757" s="1">
        <f>hyperlink("http://dspace.library.uu.nl/handle/1874/284330","Lofbazuyn Uytgeblasen over de plegtige viering van het hondertjarige jubil der opregting der Utregtse Academie seer solemneel gehouden op den 26 Maart 1736 1836")</f>
        <v>0</v>
      </c>
    </row>
    <row r="4758" spans="2:4">
      <c r="B4758">
        <v>100</v>
      </c>
      <c r="C4758" s="1">
        <f>hyperlink("https://hetutrechtsarchief.nl/collectie/ABE3B1667E3154A9A43DB2AE28EDD53B","Het stadsrecht van Amersfoort inzichten en misverstanden op een rijtje Gerard Raven 3-6 2009")</f>
        <v>0</v>
      </c>
      <c r="D4758" s="1">
        <f>hyperlink("http://dspace.library.uu.nl/handle/1874/284331","Het stadsrecht van Amersfoort inzichten en misverstanden op een rijtje Gerard Raven 3-6 2009")</f>
        <v>0</v>
      </c>
    </row>
    <row r="4759" spans="2:4">
      <c r="B4759">
        <v>100</v>
      </c>
      <c r="C4759" s="1">
        <f>hyperlink("https://hetutrechtsarchief.nl/collectie/6DE6510488E453BDA44E36FB729227EA","Een boerendorp met stadse trekken Amersfoort in 1259 Francien Snieder 7-9 2009")</f>
        <v>0</v>
      </c>
      <c r="D4759" s="1">
        <f>hyperlink("http://dspace.library.uu.nl/handle/1874/284332","Een boerendorp met stadse trekken Amersfoort in 1259 Francien Snieder 7-9 2009")</f>
        <v>0</v>
      </c>
    </row>
    <row r="4760" spans="2:4">
      <c r="B4760">
        <v>97</v>
      </c>
      <c r="C4760" s="1">
        <f>hyperlink("https://hetutrechtsarchief.nl/collectie/D6C4C4B332F45912A871E9A71E83E786","Allemaal gemiste kansen vijf gemankeerde vieringen van het stadsjubileum Gerard Raven 10-11")</f>
        <v>0</v>
      </c>
      <c r="D4760" s="1">
        <f>hyperlink("http://dspace.library.uu.nl/handle/1874/284333","Allemaal gemiste kansen vijf gemankeerde vieringen van het stadsjubileum Gerard Raven 10-11 2009")</f>
        <v>0</v>
      </c>
    </row>
    <row r="4761" spans="2:4">
      <c r="B4761">
        <v>100</v>
      </c>
      <c r="C4761" s="1">
        <f>hyperlink("https://hetutrechtsarchief.nl/collectie/4DFFDC40E3C9597486AF7AB3E97FE1BA","De viering in 1959 700 jaar stad Joost Morel 12-14 2009")</f>
        <v>0</v>
      </c>
      <c r="D4761" s="1">
        <f>hyperlink("http://dspace.library.uu.nl/handle/1874/284334","De viering in 1959 700 jaar stad Joost Morel 12-14 2009")</f>
        <v>0</v>
      </c>
    </row>
    <row r="4762" spans="2:4">
      <c r="B4762">
        <v>100</v>
      </c>
      <c r="C4762" s="1">
        <f>hyperlink("https://hetutrechtsarchief.nl/collectie/1A2F00313DB95009A5F4E244AE48972F","Het eeuwfeest van 1959 in foto s Agnes Witte 16-19 2009")</f>
        <v>0</v>
      </c>
      <c r="D4762" s="1">
        <f>hyperlink("http://dspace.library.uu.nl/handle/1874/284335","Het eeuwfeest van 1959 in foto s Agnes Witte 16-19 2009")</f>
        <v>0</v>
      </c>
    </row>
    <row r="4763" spans="2:4">
      <c r="B4763">
        <v>100</v>
      </c>
      <c r="C4763" s="1">
        <f>hyperlink("https://hetutrechtsarchief.nl/collectie/8CC3FCF5862154DBA144533E501C9FF1","Het Rietveldpaviljoen de culturele parel van 1959 Gerard Keijzer 20-21 2009")</f>
        <v>0</v>
      </c>
      <c r="D4763" s="1">
        <f>hyperlink("http://dspace.library.uu.nl/handle/1874/284336","Het Rietveldpaviljoen de culturele parel van 1959 Gerard Keijzer 20-21 2009")</f>
        <v>0</v>
      </c>
    </row>
    <row r="4764" spans="2:4">
      <c r="B4764">
        <v>100</v>
      </c>
      <c r="C4764" s="1">
        <f>hyperlink("https://hetutrechtsarchief.nl/collectie/08177F6788055FA18C16AE8D7A0DAB5E","Middeleeuwse geschiedenis Appelmarkt ontsluierd Mattijs Wijker 26-27 2009")</f>
        <v>0</v>
      </c>
      <c r="D4764" s="1">
        <f>hyperlink("http://dspace.library.uu.nl/handle/1874/284337","Middeleeuwse geschiedenis Appelmarkt ontsluierd Mattijs Wijker 26-27 2009")</f>
        <v>0</v>
      </c>
    </row>
    <row r="4765" spans="2:4">
      <c r="B4765">
        <v>68</v>
      </c>
      <c r="C4765" s="1">
        <f>hyperlink("https://hetutrechtsarchief.nl/collectie/9FDAD88FEDD95C3B923E1E1128178E6D","De Amersfoortse munt Gerard Raven 9-10 2003")</f>
        <v>0</v>
      </c>
      <c r="D4765" s="1">
        <f>hyperlink("http://dspace.library.uu.nl/handle/1874/284338","Amersfoort 750 Gerard Raven et al Gerard Raven 1 -40 2009")</f>
        <v>0</v>
      </c>
    </row>
    <row r="4766" spans="2:4">
      <c r="B4766">
        <v>100</v>
      </c>
      <c r="C4766" s="1">
        <f>hyperlink("https://hetutrechtsarchief.nl/collectie/B178E557C459539EA52E6C834D97E386","De verhalen van Jacques Kopinsky opnieuw correcties in de geschiedenis van kamp Amersfoort Cees Biezeveld 28-29 2009")</f>
        <v>0</v>
      </c>
      <c r="D4766" s="1">
        <f>hyperlink("http://dspace.library.uu.nl/handle/1874/284339","De verhalen van Jacques Kopinsky opnieuw correcties in de geschiedenis van kamp Amersfoort Cees Biezeveld 28-29 2009")</f>
        <v>0</v>
      </c>
    </row>
    <row r="4767" spans="2:4">
      <c r="B4767">
        <v>100</v>
      </c>
      <c r="C4767" s="1">
        <f>hyperlink("https://hetutrechtsarchief.nl/collectie/7959CFF04C41526B821D769C94C37746","Monument voor de wereldvrede Jojanneke Clarijs 30-31 2009")</f>
        <v>0</v>
      </c>
      <c r="D4767" s="1">
        <f>hyperlink("http://dspace.library.uu.nl/handle/1874/284340","Monument voor de wereldvrede Jojanneke Clarijs 30-31 2009")</f>
        <v>0</v>
      </c>
    </row>
    <row r="4768" spans="2:4">
      <c r="B4768">
        <v>100</v>
      </c>
      <c r="C4768" s="1">
        <f>hyperlink("https://hetutrechtsarchief.nl/collectie/965063C888375F62B6590935859B4569","O genoote dit alle menschen een onwaardige en een dankbare Amersfoortse kolonist Wil Schackmann 32-33 2009")</f>
        <v>0</v>
      </c>
      <c r="D4768" s="1">
        <f>hyperlink("http://dspace.library.uu.nl/handle/1874/284341","O genoote dit alle menschen een onwaardige en een dankbare Amersfoortse kolonist Wil Schackmann 32-33 2009")</f>
        <v>0</v>
      </c>
    </row>
    <row r="4769" spans="2:4">
      <c r="B4769">
        <v>100</v>
      </c>
      <c r="C4769" s="1">
        <f>hyperlink("https://hetutrechtsarchief.nl/collectie/7B597ED69E26552E916C6E36ED8D4300","Burgerij draagt haar steentje bij de viering in 1959 Wim van den Hoonaard 15 2009")</f>
        <v>0</v>
      </c>
      <c r="D4769" s="1">
        <f>hyperlink("http://dspace.library.uu.nl/handle/1874/284342","Burgerij draagt haar steentje bij de viering in 1959 Wim van den Hoonaard 15 2009")</f>
        <v>0</v>
      </c>
    </row>
    <row r="4770" spans="2:4">
      <c r="B4770">
        <v>58</v>
      </c>
      <c r="C4770" s="1">
        <f>hyperlink("https://hetutrechtsarchief.nl/collectie/A70CC6A4E3445B65908D35492E8D640A","Amersfoorters en de Verenigde Oost-Indische Compagnie Ranjith Jayasena en Gerard Raven 5-6 2002")</f>
        <v>0</v>
      </c>
      <c r="D4770" s="1">
        <f>hyperlink("http://dspace.library.uu.nl/handle/1874/284343","Amersfoort op de kaart n internetpagina voor alle stadsgezichten van archief en museum Gerard Raven 22-23 2009")</f>
        <v>0</v>
      </c>
    </row>
    <row r="4771" spans="2:4">
      <c r="B4771">
        <v>83</v>
      </c>
      <c r="C4771" s="1">
        <f>hyperlink("https://hetutrechtsarchief.nl/collectie/C1694144080D52069E823396AB3ECC1C","Museum Flehite heropend Gerard Raven et al 4-37 2009")</f>
        <v>0</v>
      </c>
      <c r="D4771" s="1">
        <f>hyperlink("http://dspace.library.uu.nl/handle/1874/284395","Museum Flehite heropend Gerard Raven et al Gerard Raven 1 -40 2009")</f>
        <v>0</v>
      </c>
    </row>
    <row r="4772" spans="2:4">
      <c r="B4772">
        <v>100</v>
      </c>
      <c r="C4772" s="1">
        <f>hyperlink("https://hetutrechtsarchief.nl/collectie/FBC3E8320EF357CEA7B771CBB5353195","Onbekende kapel op de Appelmarkt Mattijs Wijker 2-3 2009")</f>
        <v>0</v>
      </c>
      <c r="D4772" s="1">
        <f>hyperlink("http://dspace.library.uu.nl/handle/1874/284396","Onbekende kapel op de Appelmarkt Mattijs Wijker 2-3 2009")</f>
        <v>0</v>
      </c>
    </row>
    <row r="4773" spans="2:4">
      <c r="B4773">
        <v>82</v>
      </c>
      <c r="C4773" s="1">
        <f>hyperlink("https://hetutrechtsarchief.nl/collectie/124A4EF79919580790BEEDADBFFCF82B","Monumentaal Amersfoort Jojanneke Clarijs en Yvo Meihuizen 9-12 2009")</f>
        <v>0</v>
      </c>
      <c r="D4773" s="1">
        <f>hyperlink("http://dspace.library.uu.nl/handle/1874/284397","Monumentaal Amersfoort Yvo Clarijs Jojanneke Meihuizen 9-12 2009")</f>
        <v>0</v>
      </c>
    </row>
    <row r="4774" spans="2:4">
      <c r="B4774">
        <v>90</v>
      </c>
      <c r="C4774" s="1">
        <f>hyperlink("https://hetutrechtsarchief.nl/collectie/0B295B44BE9759A1A1155770ECBE0AF0","Nieuw standaardwerk Amersfoortse geschiedenis in gesprek met Buchard Elias en Rob Kemperink Joost Morel en Gerard Raven 6-8 2009")</f>
        <v>0</v>
      </c>
      <c r="D4774" s="1">
        <f>hyperlink("http://dspace.library.uu.nl/handle/1874/284398","Nieuw standaardwerk Amersfoortse geschiedenis in gesprek met Buchard Elias en Rob Kemperink Gerard Morel Joost Raven 6-8 2009")</f>
        <v>0</v>
      </c>
    </row>
    <row r="4775" spans="2:4">
      <c r="B4775">
        <v>100</v>
      </c>
      <c r="C4775" s="1">
        <f>hyperlink("https://hetutrechtsarchief.nl/collectie/C9AF003031BA5B6384BAB1C86B5F5C4F","Van kapel tot kade Francien Snieder 2-3 2009")</f>
        <v>0</v>
      </c>
      <c r="D4775" s="1">
        <f>hyperlink("http://dspace.library.uu.nl/handle/1874/284399","Van kapel tot kade Francien Snieder 2-3 2009")</f>
        <v>0</v>
      </c>
    </row>
    <row r="4776" spans="2:4">
      <c r="B4776">
        <v>100</v>
      </c>
      <c r="C4776" s="1">
        <f>hyperlink("https://hetutrechtsarchief.nl/collectie/A13A1F11BC6553398481E784F360149F","Een nieuwe toekomst voor de Elleboogkerk Sandra Hovens 4-5 2009")</f>
        <v>0</v>
      </c>
      <c r="D4776" s="1">
        <f>hyperlink("http://dspace.library.uu.nl/handle/1874/284400","Een nieuwe toekomst voor de Elleboogkerk Sandra Hovens 4-5 2009")</f>
        <v>0</v>
      </c>
    </row>
    <row r="4777" spans="2:4">
      <c r="B4777">
        <v>100</v>
      </c>
      <c r="C4777" s="1">
        <f>hyperlink("https://hetutrechtsarchief.nl/collectie/68AF133601CA584B87D4AB79D44E64E6","De mislukte en de geslaagde boer een Amersfoorts experiment in de Drentse landbouwkoloni n 1820-1850 Wil Schackmann 6-7 2009")</f>
        <v>0</v>
      </c>
      <c r="D4777" s="1">
        <f>hyperlink("http://dspace.library.uu.nl/handle/1874/284401","De mislukte en de geslaagde boer een Amersfoorts experiment in de Drentse landbouwkoloni n 1820-1850 Wil Schackmann 6-7 2009")</f>
        <v>0</v>
      </c>
    </row>
    <row r="4778" spans="2:4">
      <c r="B4778">
        <v>100</v>
      </c>
      <c r="C4778" s="1">
        <f>hyperlink("https://hetutrechtsarchief.nl/collectie/4FF1355D382C536D9A28208658EE5FD5","Vrijwillig monnikenwerk een interview met Anje Bousema van Archief Eemland Joost Morel 8-9 2009")</f>
        <v>0</v>
      </c>
      <c r="D4778" s="1">
        <f>hyperlink("http://dspace.library.uu.nl/handle/1874/284402","Vrijwillig monnikenwerk een interview met Anje Bousema van Archief Eemland Joost Morel 8-9 2009")</f>
        <v>0</v>
      </c>
    </row>
    <row r="4779" spans="2:4">
      <c r="B4779">
        <v>100</v>
      </c>
      <c r="C4779" s="1">
        <f>hyperlink("https://hetutrechtsarchief.nl/collectie/F6FB6ED72909504FBD11A6F9FCE78ED0","Geheime rapportages over Kamp Amersfoort Cees Biezeveld 10-11 2009")</f>
        <v>0</v>
      </c>
      <c r="D4779" s="1">
        <f>hyperlink("http://dspace.library.uu.nl/handle/1874/284403","Geheime rapportages over Kamp Amersfoort Cees Biezeveld 10-11 2009")</f>
        <v>0</v>
      </c>
    </row>
    <row r="4780" spans="2:4">
      <c r="B4780">
        <v>90</v>
      </c>
      <c r="C4780" s="1">
        <f>hyperlink("https://hetutrechtsarchief.nl/collectie/56C56709BA2A55CDA05D0DEE110B2FFB","Hellestraat 7 monumentaal pand met kuiperij Wijnand Bloemink en Agnes Hemmes 14-16 2009")</f>
        <v>0</v>
      </c>
      <c r="D4780" s="1">
        <f>hyperlink("http://dspace.library.uu.nl/handle/1874/284404","Hellestraat 7 monumentaal pand met kuiperij Agnes Bloemink Wijnand Hemmes 14-16 2009")</f>
        <v>0</v>
      </c>
    </row>
    <row r="4781" spans="2:4">
      <c r="B4781">
        <v>100</v>
      </c>
      <c r="C4781" s="1">
        <f>hyperlink("https://hetutrechtsarchief.nl/collectie/F0A1119AB1AF531A94E88576DCB9B3A4","Een reislustig kunstenaar met hart voor Amersfoort Hendrik Jan in museum Flehite Katjuscha Otte 2-3 2010")</f>
        <v>0</v>
      </c>
      <c r="D4781" s="1">
        <f>hyperlink("http://dspace.library.uu.nl/handle/1874/284405","Een reislustig kunstenaar met hart voor Amersfoort Hendrik Jan in museum Flehite Katjuscha Otte 2-3 2010")</f>
        <v>0</v>
      </c>
    </row>
    <row r="4782" spans="2:4">
      <c r="B4782">
        <v>100</v>
      </c>
      <c r="C4782" s="1">
        <f>hyperlink("https://hetutrechtsarchief.nl/collectie/7FA53798982150158C1133A3AC327BF6","De Amersfoortse architect M J Klijnstra en klein zonen Saskia Schrijer 4-5 2010")</f>
        <v>0</v>
      </c>
      <c r="D4782" s="1">
        <f>hyperlink("http://dspace.library.uu.nl/handle/1874/284406","De Amersfoortse architect M J Klijnstra en klein zonen Saskia Schrijer 4-5 2010")</f>
        <v>0</v>
      </c>
    </row>
    <row r="4783" spans="2:4">
      <c r="B4783">
        <v>100</v>
      </c>
      <c r="C4783" s="1">
        <f>hyperlink("https://hetutrechtsarchief.nl/collectie/173FD7E0D6565F6CB1E5C2EDFF4C6A9E","Herdenken een voorbeeld uit Kamp Amersfoort generaal Jan Wesseling Cees Biezeveld 6-7 2010")</f>
        <v>0</v>
      </c>
      <c r="D4783" s="1">
        <f>hyperlink("http://dspace.library.uu.nl/handle/1874/284407","Herdenken een voorbeeld uit Kamp Amersfoort generaal Jan Wesseling Cees Biezeveld 6-7 2010")</f>
        <v>0</v>
      </c>
    </row>
    <row r="4784" spans="2:4">
      <c r="B4784">
        <v>100</v>
      </c>
      <c r="C4784" s="1">
        <f>hyperlink("https://hetutrechtsarchief.nl/collectie/E1C7ABFF84D45059B9E6E1FFE9FACA3C","De dia s van Jan van der Neut Agnes Witte 10-11 2010")</f>
        <v>0</v>
      </c>
      <c r="D4784" s="1">
        <f>hyperlink("http://dspace.library.uu.nl/handle/1874/284408","De dia s van Jan van der Neut Agnes Witte 10-11 2010")</f>
        <v>0</v>
      </c>
    </row>
    <row r="4785" spans="2:4">
      <c r="B4785">
        <v>100</v>
      </c>
      <c r="C4785" s="1">
        <f>hyperlink("https://hetutrechtsarchief.nl/collectie/3B75B1580CD257A7B10C9F67C9B8059E","Restauratie kap Sint-Joriskerk van start Sandra Hovens 12-13 2010")</f>
        <v>0</v>
      </c>
      <c r="D4785" s="1">
        <f>hyperlink("http://dspace.library.uu.nl/handle/1874/284409","Restauratie kap Sint-Joriskerk van start Sandra Hovens 12-13 2010")</f>
        <v>0</v>
      </c>
    </row>
    <row r="4786" spans="2:4">
      <c r="B4786">
        <v>100</v>
      </c>
      <c r="C4786" s="1">
        <f>hyperlink("https://hetutrechtsarchief.nl/collectie/99A188BEDB205E2C89BD2B9B0CEB974C","De handschoen van de Appelmarkt Gideon Boekenoogen 14 2010")</f>
        <v>0</v>
      </c>
      <c r="D4786" s="1">
        <f>hyperlink("http://dspace.library.uu.nl/handle/1874/284410","De handschoen van de Appelmarkt Gideon Boekenoogen 14 2010")</f>
        <v>0</v>
      </c>
    </row>
    <row r="4787" spans="2:4">
      <c r="B4787">
        <v>100</v>
      </c>
      <c r="C4787" s="1">
        <f>hyperlink("https://hetutrechtsarchief.nl/collectie/3A702305FBC65351AFFCBBACFC24784E","Rectificatie Het A foortboek het rituele bad in het mikwe Alice van Diepen 16 2010")</f>
        <v>0</v>
      </c>
      <c r="D4787" s="1">
        <f>hyperlink("http://dspace.library.uu.nl/handle/1874/284411","Rectificatie Het A foortboek het rituele bad in het mikwe Alice van Diepen 16 2010")</f>
        <v>0</v>
      </c>
    </row>
    <row r="4788" spans="2:4">
      <c r="B4788">
        <v>100</v>
      </c>
      <c r="C4788" s="1">
        <f>hyperlink("https://hetutrechtsarchief.nl/collectie/14103F69F7B356608B04DDA97A37760D","Archeologisch onderzoek in De Schammer Ron Hulst 8-9 2010")</f>
        <v>0</v>
      </c>
      <c r="D4788" s="1">
        <f>hyperlink("http://dspace.library.uu.nl/handle/1874/284412","Archeologisch onderzoek in De Schammer Ron Hulst 8-9 2010")</f>
        <v>0</v>
      </c>
    </row>
    <row r="4789" spans="2:4">
      <c r="B4789">
        <v>100</v>
      </c>
      <c r="C4789" s="1">
        <f>hyperlink("https://hetutrechtsarchief.nl/collectie/EA948FC99F4B530A936ED1E448E481D1","Haardstenen als vulmateriaal Cor van den Braber 4-5 2010")</f>
        <v>0</v>
      </c>
      <c r="D4789" s="1">
        <f>hyperlink("http://dspace.library.uu.nl/handle/1874/284413","Haardstenen als vulmateriaal Cor van den Braber 4-5 2010")</f>
        <v>0</v>
      </c>
    </row>
    <row r="4790" spans="2:4">
      <c r="B4790">
        <v>100</v>
      </c>
      <c r="C4790" s="1">
        <f>hyperlink("https://hetutrechtsarchief.nl/collectie/889A77EC5A4550E3992F06C436E6C9BA","Cornelius de Honderdman een vergeten heilige Ludo Jongen 6-7 2010")</f>
        <v>0</v>
      </c>
      <c r="D4790" s="1">
        <f>hyperlink("http://dspace.library.uu.nl/handle/1874/284414","Cornelius de Honderdman een vergeten heilige Ludo Jongen 6-7 2010")</f>
        <v>0</v>
      </c>
    </row>
    <row r="4791" spans="2:4">
      <c r="B4791">
        <v>88</v>
      </c>
      <c r="C4791" s="1">
        <f>hyperlink("https://hetutrechtsarchief.nl/collectie/C399139F832450E78FD48EBCEC2A0452","Een middeleeuwse merrie in moten Henk de Boer en Timo d Hollosy 13 2010")</f>
        <v>0</v>
      </c>
      <c r="D4791" s="1">
        <f>hyperlink("http://dspace.library.uu.nl/handle/1874/284415","Een middeleeuwse merrie in moten Timo d Boer Henk de Hollosy 13 2010")</f>
        <v>0</v>
      </c>
    </row>
    <row r="4792" spans="2:4">
      <c r="B4792">
        <v>89</v>
      </c>
      <c r="C4792" s="1">
        <f>hyperlink("https://hetutrechtsarchief.nl/collectie/2CE0B179FAA6590EB8530DDDB649A2F2","Van NS-station naar Kamp Amersfoort Rienk Theisens en Elsemieke Spoor-Hanraets 9-12 2010")</f>
        <v>0</v>
      </c>
      <c r="D4792" s="1">
        <f>hyperlink("http://dspace.library.uu.nl/handle/1874/284416","Van NS-station naar Kamp Amersfoort Elsemieke Theisens Rienk Spoor-Hanraets 9-12 2010")</f>
        <v>0</v>
      </c>
    </row>
    <row r="4793" spans="2:4">
      <c r="B4793">
        <v>92</v>
      </c>
      <c r="C4793" s="1">
        <f>hyperlink("https://hetutrechtsarchief.nl/collectie/F764FF8F12A6550BAFB115D8D5EF2564","Het komt van onderaf Map Heijenga en de Oudheidkundige Vereniging Flehite Gerard Raven en Piek Theisens 14-15 2010")</f>
        <v>0</v>
      </c>
      <c r="D4793" s="1">
        <f>hyperlink("http://dspace.library.uu.nl/handle/1874/284417","Het komt van onderaf Map Heijenga en de Oudheidkundige Vereniging Flehite Piek Raven Gerard Theisens 14-15 2010")</f>
        <v>0</v>
      </c>
    </row>
    <row r="4794" spans="2:4">
      <c r="B4794">
        <v>100</v>
      </c>
      <c r="C4794" s="1">
        <f>hyperlink("https://hetutrechtsarchief.nl/collectie/524D45EF18BC51088A8EE0B2F9A73DCC","Grebbelinie boven water Lydia Edelkoort 17 2010")</f>
        <v>0</v>
      </c>
      <c r="D4794" s="1">
        <f>hyperlink("http://dspace.library.uu.nl/handle/1874/284418","Grebbelinie boven water Lydia Edelkoort 17 2010")</f>
        <v>0</v>
      </c>
    </row>
    <row r="4795" spans="2:4">
      <c r="B4795">
        <v>100</v>
      </c>
      <c r="C4795" s="1">
        <f>hyperlink("https://hetutrechtsarchief.nl/collectie/B307834890E25D0C99B5E7E16B8EBDC9","Onder de pizzeria opgraving hoek Lieve-Vrouwestraat-Lieve Vrouwenkerkhof Maarten van Dijk 8 2010")</f>
        <v>0</v>
      </c>
      <c r="D4795" s="1">
        <f>hyperlink("http://dspace.library.uu.nl/handle/1874/284419","Onder de pizzeria opgraving hoek Lieve-Vrouwestraat-Lieve Vrouwenkerkhof Maarten van Dijk 8 2010")</f>
        <v>0</v>
      </c>
    </row>
    <row r="4796" spans="2:4">
      <c r="B4796">
        <v>100</v>
      </c>
      <c r="C4796" s="1">
        <f>hyperlink("https://hetutrechtsarchief.nl/collectie/DB2888CF51C05D9299E73A32D22A20C9","De bouw gaat beginnen Eemhuis met nieuw Archief Eemland klaar in 2012 Alice van Diepen 3 2010")</f>
        <v>0</v>
      </c>
      <c r="D4796" s="1">
        <f>hyperlink("http://dspace.library.uu.nl/handle/1874/284420","De bouw gaat beginnen Eemhuis met nieuw Archief Eemland klaar in 2012 Alice van Diepen 3 2010")</f>
        <v>0</v>
      </c>
    </row>
    <row r="4797" spans="2:4">
      <c r="B4797">
        <v>91</v>
      </c>
      <c r="C4797" s="1">
        <f>hyperlink("https://hetutrechtsarchief.nl/collectie/670045EBDE7651A5A7536A8812E3FCE3","Dit werk draait om emotie afscheid van Fons de Backer Max Cramer en Saskia Schrijer 4-5 2010")</f>
        <v>0</v>
      </c>
      <c r="D4797" s="1">
        <f>hyperlink("http://dspace.library.uu.nl/handle/1874/284421","Dit werk draait om emotie afscheid van Fons de Backer Saskia Cramer Max Schrijer 4-5 2010")</f>
        <v>0</v>
      </c>
    </row>
    <row r="4798" spans="2:4">
      <c r="B4798">
        <v>100</v>
      </c>
      <c r="C4798" s="1">
        <f>hyperlink("https://hetutrechtsarchief.nl/collectie/EDA1152A9C5B5B8599D1013E0FB0CD8F","Wouter Salomons architect Saskia Schrijer 6-7 2010")</f>
        <v>0</v>
      </c>
      <c r="D4798" s="1">
        <f>hyperlink("http://dspace.library.uu.nl/handle/1874/284422","Wouter Salomons architect Saskia Schrijer 6-7 2010")</f>
        <v>0</v>
      </c>
    </row>
    <row r="4799" spans="2:4">
      <c r="B4799">
        <v>100</v>
      </c>
      <c r="C4799" s="1">
        <f>hyperlink("https://hetutrechtsarchief.nl/collectie/DF388EBEBEF2566A9E64BE177AB7FFA0","De feministische bibliotheek van Carel Victor Gerritsen Josine Kooiker-Pouwels 10-11 2010")</f>
        <v>0</v>
      </c>
      <c r="D4799" s="1">
        <f>hyperlink("http://dspace.library.uu.nl/handle/1874/284423","De feministische bibliotheek van Carel Victor Gerritsen Josine Kooiker-Pouwels 10-11 2010")</f>
        <v>0</v>
      </c>
    </row>
    <row r="4800" spans="2:4">
      <c r="B4800">
        <v>62</v>
      </c>
      <c r="C4800" s="1">
        <f>hyperlink("https://hetutrechtsarchief.nl/collectie/D922F14BAF3C5CE5BB665E94BC6AC5B9","Onder ons 20 jaar stadsarcheologie in Amersfoort tijd voor een overzicht tijd voor een feest met bijdr van Francien Snieder 3-5 2004")</f>
        <v>0</v>
      </c>
      <c r="D4800" s="1">
        <f>hyperlink("http://dspace.library.uu.nl/handle/1874/284424","Centrum voor Archeologie Amersfoort werkt nu ook voor Leusden en Bunschoten Francien Snieder 13 2009")</f>
        <v>0</v>
      </c>
    </row>
    <row r="4801" spans="2:4">
      <c r="B4801">
        <v>67</v>
      </c>
      <c r="C4801" s="1">
        <f>hyperlink("https://hetutrechtsarchief.nl/collectie/E1C7ABFF84D45059B9E6E1FFE9FACA3C","De dia s van Jan van der Neut Agnes Witte 10-11 2010")</f>
        <v>0</v>
      </c>
      <c r="D4801" s="1">
        <f>hyperlink("http://dspace.library.uu.nl/handle/1874/284425","De ziel van het kantoor Agnes Witte 2-3 2010")</f>
        <v>0</v>
      </c>
    </row>
    <row r="4802" spans="2:4">
      <c r="B4802">
        <v>90</v>
      </c>
      <c r="C4802" s="1">
        <f>hyperlink("https://hetutrechtsarchief.nl/collectie/E393426FDD955EFDB826C05EB0D70C06","Een nachtje doorwerken Map Heijenga en Museum Flehite Gerard Raven en Piek Theisens 12-13 2010")</f>
        <v>0</v>
      </c>
      <c r="D4802" s="1">
        <f>hyperlink("http://dspace.library.uu.nl/handle/1874/284509","Een nachtje doorwerken Map Heijenga en Museum Flehite Piek Raven Gerard Theisens 12-13 2010")</f>
        <v>0</v>
      </c>
    </row>
    <row r="4803" spans="2:4">
      <c r="B4803">
        <v>100</v>
      </c>
      <c r="C4803" s="1">
        <f>hyperlink("https://hetutrechtsarchief.nl/collectie/2E7AEF49C22654EAB9B15CFD0F9DCDF3","Universele mens in Amersfoort Benjamin Cohen 1725-1800 Joost Morel 14-15 2010")</f>
        <v>0</v>
      </c>
      <c r="D4803" s="1">
        <f>hyperlink("http://dspace.library.uu.nl/handle/1874/284510","Universele mens in Amersfoort Benjamin Cohen 1725-1800 Joost Morel 14-15 2010")</f>
        <v>0</v>
      </c>
    </row>
    <row r="4804" spans="2:4">
      <c r="B4804">
        <v>62</v>
      </c>
      <c r="C4804" s="1">
        <f>hyperlink("https://hetutrechtsarchief.nl/collectie/A8994410EBF257C6A88128E6E02D3407","Een snelle met een politieke boodschap Evelyn Scheepsma 2-3 2012")</f>
        <v>0</v>
      </c>
      <c r="D4804" s="1">
        <f>hyperlink("http://dspace.library.uu.nl/handle/1874/284511","Een middeleeuwse kijk op lepra Evelyn Scheepsma 16-17 2010")</f>
        <v>0</v>
      </c>
    </row>
    <row r="4805" spans="2:4">
      <c r="B4805">
        <v>100</v>
      </c>
      <c r="C4805" s="1">
        <f>hyperlink("https://hetutrechtsarchief.nl/collectie/5971FDAC0447510AA3ED19D024C8A7D9","Opgraving in Wieken-Vinkenhoef Ron Hulst 2-3 2010")</f>
        <v>0</v>
      </c>
      <c r="D4805" s="1">
        <f>hyperlink("http://dspace.library.uu.nl/handle/1874/284512","Opgraving in Wieken-Vinkenhoef Ron Hulst 2-3 2010")</f>
        <v>0</v>
      </c>
    </row>
    <row r="4806" spans="2:4">
      <c r="B4806">
        <v>100</v>
      </c>
      <c r="C4806" s="1">
        <f>hyperlink("https://hetutrechtsarchief.nl/collectie/163DF769887B5EFE86BFD4ABFD72A4A4","Van stokje tot vals drieluik de collectie Johan van Oldenbarnevelt van Museum Flehite Gerard Raven 4-7 2010")</f>
        <v>0</v>
      </c>
      <c r="D4806" s="1">
        <f>hyperlink("http://dspace.library.uu.nl/handle/1874/284513","Van stokje tot vals drieluik de collectie Johan van Oldenbarnevelt van Museum Flehite Gerard Raven 4-7 2010")</f>
        <v>0</v>
      </c>
    </row>
    <row r="4807" spans="2:4">
      <c r="B4807">
        <v>100</v>
      </c>
      <c r="C4807" s="1">
        <f>hyperlink("https://hetutrechtsarchief.nl/collectie/67371BB38E675BBF9968BD6BE675D32B","Denkend aan Amersfoort nieuw stadsgezicht van Jasper van Wittel ontdekt Cor van den Braber 12-15 2010")</f>
        <v>0</v>
      </c>
      <c r="D4807" s="1">
        <f>hyperlink("http://dspace.library.uu.nl/handle/1874/284514","Denkend aan Amersfoort nieuw stadsgezicht van Jasper van Wittel ontdekt Cor van den Braber 12-15 2010")</f>
        <v>0</v>
      </c>
    </row>
    <row r="4808" spans="2:4">
      <c r="B4808">
        <v>100</v>
      </c>
      <c r="C4808" s="1">
        <f>hyperlink("https://hetutrechtsarchief.nl/collectie/F56B29882B825E3BA5A4A03A0297E084","Theelepeltjes nostalgie n cultuurhistorie Jan Carel van Dijk 18-19 2010")</f>
        <v>0</v>
      </c>
      <c r="D4808" s="1">
        <f>hyperlink("http://dspace.library.uu.nl/handle/1874/284515","Theelepeltjes nostalgie n cultuurhistorie Jan Carel van Dijk 18-19 2010")</f>
        <v>0</v>
      </c>
    </row>
    <row r="4809" spans="2:4">
      <c r="B4809">
        <v>100</v>
      </c>
      <c r="C4809" s="1">
        <f>hyperlink("https://hetutrechtsarchief.nl/collectie/BB45D03A73D659F2A6E36991C0041ABC","90 jaar Volksuniversiteit in Amersfoort Kees Nije 8-9 2010")</f>
        <v>0</v>
      </c>
      <c r="D4809" s="1">
        <f>hyperlink("http://dspace.library.uu.nl/handle/1874/284516","90 jaar Volksuniversiteit in Amersfoort Kees Nije 8-9 2010")</f>
        <v>0</v>
      </c>
    </row>
    <row r="4810" spans="2:4">
      <c r="B4810">
        <v>100</v>
      </c>
      <c r="C4810" s="1">
        <f>hyperlink("https://hetutrechtsarchief.nl/collectie/272AB523A6D857279DE2D564E0C399F7","Film en boek over Verzetsgroep Westerkerk Yvonne Tanke 8-9 2011")</f>
        <v>0</v>
      </c>
      <c r="D4810" s="1">
        <f>hyperlink("http://dspace.library.uu.nl/handle/1874/284517","Film en boek over Verzetsgroep Westerkerk Yvonne Tanke 8-9 2011")</f>
        <v>0</v>
      </c>
    </row>
    <row r="4811" spans="2:4">
      <c r="B4811">
        <v>100</v>
      </c>
      <c r="C4811" s="1">
        <f>hyperlink("https://hetutrechtsarchief.nl/collectie/F1C5DA88EA975CB19A5A6DE49F21F635","Heimwee naar Amersfoort gedicht uit Colditz Hans Smit 10-11 2011")</f>
        <v>0</v>
      </c>
      <c r="D4811" s="1">
        <f>hyperlink("http://dspace.library.uu.nl/handle/1874/284518","Heimwee naar Amersfoort gedicht uit Colditz Hans Smit 10-11 2011")</f>
        <v>0</v>
      </c>
    </row>
    <row r="4812" spans="2:4">
      <c r="B4812">
        <v>100</v>
      </c>
      <c r="C4812" s="1">
        <f>hyperlink("https://hetutrechtsarchief.nl/collectie/6A2F653274A151588AFE0ACDA837A42C","Britse graven in Amersfoort militairen uit de Eerste Wereldoorlog Cor de Vette 12-13 2011")</f>
        <v>0</v>
      </c>
      <c r="D4812" s="1">
        <f>hyperlink("http://dspace.library.uu.nl/handle/1874/284519","Britse graven in Amersfoort militairen uit de Eerste Wereldoorlog Cor de Vette 12-13 2011")</f>
        <v>0</v>
      </c>
    </row>
    <row r="4813" spans="2:4">
      <c r="B4813">
        <v>100</v>
      </c>
      <c r="C4813" s="1">
        <f>hyperlink("https://hetutrechtsarchief.nl/collectie/C572AC2AB7D65534BAAEE2FC2376F752","Het glas van Hoogland mysteries rond een gegraveerd glas van circa 1715 Gerard Raven 14-15 2011")</f>
        <v>0</v>
      </c>
      <c r="D4813" s="1">
        <f>hyperlink("http://dspace.library.uu.nl/handle/1874/284520","Het glas van Hoogland mysteries rond een gegraveerd glas van circa 1715 Gerard Raven 14-15 2011")</f>
        <v>0</v>
      </c>
    </row>
    <row r="4814" spans="2:4">
      <c r="B4814">
        <v>100</v>
      </c>
      <c r="C4814" s="1">
        <f>hyperlink("https://hetutrechtsarchief.nl/collectie/BB1A8645DA365049AAA88A7D27A33966","Baardmankruik alias heksenfles Evelyn Scheepsma 16-17 2011")</f>
        <v>0</v>
      </c>
      <c r="D4814" s="1">
        <f>hyperlink("http://dspace.library.uu.nl/handle/1874/284521","Baardmankruik alias heksenfles Evelyn Scheepsma 16-17 2011")</f>
        <v>0</v>
      </c>
    </row>
    <row r="4815" spans="2:4">
      <c r="B4815">
        <v>100</v>
      </c>
      <c r="C4815" s="1">
        <f>hyperlink("https://hetutrechtsarchief.nl/collectie/48BC8DDAA2E4522A8A8F1E5B995E02A1","De winkels van architect B W Plooij Saskia Schrijer 18-20 2011")</f>
        <v>0</v>
      </c>
      <c r="D4815" s="1">
        <f>hyperlink("http://dspace.library.uu.nl/handle/1874/284522","De winkels van architect B W Plooij Saskia Schrijer 18-20 2011")</f>
        <v>0</v>
      </c>
    </row>
    <row r="4816" spans="2:4">
      <c r="B4816">
        <v>100</v>
      </c>
      <c r="C4816" s="1">
        <f>hyperlink("https://hetutrechtsarchief.nl/collectie/EFC9884EA5A85F6BB0299DDA72492E72","Oorlogsdagboek Elisabeth van den Born 13 jaar Piek Theisens 6-7 2011")</f>
        <v>0</v>
      </c>
      <c r="D4816" s="1">
        <f>hyperlink("http://dspace.library.uu.nl/handle/1874/284523","Oorlogsdagboek Elisabeth van den Born 13 jaar Piek Theisens 6-7 2011")</f>
        <v>0</v>
      </c>
    </row>
    <row r="4817" spans="2:4">
      <c r="B4817">
        <v>55</v>
      </c>
      <c r="C4817" s="1">
        <f>hyperlink("https://hetutrechtsarchief.nl/collectie/23A2C285C47D59BB8F34D898544F01AC","De Corte Cornikel een bijzonder vormgegeven geschiedenisboek uit 1537 Marieke van Delft 22-24 2017")</f>
        <v>0</v>
      </c>
      <c r="D4817" s="1">
        <f>hyperlink("http://dspace.library.uu.nl/handle/1874/284524","Website Archief Eemland geheel vernieuwd genomineerd voor de Geschiedenis Online Prijs 2010 Alice van Diepen 2-3 2011")</f>
        <v>0</v>
      </c>
    </row>
    <row r="4818" spans="2:4">
      <c r="B4818">
        <v>69</v>
      </c>
      <c r="C4818" s="1">
        <f>hyperlink("https://hetutrechtsarchief.nl/collectie/9E9EFF3CBEEB5B56ABB2D8AC8F4312D2","Vivat Amersfort gegraveerde glazen van Eemland Gerard Raven 4-5 2004")</f>
        <v>0</v>
      </c>
      <c r="D4818" s="1">
        <f>hyperlink("http://dspace.library.uu.nl/handle/1874/284578","Maria van Amersfoort Gerard Raven et al Gerard Raven 1 -28 2011")</f>
        <v>0</v>
      </c>
    </row>
    <row r="4819" spans="2:4">
      <c r="B4819">
        <v>100</v>
      </c>
      <c r="C4819" s="1">
        <f>hyperlink("https://hetutrechtsarchief.nl/collectie/B6098895D6A55BF58C34ED063DC8AA43","Van middeleeuws mirakel tot moderne madonna tentoonstelling over Maria van Amersfoort Gerard Raven 2-5 2011")</f>
        <v>0</v>
      </c>
      <c r="D4819" s="1">
        <f>hyperlink("http://dspace.library.uu.nl/handle/1874/284579","Van middeleeuws mirakel tot moderne madonna tentoonstelling over Maria van Amersfoort Gerard Raven 2-5 2011")</f>
        <v>0</v>
      </c>
    </row>
    <row r="4820" spans="2:4">
      <c r="B4820">
        <v>100</v>
      </c>
      <c r="C4820" s="1">
        <f>hyperlink("https://hetutrechtsarchief.nl/collectie/F821010F7D9250ECBFB41E8443B9A4CC","Wie waren de pelgrims een analyse van het Amersfoortse mirakelboek Piek Theisens 6-7 2011")</f>
        <v>0</v>
      </c>
      <c r="D4820" s="1">
        <f>hyperlink("http://dspace.library.uu.nl/handle/1874/284580","Wie waren de pelgrims een analyse van het Amersfoortse mirakelboek Piek Theisens 6-7 2011")</f>
        <v>0</v>
      </c>
    </row>
    <row r="4821" spans="2:4">
      <c r="B4821">
        <v>100</v>
      </c>
      <c r="C4821" s="1">
        <f>hyperlink("https://hetutrechtsarchief.nl/collectie/FE88883A98455055971003085E2194D7","Volksdevotie in het mirakelboek Abe van der Veen 8-9 2011")</f>
        <v>0</v>
      </c>
      <c r="D4821" s="1">
        <f>hyperlink("http://dspace.library.uu.nl/handle/1874/284581","Volksdevotie in het mirakelboek Abe van der Veen 8-9 2011")</f>
        <v>0</v>
      </c>
    </row>
    <row r="4822" spans="2:4">
      <c r="B4822">
        <v>100</v>
      </c>
      <c r="C4822" s="1">
        <f>hyperlink("https://hetutrechtsarchief.nl/collectie/D9164DDF5D81541BB50B04F098C3971F","Als door een wonder gered kinderen in het Amersfoortse mirakelboek Ludo Jongen 10 2011")</f>
        <v>0</v>
      </c>
      <c r="D4822" s="1">
        <f>hyperlink("http://dspace.library.uu.nl/handle/1874/284582","Als door een wonder gered kinderen in het Amersfoortse mirakelboek Ludo Jongen 10 2011")</f>
        <v>0</v>
      </c>
    </row>
    <row r="4823" spans="2:4">
      <c r="B4823">
        <v>100</v>
      </c>
      <c r="C4823" s="1">
        <f>hyperlink("https://hetutrechtsarchief.nl/collectie/BF17E5856EDA51E2A8F50C87089AA3E6","Maria uit de modder de Amersfoortse pelgrimstekens Francien Snieder 12-13 2011")</f>
        <v>0</v>
      </c>
      <c r="D4823" s="1">
        <f>hyperlink("http://dspace.library.uu.nl/handle/1874/284583","Maria uit de modder de Amersfoortse pelgrimstekens Francien Snieder 12-13 2011")</f>
        <v>0</v>
      </c>
    </row>
    <row r="4824" spans="2:4">
      <c r="B4824">
        <v>100</v>
      </c>
      <c r="C4824" s="1">
        <f>hyperlink("https://hetutrechtsarchief.nl/collectie/0FF3873FAEB65072BD40DA653AB2AB2E","Het ene mirakel volgt op het andere over het maken van een film van het mirakel Gerard Raven 18-19 2011")</f>
        <v>0</v>
      </c>
      <c r="D4824" s="1">
        <f>hyperlink("http://dspace.library.uu.nl/handle/1874/284584","Het ene mirakel volgt op het andere over het maken van een film van het mirakel Gearard Raven 18-19 2011")</f>
        <v>0</v>
      </c>
    </row>
    <row r="4825" spans="2:4">
      <c r="B4825">
        <v>100</v>
      </c>
      <c r="C4825" s="1">
        <f>hyperlink("https://hetutrechtsarchief.nl/collectie/82990C6975F15B35ABBC4A5048DB9FAB","Napoleon op bezoek in Amersfoort Lydia Edelkoort 20-21 2011")</f>
        <v>0</v>
      </c>
      <c r="D4825" s="1">
        <f>hyperlink("http://dspace.library.uu.nl/handle/1874/284585","Napoleon op bezoek in Amersfoort Lydia Edelkoort 20-21 2011")</f>
        <v>0</v>
      </c>
    </row>
    <row r="4826" spans="2:4">
      <c r="B4826">
        <v>100</v>
      </c>
      <c r="C4826" s="1">
        <f>hyperlink("https://hetutrechtsarchief.nl/collectie/970E60C39FC052089B15427008D2B42B","Ook Amersfoort had een vleeshuis Anton van Nostrum 22-23 2011")</f>
        <v>0</v>
      </c>
      <c r="D4826" s="1">
        <f>hyperlink("http://dspace.library.uu.nl/handle/1874/284586","Ook Amersfoort had een vleeshuis Anton van Nostrum 22-23 2011")</f>
        <v>0</v>
      </c>
    </row>
    <row r="4827" spans="2:4">
      <c r="B4827">
        <v>100</v>
      </c>
      <c r="C4827" s="1">
        <f>hyperlink("https://hetutrechtsarchief.nl/collectie/B85CCB3A771B50E8B12AF65525714B32","De Veerensmederij eigentijdse ontwikkeling van een industrieel monument Sandra Hovens 4-5 2011")</f>
        <v>0</v>
      </c>
      <c r="D4827" s="1">
        <f>hyperlink("http://dspace.library.uu.nl/handle/1874/284587","De Veerensmederij eigentijdse ontwikkeling van een industrieel monument Sandra Hovens 4-5 2011")</f>
        <v>0</v>
      </c>
    </row>
    <row r="4828" spans="2:4">
      <c r="B4828">
        <v>100</v>
      </c>
      <c r="C4828" s="1">
        <f>hyperlink("https://hetutrechtsarchief.nl/collectie/61D8C01191E45791B898A2BDD28EE3F8","Schonevelt het oudste rechthuis Anton van Nostrum 6-7 2011")</f>
        <v>0</v>
      </c>
      <c r="D4828" s="1">
        <f>hyperlink("http://dspace.library.uu.nl/handle/1874/284588","Schonevelt het oudste rechthuis Anton van Nostrum 6-7 2011")</f>
        <v>0</v>
      </c>
    </row>
    <row r="4829" spans="2:4">
      <c r="B4829">
        <v>100</v>
      </c>
      <c r="C4829" s="1">
        <f>hyperlink("https://hetutrechtsarchief.nl/collectie/92CC0DC875B2506D905267AB4C69EDBB","Goed licht fotokring Eemland 1936-2011 Lex van de Haterd 8-9 2011")</f>
        <v>0</v>
      </c>
      <c r="D4829" s="1">
        <f>hyperlink("http://dspace.library.uu.nl/handle/1874/284589","Goed licht fotokring Eemland 1936-2011 Lex van de Haterd 8-9 2011")</f>
        <v>0</v>
      </c>
    </row>
    <row r="4830" spans="2:4">
      <c r="B4830">
        <v>100</v>
      </c>
      <c r="C4830" s="1">
        <f>hyperlink("https://hetutrechtsarchief.nl/collectie/64F9E3E59A35516DB30AD9346DA96B58","Ontdekkingen in Amersfoortse en Italiaanse archieven Joannes Tollius 1550-1625 Simon Groot 14-15 2011")</f>
        <v>0</v>
      </c>
      <c r="D4830" s="1">
        <f>hyperlink("http://dspace.library.uu.nl/handle/1874/284590","Ontdekkingen in Amersfoortse en Italiaanse archieven Joannes Tollius 1550-1625 Simon Groot 14-15 2011")</f>
        <v>0</v>
      </c>
    </row>
    <row r="4831" spans="2:4">
      <c r="B4831">
        <v>100</v>
      </c>
      <c r="C4831" s="1">
        <f>hyperlink("https://hetutrechtsarchief.nl/collectie/3AF1DDFDFA935196877CF291BB88A297","Bouwplaten niet alleen om in elkaar te zetten Jan Carel van Dijk 16-17 2011")</f>
        <v>0</v>
      </c>
      <c r="D4831" s="1">
        <f>hyperlink("http://dspace.library.uu.nl/handle/1874/284591","Bouwplaten niet alleen om in elkaar te zetten Jan Carel van Dijk 16-17 2011")</f>
        <v>0</v>
      </c>
    </row>
    <row r="4832" spans="2:4">
      <c r="B4832">
        <v>100</v>
      </c>
      <c r="C4832" s="1">
        <f>hyperlink("https://hetutrechtsarchief.nl/collectie/C34B18D36E0C5BF5A8A1F12B58B824A8","Knobbelzwanen op de Eem Vincent van Laar 10-11 2011")</f>
        <v>0</v>
      </c>
      <c r="D4832" s="1">
        <f>hyperlink("http://dspace.library.uu.nl/handle/1874/284592","Knobbelzwanen op de Eem Vincent van Laar 10-11 2011")</f>
        <v>0</v>
      </c>
    </row>
    <row r="4833" spans="2:4">
      <c r="B4833">
        <v>100</v>
      </c>
      <c r="C4833" s="1">
        <f>hyperlink("https://hetutrechtsarchief.nl/collectie/6F5DB3F3589C5AF39D71D25C07B4F6D7","Opgefriste muurschilderingen restauratie Sint-Joriskerk bijna voltooid Sandra Hovens 4-6 2011")</f>
        <v>0</v>
      </c>
      <c r="D4833" s="1">
        <f>hyperlink("http://dspace.library.uu.nl/handle/1874/284593","Opgefriste muurschilderingen restauratie Sint-Joriskerk bijna voltooid Sandra Hovens 4-6 2011")</f>
        <v>0</v>
      </c>
    </row>
    <row r="4834" spans="2:4">
      <c r="B4834">
        <v>93</v>
      </c>
      <c r="C4834" s="1">
        <f>hyperlink("https://hetutrechtsarchief.nl/collectie/3A2C611B41225D7E8E84C2643A07CF0C","Kijkgaatjes in de Langestraat archeologen vinden knuppelweg en gracht met bijdr van Francien Snieder 10-11 2011")</f>
        <v>0</v>
      </c>
      <c r="D4834" s="1">
        <f>hyperlink("http://dspace.library.uu.nl/handle/1874/284594","Kijkgaatjes in de Langestraat archeologen vinden knuppelweg en gracht Francien Snieder 10-11 2011")</f>
        <v>0</v>
      </c>
    </row>
    <row r="4835" spans="2:4">
      <c r="B4835">
        <v>100</v>
      </c>
      <c r="C4835" s="1">
        <f>hyperlink("https://hetutrechtsarchief.nl/collectie/421D19FFE80D5AE098A76903C3E5EBD6","Wederopbouwpareltje behouden ABC-School de Vlindervallei Max Cramer 18-19 2011")</f>
        <v>0</v>
      </c>
      <c r="D4835" s="1">
        <f>hyperlink("http://dspace.library.uu.nl/handle/1874/284595","Wederopbouwpareltje behouden ABC-School de Vlindervallei Max Cramer 18-19 2011")</f>
        <v>0</v>
      </c>
    </row>
    <row r="4836" spans="2:4">
      <c r="B4836">
        <v>100</v>
      </c>
      <c r="C4836" s="1">
        <f>hyperlink("https://hetutrechtsarchief.nl/collectie/318DE96FEE755A29BA56B94EB682CB01","Kleurige lagen leem opgraving in Elleboogkerk Itamar de Rooze 2-3 2011")</f>
        <v>0</v>
      </c>
      <c r="D4836" s="1">
        <f>hyperlink("http://dspace.library.uu.nl/handle/1874/284596","Kleurige lagen leem opgraving in Elleboogkerk Itamar de Rooze 2-3 2011")</f>
        <v>0</v>
      </c>
    </row>
    <row r="4837" spans="2:4">
      <c r="B4837">
        <v>100</v>
      </c>
      <c r="C4837" s="1">
        <f>hyperlink("https://hetutrechtsarchief.nl/collectie/ECC60D3A27DA5DDEA053CD23EA5DC6BB","Als we het niet nodig hadden plaatselijk crisis-comite Amersfoort 1931-1936 Josine Kooiker 16-17 2011")</f>
        <v>0</v>
      </c>
      <c r="D4837" s="1">
        <f>hyperlink("http://dspace.library.uu.nl/handle/1874/284597","Als we het niet nodig hadden plaatselijk crisis-comite Amersfoort 1931-1936 Josine Kooiker 16-17 2011")</f>
        <v>0</v>
      </c>
    </row>
    <row r="4838" spans="2:4">
      <c r="B4838">
        <v>62</v>
      </c>
      <c r="C4838" s="1">
        <f>hyperlink("https://hetutrechtsarchief.nl/collectie/CC1BB2679AAEEE85E0538F04000AEEF0","Genealogie op een bijzondere manier Chris Woerden 144-146 2021")</f>
        <v>0</v>
      </c>
      <c r="D4838" s="1">
        <f>hyperlink("http://dspace.library.uu.nl/handle/1874/284598","Een wandelroute langs bijzondere Maria-plekken 14-15 2011")</f>
        <v>0</v>
      </c>
    </row>
    <row r="4839" spans="2:4">
      <c r="B4839">
        <v>64</v>
      </c>
      <c r="C4839" s="1">
        <f>hyperlink("https://hetutrechtsarchief.nl/collectie/CD3A02F3E9155672B51AC7DF2651890D","Amersfoort werkt Museum Flehite opent heringerichte zaal Gerard Raven 4-5 2005")</f>
        <v>0</v>
      </c>
      <c r="D4839" s="1">
        <f>hyperlink("http://dspace.library.uu.nl/handle/1874/284599","Herkomst helder in Museum Flehite onderzoek naar verdachte aanwinsten Gerard Raven 20-21 2011")</f>
        <v>0</v>
      </c>
    </row>
    <row r="4840" spans="2:4">
      <c r="B4840">
        <v>65</v>
      </c>
      <c r="C4840" s="1">
        <f>hyperlink("https://hetutrechtsarchief.nl/collectie/EA8BC38271195B33B221A0F1A3BF60B8","Een rondje spoorwegen wandelroute door Amersfoort Lydia Edelkoort 12-15 2013")</f>
        <v>0</v>
      </c>
      <c r="D4840" s="1">
        <f>hyperlink("http://dspace.library.uu.nl/handle/1874/284600","Geschiedenis in 22 vensters de canon van Amersfoort Lydia Edelkoort 14-15 2011")</f>
        <v>0</v>
      </c>
    </row>
    <row r="4841" spans="2:4">
      <c r="B4841">
        <v>100</v>
      </c>
      <c r="C4841" s="1">
        <f>hyperlink("https://hetutrechtsarchief.nl/collectie/4C7875CEC82258609D431389A3BEBCF4","Het meisje met de ster Fietje van Tijn een joods meisje uit Amersfoort Lydia Edelkoort 2-3 2012")</f>
        <v>0</v>
      </c>
      <c r="D4841" s="1">
        <f>hyperlink("http://dspace.library.uu.nl/handle/1874/285313","Het meisje met de ster Fietje van Tijn een joods meisje uit Amersfoort Lydia Edelkoort 2-3 2012")</f>
        <v>0</v>
      </c>
    </row>
    <row r="4842" spans="2:4">
      <c r="B4842">
        <v>100</v>
      </c>
      <c r="C4842" s="1">
        <f>hyperlink("https://hetutrechtsarchief.nl/collectie/9A7E3094271655ED9B7BD19877EADBD8","Tachtig gevangenen teruggevonden een vergeten grafveld bij Kamp Amersfoort Gert Stein 4-5 2012")</f>
        <v>0</v>
      </c>
      <c r="D4842" s="1">
        <f>hyperlink("http://dspace.library.uu.nl/handle/1874/285314","Tachtig gevangenen teruggevonden een vergeten grafveld bij Kamp Amersfoort Gert Stein 4-5 2012")</f>
        <v>0</v>
      </c>
    </row>
    <row r="4843" spans="2:4">
      <c r="B4843">
        <v>86</v>
      </c>
      <c r="C4843" s="1">
        <f>hyperlink("https://hetutrechtsarchief.nl/collectie/4FB39B4C048E59D1A682D188242F0510","Archeologie van de Tweede Wereldoorlog Ron Hulst en Mattijs Wijker 6-8 2012")</f>
        <v>0</v>
      </c>
      <c r="D4843" s="1">
        <f>hyperlink("http://dspace.library.uu.nl/handle/1874/285315","Archeologie van de Tweede Wereldoorlog Mattijs Hulst Ron Wijker 6-8 2012")</f>
        <v>0</v>
      </c>
    </row>
    <row r="4844" spans="2:4">
      <c r="B4844">
        <v>100</v>
      </c>
      <c r="C4844" s="1">
        <f>hyperlink("https://hetutrechtsarchief.nl/collectie/66E58E5C611E508C8790ABEB3FC73F8F","Elleboogkerk herrijst stadsgezicht Langegracht hersteld Sandra Hovens 10-11 2012")</f>
        <v>0</v>
      </c>
      <c r="D4844" s="1">
        <f>hyperlink("http://dspace.library.uu.nl/handle/1874/285316","Elleboogkerk herrijst stadsgezicht Langegracht hersteld Sandra Hovens 10-11 2012")</f>
        <v>0</v>
      </c>
    </row>
    <row r="4845" spans="2:4">
      <c r="B4845">
        <v>100</v>
      </c>
      <c r="C4845" s="1">
        <f>hyperlink("https://hetutrechtsarchief.nl/collectie/C41EF3AD8C1A5507929FFB1B46E03B54","Vechten tegen water en dieren weergang Koppelpoort gerestaureerd Gerard Keijzer 16-17 2012")</f>
        <v>0</v>
      </c>
      <c r="D4845" s="1">
        <f>hyperlink("http://dspace.library.uu.nl/handle/1874/285317","Vechten tegen water en dieren weergang Koppelpoort gerestaureerd Gerard Keijzer 16-17 2012")</f>
        <v>0</v>
      </c>
    </row>
    <row r="4846" spans="2:4">
      <c r="B4846">
        <v>100</v>
      </c>
      <c r="C4846" s="1">
        <f>hyperlink("https://hetutrechtsarchief.nl/collectie/ED9F8AE01A375F00B3BD72D708CB65EA","Een thuiswerkende notaris 17e-eeuws schilderij aanwinst voor Museum Flehite Albert Boersma 18-20 2012")</f>
        <v>0</v>
      </c>
      <c r="D4846" s="1">
        <f>hyperlink("http://dspace.library.uu.nl/handle/1874/285318","Een thuiswerkende notaris 17e-eeuws schilderij aanwinst voor Museum Flehite Albert Boersma 18-20 2012")</f>
        <v>0</v>
      </c>
    </row>
    <row r="4847" spans="2:4">
      <c r="B4847">
        <v>100</v>
      </c>
      <c r="C4847" s="1">
        <f>hyperlink("https://hetutrechtsarchief.nl/collectie/3795CA3BBDEC5DFF9299327CB9C39CA3","Stadsportretten van Joop Stoop Onno Maurer 4-5 2012")</f>
        <v>0</v>
      </c>
      <c r="D4847" s="1">
        <f>hyperlink("http://dspace.library.uu.nl/handle/1874/285319","Stadsportretten van Joop Stoop Onno Maurer 4-5 2012")</f>
        <v>0</v>
      </c>
    </row>
    <row r="4848" spans="2:4">
      <c r="B4848">
        <v>100</v>
      </c>
      <c r="C4848" s="1">
        <f>hyperlink("https://hetutrechtsarchief.nl/collectie/231A297BA10553D1A84F10A41C1DBF07","Geuzen in de Sint-Joriskerk Alice van Diepen 6-8 2012")</f>
        <v>0</v>
      </c>
      <c r="D4848" s="1">
        <f>hyperlink("http://dspace.library.uu.nl/handle/1874/285320","Geuzen in de Sint-Joriskerk Alice van Diepen 6-8 2012")</f>
        <v>0</v>
      </c>
    </row>
    <row r="4849" spans="2:4">
      <c r="B4849">
        <v>100</v>
      </c>
      <c r="C4849" s="1">
        <f>hyperlink("https://hetutrechtsarchief.nl/collectie/4053387DD9FD5141B916F1139FACF4C3","Schilder voor fijnproevers Jan Adam Zandleven 1868-1923 Jaap Verhage 9 2012")</f>
        <v>0</v>
      </c>
      <c r="D4849" s="1">
        <f>hyperlink("http://dspace.library.uu.nl/handle/1874/285321","Schilder voor fijnproevers Jan Adam Zandleven 1868-1923 Jaap Verhage 9 2012")</f>
        <v>0</v>
      </c>
    </row>
    <row r="4850" spans="2:4">
      <c r="B4850">
        <v>91</v>
      </c>
      <c r="C4850" s="1">
        <f>hyperlink("https://hetutrechtsarchief.nl/collectie/745545D01FC25D70A21D7FB1368ABD42","Waar de Katoenboom uithangt onderzoek naar een pand aan de Lieve-Vrouwestraat Anne van der Glas en Itamar de Rooze 10-11 2012")</f>
        <v>0</v>
      </c>
      <c r="D4850" s="1">
        <f>hyperlink("http://dspace.library.uu.nl/handle/1874/285322","Waar de Katoenboom uithangt onderzoek naar een pand aan de Lieve-Vrouwestraat Itamar de Glas Anne van der Rooze 10-11 2012")</f>
        <v>0</v>
      </c>
    </row>
    <row r="4851" spans="2:4">
      <c r="B4851">
        <v>100</v>
      </c>
      <c r="C4851" s="1">
        <f>hyperlink("https://hetutrechtsarchief.nl/collectie/30A9C587B7A05AB1A37A77D73CDCFE68","Willem Alings 1891-1968 Gevoel voor de schoonheid der kleuren Marjan de Man 12-13 2012")</f>
        <v>0</v>
      </c>
      <c r="D4851" s="1">
        <f>hyperlink("http://dspace.library.uu.nl/handle/1874/285323","Willem Alings 1891-1968 Gevoel voor de schoonheid der kleuren Marjan de Man 12-13 2012")</f>
        <v>0</v>
      </c>
    </row>
    <row r="4852" spans="2:4">
      <c r="B4852">
        <v>91</v>
      </c>
      <c r="C4852" s="1">
        <f>hyperlink("https://hetutrechtsarchief.nl/collectie/7517452C52015EBEB71707D3D00568A8","Huis Van Beek weer klaar voor nieuwe generatie Petra van Ieperen en Robert van Ieperen 16-17 2012")</f>
        <v>0</v>
      </c>
      <c r="D4852" s="1">
        <f>hyperlink("http://dspace.library.uu.nl/handle/1874/285324","Huis Van Beek weer klaar voor nieuwe generatie Robert van Ieperen Petra van Ieperen 16-17 2012")</f>
        <v>0</v>
      </c>
    </row>
    <row r="4853" spans="2:4">
      <c r="B4853">
        <v>100</v>
      </c>
      <c r="C4853" s="1">
        <f>hyperlink("https://hetutrechtsarchief.nl/collectie/B793F0C1A1D65EA3A88F518490CC395B","Decoratie als bron van informatie de kan van Philipp von Lomont Evelyn Scheepsma 18-19 2012")</f>
        <v>0</v>
      </c>
      <c r="D4853" s="1">
        <f>hyperlink("http://dspace.library.uu.nl/handle/1874/285325","Decoratie als bron van informatie de kan van Philipp von Lomont Evelyn Scheepsma 18-19 2012")</f>
        <v>0</v>
      </c>
    </row>
    <row r="4854" spans="2:4">
      <c r="B4854">
        <v>100</v>
      </c>
      <c r="C4854" s="1">
        <f>hyperlink("https://hetutrechtsarchief.nl/collectie/DB7BDBD607C0544BB9EBF04F05111E7B","Proeflopen voor de Ommegang Louis Tiessen en de Vrouwevaart Piek Theisens 14-15 2012")</f>
        <v>0</v>
      </c>
      <c r="D4854" s="1">
        <f>hyperlink("http://dspace.library.uu.nl/handle/1874/285326","Proeflopen voor de Ommegang Louis Tiessen en de Vrouwevaart Piek Theisens 14-15 2012")</f>
        <v>0</v>
      </c>
    </row>
    <row r="4855" spans="2:4">
      <c r="B4855">
        <v>99</v>
      </c>
      <c r="C4855" s="1">
        <f>hyperlink("https://hetutrechtsarchief.nl/collectie/8CACF3FE82CF5080B02CF6F9F0BA3744","Eemlandse buitenplaatsen zijn de moeite waard tentoonstelling Museum Flehite 6 september - 11 november Gerard Raven 2-5 2012")</f>
        <v>0</v>
      </c>
      <c r="D4855" s="1">
        <f>hyperlink("http://dspace.library.uu.nl/handle/1874/285327","Eemlandse buitenplaatsen zijn de moeite waard tentoonstelling Museum Flehite 6 september - 11 november Gerard Raven 3-5 2012")</f>
        <v>0</v>
      </c>
    </row>
    <row r="4856" spans="2:4">
      <c r="B4856">
        <v>100</v>
      </c>
      <c r="C4856" s="1">
        <f>hyperlink("https://hetutrechtsarchief.nl/collectie/A13336F710BB5AA5964FAD4D2D69A1F0","Een buitenplaats is niet van steen herinneringen van een kleindochter aan de Heiligenberg Carine Alders 8-11 2012")</f>
        <v>0</v>
      </c>
      <c r="D4856" s="1">
        <f>hyperlink("http://dspace.library.uu.nl/handle/1874/285328","Een buitenplaats is niet van steen herinneringen van een kleindochter aan de Heiligenberg Carine Alders 8-11 2012")</f>
        <v>0</v>
      </c>
    </row>
    <row r="4857" spans="2:4">
      <c r="B4857">
        <v>100</v>
      </c>
      <c r="C4857" s="1">
        <f>hyperlink("https://hetutrechtsarchief.nl/collectie/77475AB45E3B56118E45F72E5587FF6E","Een eigenzinnige dromer Jan Hendrik Pennings 1898-1982 Marjan de Man 13-16 2012")</f>
        <v>0</v>
      </c>
      <c r="D4857" s="1">
        <f>hyperlink("http://dspace.library.uu.nl/handle/1874/285329","Een eigenzinnige dromer Jan Hendrik Pennings 1898-1982 Marjan de Man 13-16 2012")</f>
        <v>0</v>
      </c>
    </row>
    <row r="4858" spans="2:4">
      <c r="B4858">
        <v>100</v>
      </c>
      <c r="C4858" s="1">
        <f>hyperlink("https://hetutrechtsarchief.nl/collectie/BCAB64D65CE55FEA84842CC740D1D460","Vergeten en verborgen Emiclaer Francien Snieder 18-19 2012")</f>
        <v>0</v>
      </c>
      <c r="D4858" s="1">
        <f>hyperlink("http://dspace.library.uu.nl/handle/1874/285330","Vergeten en verborgen Emiclaer Francien Snieder 18-19 2012")</f>
        <v>0</v>
      </c>
    </row>
    <row r="4859" spans="2:4">
      <c r="B4859">
        <v>100</v>
      </c>
      <c r="C4859" s="1">
        <f>hyperlink("https://hetutrechtsarchief.nl/collectie/065DB1BF99D851A3AAAE9378CD87CDE1","Berg en Dal vergeten heuvel verdwenen landhuis Johan Teters 22-23 2012")</f>
        <v>0</v>
      </c>
      <c r="D4859" s="1">
        <f>hyperlink("http://dspace.library.uu.nl/handle/1874/285331","Berg en Dal vergeten heuvel verdwenen landhuis Johan Teters 22-23 2012")</f>
        <v>0</v>
      </c>
    </row>
    <row r="4860" spans="2:4">
      <c r="B4860">
        <v>100</v>
      </c>
      <c r="C4860" s="1">
        <f>hyperlink("https://hetutrechtsarchief.nl/collectie/663D414EFBCD5C289D63AF6E7D9CDCF9","Nimmerdor onderzoek naar het ontstaan van het Parkbos Max Cramer 24-25 2012")</f>
        <v>0</v>
      </c>
      <c r="D4860" s="1">
        <f>hyperlink("http://dspace.library.uu.nl/handle/1874/285332","Nimmerdor onderzoek naar het ontstaan van het Parkbos Max Cramer 24-25 2012")</f>
        <v>0</v>
      </c>
    </row>
    <row r="4861" spans="2:4">
      <c r="B4861">
        <v>100</v>
      </c>
      <c r="C4861" s="1">
        <f>hyperlink("https://hetutrechtsarchief.nl/collectie/776D00452CAD519981102BA752A4BB84","De herontdekking van Randenbroek eerste reconstructiemaquette Peter van den Hoek Cor van den Braber 6-7 2012")</f>
        <v>0</v>
      </c>
      <c r="D4861" s="1">
        <f>hyperlink("http://dspace.library.uu.nl/handle/1874/285333","De herontdekking van Randenbroek eerste reconstructiemaquette Peter van den Hoek Cor van den Braber 6-7 2012")</f>
        <v>0</v>
      </c>
    </row>
    <row r="4862" spans="2:4">
      <c r="B4862">
        <v>100</v>
      </c>
      <c r="C4862" s="1">
        <f>hyperlink("https://hetutrechtsarchief.nl/collectie/A8994410EBF257C6A88128E6E02D3407","Een snelle met een politieke boodschap Evelyn Scheepsma 2-3 2012")</f>
        <v>0</v>
      </c>
      <c r="D4862" s="1">
        <f>hyperlink("http://dspace.library.uu.nl/handle/1874/285334","Een snelle met een politieke boodschap Evelyn Scheepsma 2-3 2012")</f>
        <v>0</v>
      </c>
    </row>
    <row r="4863" spans="2:4">
      <c r="B4863">
        <v>90</v>
      </c>
      <c r="C4863" s="1">
        <f>hyperlink("https://hetutrechtsarchief.nl/collectie/D73FD4BA7EED599E9EA8894CA0D18698","Geboeid door historische processen vraaggesprek met historicus Lucas Bolsius Floor de Graaff en Yvonne Tanke 4-5 2012")</f>
        <v>0</v>
      </c>
      <c r="D4863" s="1">
        <f>hyperlink("http://dspace.library.uu.nl/handle/1874/285335","Geboeid door historische processen vraaggesprek met historicus Lucas Bolsius Yvonne Graaff Floor de Tanke 4-5 2012")</f>
        <v>0</v>
      </c>
    </row>
    <row r="4864" spans="2:4">
      <c r="B4864">
        <v>100</v>
      </c>
      <c r="C4864" s="1">
        <f>hyperlink("https://hetutrechtsarchief.nl/collectie/C419F93A7045592F9C398DD8302C0E3D","Het Mirakel van Amersfoort de speeltrommel van de Onze-Lieve-Vrouwetoren Henk Veldman 10-11 2012")</f>
        <v>0</v>
      </c>
      <c r="D4864" s="1">
        <f>hyperlink("http://dspace.library.uu.nl/handle/1874/285336","Het Mirakel van Amersfoort de speeltrommel van de Onze-Lieve-Vrouwetoren Henk Veldman 10-11 2012")</f>
        <v>0</v>
      </c>
    </row>
    <row r="4865" spans="2:4">
      <c r="B4865">
        <v>100</v>
      </c>
      <c r="C4865" s="1">
        <f>hyperlink("https://hetutrechtsarchief.nl/collectie/258E570E96AD56CB8F196A071AE74083","Oud papier maar niet waardeloos vervallen Amersfoortse waardepieren Jan Carel van Dijk 14-15 2012")</f>
        <v>0</v>
      </c>
      <c r="D4865" s="1">
        <f>hyperlink("http://dspace.library.uu.nl/handle/1874/285337","Oud papier maar niet waardeloos vervallen Amersfoortse waardepieren Jan Carel van Dijk 14-15 2012")</f>
        <v>0</v>
      </c>
    </row>
    <row r="4866" spans="2:4">
      <c r="B4866">
        <v>63</v>
      </c>
      <c r="C4866" s="1">
        <f>hyperlink("https://hetutrechtsarchief.nl/collectie/89C19617DAE3563FA9DD5237D2020E38","Onder ons 30 jaar stadsarcheologie in Amersfoort Francien Snieder 4-9 2014")</f>
        <v>0</v>
      </c>
      <c r="D4866" s="1">
        <f>hyperlink("http://dspace.library.uu.nl/handle/1874/285338","Francien Snieder 25 jaar stadsarcheoloog van Amersfoort Timo d Hollosy 14-15 2012")</f>
        <v>0</v>
      </c>
    </row>
    <row r="4867" spans="2:4">
      <c r="B4867">
        <v>70</v>
      </c>
      <c r="C4867" s="1">
        <f>hyperlink("https://hetutrechtsarchief.nl/collectie/01F118E379D45ABE8151DBA4EC2E2302","Verdwenen buitenplaatsen - K 89-90 1935")</f>
        <v>0</v>
      </c>
      <c r="D4867" s="1">
        <f>hyperlink("http://dspace.library.uu.nl/handle/1874/285339","Eemlandse buitenplaatsen 1 -28 2012")</f>
        <v>0</v>
      </c>
    </row>
    <row r="4868" spans="2:4">
      <c r="B4868">
        <v>58</v>
      </c>
      <c r="C4868" s="1">
        <f>hyperlink("https://hetutrechtsarchief.nl/collectie/163DF769887B5EFE86BFD4ABFD72A4A4","Van stokje tot vals drieluik de collectie Johan van Oldenbarnevelt van Museum Flehite Gerard Raven 4-7 2010")</f>
        <v>0</v>
      </c>
      <c r="D4868" s="1">
        <f>hyperlink("http://dspace.library.uu.nl/handle/1874/285340","Bontmantels kanten kragen ernstige gezichten nieuwe portretten in Museum Flehite Gerard Raven 6-8 2012")</f>
        <v>0</v>
      </c>
    </row>
    <row r="4869" spans="2:4">
      <c r="B4869">
        <v>56</v>
      </c>
      <c r="C4869" s="1">
        <f>hyperlink("https://hetutrechtsarchief.nl/collectie/3FA34E48BE115787877FD5CE64922EED","Een Nederlandse componist uit Amersfoort componist Tristan Keuris 1946-1996 en Amersfoort Henk van Tilburg 6 -25 2011")</f>
        <v>0</v>
      </c>
      <c r="D4869" s="1">
        <f>hyperlink("http://dspace.library.uu.nl/handle/1874/285341","Vincent van Gogh in Amersfoort unieke expositie Amersfoortsche Kunstkring in 1930 Henk van Tilburg 16-17 2012")</f>
        <v>0</v>
      </c>
    </row>
    <row r="4870" spans="2:4">
      <c r="B4870">
        <v>58</v>
      </c>
      <c r="C4870" s="1">
        <f>hyperlink("https://hetutrechtsarchief.nl/collectie/94BED3FE25F05F4CA4367449BEE549E1","Historisch Amersfoort op internet 2-3 2001")</f>
        <v>0</v>
      </c>
      <c r="D4870" s="1">
        <f>hyperlink("http://dspace.library.uu.nl/handle/1874/285694","Kroniek tijdschrift historisch Amersfoort Museum Flehite 2004-")</f>
        <v>0</v>
      </c>
    </row>
    <row r="4871" spans="2:4">
      <c r="B4871">
        <v>88</v>
      </c>
      <c r="C4871" s="1">
        <f>hyperlink("https://hetutrechtsarchief.nl/collectie/83A462278F5B5173B754C81C5DD63577","Archeologische kroniek van de provincie Utrecht over de jaren 1970-1971 samengesteld door W J van Tent 59-74 ill tek 1976")</f>
        <v>0</v>
      </c>
      <c r="D4871" s="1">
        <f>hyperlink("http://dspace.library.uu.nl/handle/1874/285787","Archeologische kroniek van de provincie Utrecht over de jaren 1970-1971 W J van Tent 59-74 1976")</f>
        <v>0</v>
      </c>
    </row>
    <row r="4872" spans="2:4">
      <c r="B4872">
        <v>95</v>
      </c>
      <c r="C4872" s="1">
        <f>hyperlink("https://hetutrechtsarchief.nl/collectie/6BEC16EE5E785E02AE16E46DAC59F5EB","Wat is de toekomst voor Kasteel Amerongen en wat doet de Stichting Utrechtse Kastelen H W M J Kits Nieuwenkamp 57-58 ill 1976")</f>
        <v>0</v>
      </c>
      <c r="D4872" s="1">
        <f>hyperlink("http://dspace.library.uu.nl/handle/1874/285788","Wat is de toekomst voor kasteel Amerongen en wat doet de Stichting Utrechtse Kastelen J F K Kits Nieuwenkamp 57-58 1976")</f>
        <v>0</v>
      </c>
    </row>
    <row r="4873" spans="2:4">
      <c r="B4873">
        <v>100</v>
      </c>
      <c r="C4873" s="1">
        <f>hyperlink("https://hetutrechtsarchief.nl/collectie/BCE2D2B308B55FCC9F4BB3341D754658","Klootschieten geliefd spel gaf te veel hinder Engelbert Heupers 41-42 1976")</f>
        <v>0</v>
      </c>
      <c r="D4873" s="1">
        <f>hyperlink("http://dspace.library.uu.nl/handle/1874/285789","Klootschieten geliefd spel gaf te veel hinder Engelbert Heupers 41-42 1976")</f>
        <v>0</v>
      </c>
    </row>
    <row r="4874" spans="2:4">
      <c r="B4874">
        <v>98</v>
      </c>
      <c r="C4874" s="1">
        <f>hyperlink("https://hetutrechtsarchief.nl/collectie/A35980EBC27E59279E1FE8A477CFF1E7","Werken aan functioneel gebruik Stichting Interieur Jacobikerk J Godschalk 51 ill 1976")</f>
        <v>0</v>
      </c>
      <c r="D4874" s="1">
        <f>hyperlink("http://dspace.library.uu.nl/handle/1874/285790","Werken aan functioneel gebruik Stichting Interieur Jacobikerk J Godschalk 51 1976")</f>
        <v>0</v>
      </c>
    </row>
    <row r="4875" spans="2:4">
      <c r="B4875">
        <v>96</v>
      </c>
      <c r="C4875" s="1">
        <f>hyperlink("https://hetutrechtsarchief.nl/collectie/20FFA5124D3156C2A8F5D62F0F95BAED","De Zeister paardentram A van Hulzen 49-50 ill 1976")</f>
        <v>0</v>
      </c>
      <c r="D4875" s="1">
        <f>hyperlink("http://dspace.library.uu.nl/handle/1874/285791","De Zeister paardentram A van Hulzen 49-50 1976")</f>
        <v>0</v>
      </c>
    </row>
    <row r="4876" spans="2:4">
      <c r="B4876">
        <v>96</v>
      </c>
      <c r="C4876" s="1">
        <f>hyperlink("https://hetutrechtsarchief.nl/collectie/59F67D5CAA4758318CC68E8164C80040","Middeleeuwen in prentbriefkaart F Kipp 46-47 ill 1976")</f>
        <v>0</v>
      </c>
      <c r="D4876" s="1">
        <f>hyperlink("http://dspace.library.uu.nl/handle/1874/285792","Middeleeuwen in prentbriefkaart F Kipp 46-47 1976")</f>
        <v>0</v>
      </c>
    </row>
    <row r="4877" spans="2:4">
      <c r="B4877">
        <v>100</v>
      </c>
      <c r="C4877" s="1">
        <f>hyperlink("https://hetutrechtsarchief.nl/collectie/B61DA0D6F5775F6FA018062968861890","De restauratie van de Dombeiaard Andr Lehr 45-46 1976")</f>
        <v>0</v>
      </c>
      <c r="D4877" s="1">
        <f>hyperlink("http://dspace.library.uu.nl/handle/1874/285793","De restauratie van de Dombeiaard Andr Lehr 45-46 1976")</f>
        <v>0</v>
      </c>
    </row>
    <row r="4878" spans="2:4">
      <c r="B4878">
        <v>97</v>
      </c>
      <c r="C4878" s="1">
        <f>hyperlink("https://hetutrechtsarchief.nl/collectie/21C014DCA7A05130BAC4681A7B8DE6ED","Wat zijn Samoureusschippers H W M J Kits Nieuwenkamp 52-53 ill 1976")</f>
        <v>0</v>
      </c>
      <c r="D4878" s="1">
        <f>hyperlink("http://dspace.library.uu.nl/handle/1874/285794","Wat zijn Samoureusschippers H W M J Kits Nieuwenkamp 52-53 1976")</f>
        <v>0</v>
      </c>
    </row>
    <row r="4879" spans="2:4">
      <c r="B4879">
        <v>93</v>
      </c>
      <c r="C4879" s="1">
        <f>hyperlink("https://hetutrechtsarchief.nl/collectie/CC021079FC8D5EEB804B539F6C73F719","Hout en marmer imiteren P van Kesteren 1976")</f>
        <v>0</v>
      </c>
      <c r="D4879" s="1">
        <f>hyperlink("http://dspace.library.uu.nl/handle/1874/285873","Hout en marmer imiteren P van Kesteren 82-84 1976")</f>
        <v>0</v>
      </c>
    </row>
    <row r="4880" spans="2:4">
      <c r="B4880">
        <v>88</v>
      </c>
      <c r="C4880" s="1">
        <f>hyperlink("https://hetutrechtsarchief.nl/collectie/4599F171916E5A0C9A9A88EC1B02DFE5","Vredenburg A F E Kipp 96-97 ill 1976")</f>
        <v>0</v>
      </c>
      <c r="D4880" s="1">
        <f>hyperlink("http://dspace.library.uu.nl/handle/1874/285874","Vredenburg F Kipp 96-97 1976")</f>
        <v>0</v>
      </c>
    </row>
    <row r="4881" spans="2:4">
      <c r="B4881">
        <v>94</v>
      </c>
      <c r="C4881" s="1">
        <f>hyperlink("https://hetutrechtsarchief.nl/collectie/5C8BFDD0FE60571698F27B3013DAF335","Utrechtse bevolkingsaanwas door Duitse immigratie tweede helft van de achttiende eeuw Adriaan E van Putten 90-96 ill tab 1976")</f>
        <v>0</v>
      </c>
      <c r="D4881" s="1">
        <f>hyperlink("http://dspace.library.uu.nl/handle/1874/285875","Utrechtse bevolkingsaanwas door Duitse immigratie tweede helft van de achttiende eeuw Adriaan E van Puffelen 90-96 1976")</f>
        <v>0</v>
      </c>
    </row>
    <row r="4882" spans="2:4">
      <c r="B4882">
        <v>100</v>
      </c>
      <c r="C4882" s="1">
        <f>hyperlink("https://hetutrechtsarchief.nl/collectie/BE7A9942B48E5563B27EFB484F0E58D3","Hoe bekend was kasteel Vredenburg F Schoonheim 80 1976")</f>
        <v>0</v>
      </c>
      <c r="D4882" s="1">
        <f>hyperlink("http://dspace.library.uu.nl/handle/1874/285876","Hoe bekend was kasteel Vredenburg F Schoonheim 80 1976")</f>
        <v>0</v>
      </c>
    </row>
    <row r="4883" spans="2:4">
      <c r="B4883">
        <v>100</v>
      </c>
      <c r="C4883" s="1">
        <f>hyperlink("https://hetutrechtsarchief.nl/collectie/8191EEEF58E650ACBB25D7CEB6B13E27","Vredenburg D P Snoep 75-76 1976")</f>
        <v>0</v>
      </c>
      <c r="D4883" s="1">
        <f>hyperlink("http://dspace.library.uu.nl/handle/1874/285877","Vredenburg D P Snoep 75-76 1976")</f>
        <v>0</v>
      </c>
    </row>
    <row r="4884" spans="2:4">
      <c r="B4884">
        <v>89</v>
      </c>
      <c r="C4884" s="1">
        <f>hyperlink("https://hetutrechtsarchief.nl/collectie/2CBD0771EB4157D491CAAB1245F028A6","Zeventien jaar Vreeburg C L Temminck Groll 77-79 ill tek 1976")</f>
        <v>0</v>
      </c>
      <c r="D4884" s="1">
        <f>hyperlink("http://dspace.library.uu.nl/handle/1874/285878","Zeventien jaar Vreeburg C L Temminck Groll 77-80 1976")</f>
        <v>0</v>
      </c>
    </row>
    <row r="4885" spans="2:4">
      <c r="B4885">
        <v>67</v>
      </c>
      <c r="C4885" s="1">
        <f>hyperlink("https://hetutrechtsarchief.nl/collectie/EE5BADA9E0555C77A0E90D8F9A54AAF1","Wijk bij Duurstede of een andere stad L C J M Rouppe van der Voort 46-47 ill 1974")</f>
        <v>0</v>
      </c>
      <c r="D4885" s="1">
        <f>hyperlink("http://dspace.library.uu.nl/handle/1874/285879","Dorestad L C J M Rouppe van der Voort 1976")</f>
        <v>0</v>
      </c>
    </row>
    <row r="4886" spans="2:4">
      <c r="B4886">
        <v>78</v>
      </c>
      <c r="C4886" s="1">
        <f>hyperlink("https://hetutrechtsarchief.nl/collectie/13123EF0F57550DAA495C69FF4E0A9D9","Kasteel Amerongen voor de veilinghamer gered H W M J Kits Nieuwenkamp 13-16 ill 1977")</f>
        <v>0</v>
      </c>
      <c r="D4886" s="1">
        <f>hyperlink("http://dspace.library.uu.nl/handle/1874/285965","Kasteel Amerongen voor de veilinghamer gered met een overzicht van de geschiedenis J F K Kits Nieuwenkamp 13-16 1977")</f>
        <v>0</v>
      </c>
    </row>
    <row r="4887" spans="2:4">
      <c r="B4887">
        <v>86</v>
      </c>
      <c r="C4887" s="1">
        <f>hyperlink("https://hetutrechtsarchief.nl/collectie/98F42A02C0E65CCFAC9CE887ACE479DA","Amerongen monumentenjaar bouwt een vereniging - L v T 7-9 plgr 1976")</f>
        <v>0</v>
      </c>
      <c r="D4887" s="1">
        <f>hyperlink("http://dspace.library.uu.nl/handle/1874/285966","Amerongen monumentenjaar bouwt een vereniging L van Tongerloo 7-9 1977")</f>
        <v>0</v>
      </c>
    </row>
    <row r="4888" spans="2:4">
      <c r="B4888">
        <v>100</v>
      </c>
      <c r="C4888" s="1">
        <f>hyperlink("https://hetutrechtsarchief.nl/collectie/57A6641019025CE9BFD058D0070423FF","Vreeland vroeger en nu H J Aalderink 121-122 1976")</f>
        <v>0</v>
      </c>
      <c r="D4888" s="1">
        <f>hyperlink("http://dspace.library.uu.nl/handle/1874/285967","Vreeland vroeger en nu H J Aalderink 121-122 1976")</f>
        <v>0</v>
      </c>
    </row>
    <row r="4889" spans="2:4">
      <c r="B4889">
        <v>98</v>
      </c>
      <c r="C4889" s="1">
        <f>hyperlink("https://hetutrechtsarchief.nl/collectie/8D1F2C3A2892562CAEE8C7F8D4B195A3","Schaakproblemen D A Berents 123-124 1976")</f>
        <v>0</v>
      </c>
      <c r="D4889" s="1">
        <f>hyperlink("http://dspace.library.uu.nl/handle/1874/285968","Schaakproblemen D A Berents 123-125 1976")</f>
        <v>0</v>
      </c>
    </row>
    <row r="4890" spans="2:4">
      <c r="B4890">
        <v>97</v>
      </c>
      <c r="C4890" s="1">
        <f>hyperlink("https://hetutrechtsarchief.nl/collectie/40A9F335C2DB594AACC5AAD85B85DC78","Kasteel Vredenburg in Neolatijnse po zie van de 16e tot en met de 18e eeuw Alfred M M Dekker 118-121 ill 1976")</f>
        <v>0</v>
      </c>
      <c r="D4890" s="1">
        <f>hyperlink("http://dspace.library.uu.nl/handle/1874/285969","Kasteel Vredenburg in Neolatijnse poezi van de 16e tot en met de 18e eeuw Alfred M M Dekker 118-121 1976")</f>
        <v>0</v>
      </c>
    </row>
    <row r="4891" spans="2:4">
      <c r="B4891">
        <v>95</v>
      </c>
      <c r="C4891" s="1">
        <f>hyperlink("https://hetutrechtsarchief.nl/collectie/5CC00EB2A69E5DEF8274D8239302B5DB","Beschermd stadsgezicht steen voor steen-weg Jean Penders 114-115 ill tek 1976")</f>
        <v>0</v>
      </c>
      <c r="D4891" s="1">
        <f>hyperlink("http://dspace.library.uu.nl/handle/1874/285970","Beschermd stadsgezicht steen voor steen-weg Jean Penders 114-115 1976")</f>
        <v>0</v>
      </c>
    </row>
    <row r="4892" spans="2:4">
      <c r="B4892">
        <v>94</v>
      </c>
      <c r="C4892" s="1">
        <f>hyperlink("https://hetutrechtsarchief.nl/collectie/4269536DF6CC51DCB6085EA15D611A85","Een bedreigd hofje bij de Keizerstraat Jean Penders 116-117 ill tek 1976")</f>
        <v>0</v>
      </c>
      <c r="D4892" s="1">
        <f>hyperlink("http://dspace.library.uu.nl/handle/1874/285971","Een bedreigd hofje bij de Keizerstraat Jean Penders 116-117 1976")</f>
        <v>0</v>
      </c>
    </row>
    <row r="4893" spans="2:4">
      <c r="B4893">
        <v>80</v>
      </c>
      <c r="C4893" s="1">
        <f>hyperlink("https://hetutrechtsarchief.nl/collectie/5E6DC27F87EB51CB90C6B73AB58F2325","Portret van Utrecht in de dertiger jaren Cornelius Carolus Stephan Crone 102-106 ill portr 1976")</f>
        <v>0</v>
      </c>
      <c r="D4893" s="1">
        <f>hyperlink("http://dspace.library.uu.nl/handle/1874/285972","Portret van Utrecht in de dertiger jaren door Cornelius Carolus Stephan Crone V R van Poelgeest-Spatkowa 102-106 1976")</f>
        <v>0</v>
      </c>
    </row>
    <row r="4894" spans="2:4">
      <c r="B4894">
        <v>77</v>
      </c>
      <c r="C4894" s="1">
        <f>hyperlink("https://hetutrechtsarchief.nl/collectie/9AFE39FEBB395BDE80568A271F5B8074","Jan van Scorel in Utrecht altaarstukken en schilderijen omstreeks 1540 documenten technisch onderzoek 18-20 ill 1977")</f>
        <v>0</v>
      </c>
      <c r="D4894" s="1">
        <f>hyperlink("http://dspace.library.uu.nl/handle/1874/285973","Jan van Scorel in Utrecht altaarstukken en schilderijen omstreeks 1540 documenten technisch onderzoek tentoonstelling in het Centraal Museum van 5 maart - 1 mei 1977 18-20 1977")</f>
        <v>0</v>
      </c>
    </row>
    <row r="4895" spans="2:4">
      <c r="B4895">
        <v>96</v>
      </c>
      <c r="C4895" s="1">
        <f>hyperlink("https://hetutrechtsarchief.nl/collectie/8BD5EF6BAD5352798890D95B0881E991","Toren en kerk van Sint Jacob A Graafhuis 21-22 ill 1977")</f>
        <v>0</v>
      </c>
      <c r="D4895" s="1">
        <f>hyperlink("http://dspace.library.uu.nl/handle/1874/285974","Toren en kerk van Sint Jacob A Graafhuis 21-22 1977")</f>
        <v>0</v>
      </c>
    </row>
    <row r="4896" spans="2:4">
      <c r="B4896">
        <v>59</v>
      </c>
      <c r="C4896" s="1">
        <f>hyperlink("https://hetutrechtsarchief.nl/collectie/BF21DEE1780A52E083EE33F06C8246BC","Cholera in Jutphaas P D t Hart 22-30 ill portr 1993")</f>
        <v>0</v>
      </c>
      <c r="D4896" s="1">
        <f>hyperlink("http://dspace.library.uu.nl/handle/1874/285975","Schuldeisers dringen aan P D t Hart 2-7 1977")</f>
        <v>0</v>
      </c>
    </row>
    <row r="4897" spans="2:4">
      <c r="B4897">
        <v>96</v>
      </c>
      <c r="C4897" s="1">
        <f>hyperlink("https://hetutrechtsarchief.nl/collectie/CE07C1963EDB55478A3E87C60CA6B621","De houten gildebeker van het timmerlieden- of St Josephsgild te Wijk bij Duurstede H W M J Kits Nieuwenkamp 107-108 125-127 ill 1976")</f>
        <v>0</v>
      </c>
      <c r="D4897" s="1">
        <f>hyperlink("http://dspace.library.uu.nl/handle/1874/285976","De houten gildebeker van het timmerlieden- of St Josephsgild te Wijk bij Duurstede H W M J Kits Nieuwenkamp 107-108 nr 12 p 125-127 1976")</f>
        <v>0</v>
      </c>
    </row>
    <row r="4898" spans="2:4">
      <c r="B4898">
        <v>56</v>
      </c>
      <c r="C4898" s="1">
        <f>hyperlink("https://hetutrechtsarchief.nl/collectie/2886552E274F54EEA6F270A88F04B2C8","Een nieuw handboek en een nieuw Provinciekantoor J Schutteva r 49-51 ill krt 1977")</f>
        <v>0</v>
      </c>
      <c r="D4898" s="1">
        <f>hyperlink("http://dspace.library.uu.nl/handle/1874/286099","De provincie Utrecht in de grondnevel der bestuurlijke reorganisatie J Schutteva r 49-51 1977")</f>
        <v>0</v>
      </c>
    </row>
    <row r="4899" spans="2:4">
      <c r="B4899">
        <v>95</v>
      </c>
      <c r="C4899" s="1">
        <f>hyperlink("https://hetutrechtsarchief.nl/collectie/DEB86F1F3333598D8447DCAF244C57A3","Stinseplanten op kasteel Zuylen J Brinkman 25-27 tek 1977")</f>
        <v>0</v>
      </c>
      <c r="D4899" s="1">
        <f>hyperlink("http://dspace.library.uu.nl/handle/1874/286100","Stinseplanten op kasteel Zuylen J Brinkman 25-26 1977")</f>
        <v>0</v>
      </c>
    </row>
    <row r="4900" spans="2:4">
      <c r="B4900">
        <v>94</v>
      </c>
      <c r="C4900" s="1">
        <f>hyperlink("https://hetutrechtsarchief.nl/collectie/1D56B570043C5309AF05EEAEC36F8768","Schaakstuk T J Hoekstra 33 ill 1977")</f>
        <v>0</v>
      </c>
      <c r="D4900" s="1">
        <f>hyperlink("http://dspace.library.uu.nl/handle/1874/286101","Schaakstuk T J Hoekstra 33 1977")</f>
        <v>0</v>
      </c>
    </row>
    <row r="4901" spans="2:4">
      <c r="B4901">
        <v>96</v>
      </c>
      <c r="C4901" s="1">
        <f>hyperlink("https://hetutrechtsarchief.nl/collectie/DE25213205E959658B2B67B59C2FDA9E","Gereedgekomen restauraties A F E Kipp 28-29 ill 1977")</f>
        <v>0</v>
      </c>
      <c r="D4901" s="1">
        <f>hyperlink("http://dspace.library.uu.nl/handle/1874/286102","Gereedgekomen restauraties A F E Kipp 28-29 1977")</f>
        <v>0</v>
      </c>
    </row>
    <row r="4902" spans="2:4">
      <c r="B4902">
        <v>93</v>
      </c>
      <c r="C4902" s="1">
        <f>hyperlink("https://hetutrechtsarchief.nl/collectie/E2D91F7614EF520AB7DC97E9F5D5465E","Oudegracht 133 een huis in de bocht A F E Kipp 37-41 ill tek 1977")</f>
        <v>0</v>
      </c>
      <c r="D4902" s="1">
        <f>hyperlink("http://dspace.library.uu.nl/handle/1874/286103","Oudegracht 133 een huis in de bocht A F E Kipp 37-41 1977")</f>
        <v>0</v>
      </c>
    </row>
    <row r="4903" spans="2:4">
      <c r="B4903">
        <v>98</v>
      </c>
      <c r="C4903" s="1">
        <f>hyperlink("https://hetutrechtsarchief.nl/collectie/6114278B6BF75537836FF549D65185F9","Lange Jansstraat-Nobelstraat tijd voor een nieuw beleid Jean Penders 45-46 ill 1977")</f>
        <v>0</v>
      </c>
      <c r="D4903" s="1">
        <f>hyperlink("http://dspace.library.uu.nl/handle/1874/286104","Lange Jansstraat-Nobelstraat tijd voor een nieuw beleid Jean Penders 45-46 1977")</f>
        <v>0</v>
      </c>
    </row>
    <row r="4904" spans="2:4">
      <c r="B4904">
        <v>97</v>
      </c>
      <c r="C4904" s="1">
        <f>hyperlink("https://hetutrechtsarchief.nl/collectie/5A0F4346D5955000AB263570203108F0","Jan van Scorel en het Centraal Museum Jos Sterk 42-45 ill 1977")</f>
        <v>0</v>
      </c>
      <c r="D4904" s="1">
        <f>hyperlink("http://dspace.library.uu.nl/handle/1874/286105","Jan van Scorel en het Centraal Museum Jos Sterk 42-45 1977")</f>
        <v>0</v>
      </c>
    </row>
    <row r="4905" spans="2:4">
      <c r="B4905">
        <v>84</v>
      </c>
      <c r="C4905" s="1">
        <f>hyperlink("https://hetutrechtsarchief.nl/collectie/03099552B2505D90AB08E5540C3B13AB","De tuin van kasteel Sypesteyn - L v T 58-59 plgr 1977")</f>
        <v>0</v>
      </c>
      <c r="D4905" s="1">
        <f>hyperlink("http://dspace.library.uu.nl/handle/1874/286234","De tuin van kasteel Sypesteyn L van Tongerloo 58-59 1977")</f>
        <v>0</v>
      </c>
    </row>
    <row r="4906" spans="2:4">
      <c r="B4906">
        <v>89</v>
      </c>
      <c r="C4906" s="1">
        <f>hyperlink("https://hetutrechtsarchief.nl/collectie/DB875C5F937A5ACAAE239A226DA4936A","Monicakerk Th Haakma Wagenaar 56 tek plgr 1977")</f>
        <v>0</v>
      </c>
      <c r="D4906" s="1">
        <f>hyperlink("http://dspace.library.uu.nl/handle/1874/286235","Monicakerk Th Haakma Wagenaar 56 1977")</f>
        <v>0</v>
      </c>
    </row>
    <row r="4907" spans="2:4">
      <c r="B4907">
        <v>66</v>
      </c>
      <c r="C4907" s="1">
        <f>hyperlink("https://hetutrechtsarchief.nl/collectie/5CC00EB2A69E5DEF8274D8239302B5DB","Beschermd stadsgezicht steen voor steen-weg Jean Penders 114-115 ill tek 1976")</f>
        <v>0</v>
      </c>
      <c r="D4907" s="1">
        <f>hyperlink("http://dspace.library.uu.nl/handle/1874/286236","Beschermd stadsgezicht Keizerstraat een restauratieplan dat niet doorging Jean Penders 57-58 1977")</f>
        <v>0</v>
      </c>
    </row>
    <row r="4908" spans="2:4">
      <c r="B4908">
        <v>96</v>
      </c>
      <c r="C4908" s="1">
        <f>hyperlink("https://hetutrechtsarchief.nl/collectie/81E9BE4161D255EFA979ECD647849207","Het lot van de Monicakerk Manya Rosier 53-55 ill 1977")</f>
        <v>0</v>
      </c>
      <c r="D4908" s="1">
        <f>hyperlink("http://dspace.library.uu.nl/handle/1874/286237","Het lot van de Monicakerk Manya Rosier 53-55 1977")</f>
        <v>0</v>
      </c>
    </row>
    <row r="4909" spans="2:4">
      <c r="B4909">
        <v>96</v>
      </c>
      <c r="C4909" s="1">
        <f>hyperlink("https://hetutrechtsarchief.nl/collectie/EB157DC40E6152ED99FDE002EB64A8AF","Bericht over de Martinuskerk C Staal 52-53 ill 1977")</f>
        <v>0</v>
      </c>
      <c r="D4909" s="1">
        <f>hyperlink("http://dspace.library.uu.nl/handle/1874/286238","Bericht over de Martinuskerk C Staal 52-53 1977")</f>
        <v>0</v>
      </c>
    </row>
    <row r="4910" spans="2:4">
      <c r="B4910">
        <v>72</v>
      </c>
      <c r="C4910" s="1">
        <f>hyperlink("https://hetutrechtsarchief.nl/collectie/AAD03C653C385F9180D0C4512B5F044C","Petite histoire I en II 66 95 ill 1977")</f>
        <v>0</v>
      </c>
      <c r="D4910" s="1">
        <f>hyperlink("http://dspace.library.uu.nl/handle/1874/286576","Petite histoire 66 1077")</f>
        <v>0</v>
      </c>
    </row>
    <row r="4911" spans="2:4">
      <c r="B4911">
        <v>94</v>
      </c>
      <c r="C4911" s="1">
        <f>hyperlink("https://hetutrechtsarchief.nl/collectie/2049953E32145352B4A16AA70E4DD2BF","Romeinse grensversterkingen in Nederland A V M Hubrecht 86-89 ill plgr 1977")</f>
        <v>0</v>
      </c>
      <c r="D4911" s="1">
        <f>hyperlink("http://dspace.library.uu.nl/handle/1874/286577","Romeinse grensversterkingen in Nederland A V M Hubrecht 86-89 1977")</f>
        <v>0</v>
      </c>
    </row>
    <row r="4912" spans="2:4">
      <c r="B4912">
        <v>97</v>
      </c>
      <c r="C4912" s="1">
        <f>hyperlink("https://hetutrechtsarchief.nl/collectie/8CF8A6739E1C51B1A548ED7B6CD8C246","Endelhoven 2 jaar na het monumentenjaar A H R Hoogezand 85 ill 1977")</f>
        <v>0</v>
      </c>
      <c r="D4912" s="1">
        <f>hyperlink("http://dspace.library.uu.nl/handle/1874/286578","Endelhoven 2 jaar na het monumentenjaar A H R Hoogezand 85 1977")</f>
        <v>0</v>
      </c>
    </row>
    <row r="4913" spans="2:4">
      <c r="B4913">
        <v>97</v>
      </c>
      <c r="C4913" s="1">
        <f>hyperlink("https://hetutrechtsarchief.nl/collectie/8AD4505DB0205FC1AF911515254DBAC3","Een Utrechtse Hofstede aan de Kromme Nieuwegracht J Belonje 64-65 ill 1977")</f>
        <v>0</v>
      </c>
      <c r="D4913" s="1">
        <f>hyperlink("http://dspace.library.uu.nl/handle/1874/286579","Een Utrechtse Hofstede aan de Kromme Nieuwegracht J Belonje 64-65 1977")</f>
        <v>0</v>
      </c>
    </row>
    <row r="4914" spans="2:4">
      <c r="B4914">
        <v>96</v>
      </c>
      <c r="C4914" s="1">
        <f>hyperlink("https://hetutrechtsarchief.nl/collectie/7380EDF979465F5DA4693B5DD19C2767","De scholarchen of curatoren van de SInt Hieronymusschool later het Stedelijk Gymnasium van Utrecht 1587-1969 W W van Driel 73-77 ill portr 1977")</f>
        <v>0</v>
      </c>
      <c r="D4914" s="1">
        <f>hyperlink("http://dspace.library.uu.nl/handle/1874/286580","De Scholarchen of Curatoren van de Sint Hieronymusschool later het Stedelijk Gymnasium van Utrecht 1587-1969 W W van Driel 73-77 1977")</f>
        <v>0</v>
      </c>
    </row>
    <row r="4915" spans="2:4">
      <c r="B4915">
        <v>96</v>
      </c>
      <c r="C4915" s="1">
        <f>hyperlink("https://hetutrechtsarchief.nl/collectie/FD3FD30D45085AAEB30C711E2405730E","Kromme Nieuwegracht 70 A P J Hendriks 89-91 ill 1977")</f>
        <v>0</v>
      </c>
      <c r="D4915" s="1">
        <f>hyperlink("http://dspace.library.uu.nl/handle/1874/286581","Kromme Nieuwegracht 70 A P J Hendriks 89-91 1977")</f>
        <v>0</v>
      </c>
    </row>
    <row r="4916" spans="2:4">
      <c r="B4916">
        <v>56</v>
      </c>
      <c r="C4916" s="1">
        <f>hyperlink("https://hetutrechtsarchief.nl/collectie/8AAC2A1A863C5A2890177CF5C21BF7C9","Vredenburgse varia I - V T J Hoekstra 64 80-81 94 104 112 1977")</f>
        <v>0</v>
      </c>
      <c r="D4916" s="1">
        <f>hyperlink("http://dspace.library.uu.nl/handle/1874/286582","Vredenburgse varia T J Hoekstra 64 nr 7 p 80-81 nr 8 p 94 nr 9 p 104 nr 10 p 112 jg 51 1978 nr 2 p 21 nr 4 p 45-46 nr 5 p 52-53 1977-1978")</f>
        <v>0</v>
      </c>
    </row>
    <row r="4917" spans="2:4">
      <c r="B4917">
        <v>92</v>
      </c>
      <c r="C4917" s="1">
        <f>hyperlink("https://hetutrechtsarchief.nl/collectie/C1F7C706AD5A58DF8FA7A8BCA7A70F02","Het Utrechtse Jodenrijtje een middeleeuws Jodenhofje H W Versteeg en A Graafhuis 78-80 ill 1977")</f>
        <v>0</v>
      </c>
      <c r="D4917" s="1">
        <f>hyperlink("http://dspace.library.uu.nl/handle/1874/286583","Het Utrechtse Jodenrijtje een middeleeuws Jodenhofje A Versteegh H W Graafhuis 78-80 1977")</f>
        <v>0</v>
      </c>
    </row>
    <row r="4918" spans="2:4">
      <c r="B4918">
        <v>99</v>
      </c>
      <c r="C4918" s="1">
        <f>hyperlink("https://hetutrechtsarchief.nl/collectie/99A745E2F1F35F4C92EDB52ED7EB4989","Doodslag in de 17de eeuw P J K van Werkhoven 93 1977")</f>
        <v>0</v>
      </c>
      <c r="D4918" s="1">
        <f>hyperlink("http://dspace.library.uu.nl/handle/1874/286584","Doodslag in de 17de eeuw P J K van Werkhooven 93 1977")</f>
        <v>0</v>
      </c>
    </row>
    <row r="4919" spans="2:4">
      <c r="B4919">
        <v>95</v>
      </c>
      <c r="C4919" s="1">
        <f>hyperlink("https://hetutrechtsarchief.nl/collectie/8350037596CF5275983C430D3C0A034A","Bedelaars en vagebonden uit Wijk geweerd II H W M J Kits Nieuwenkamp 71-77 1977")</f>
        <v>0</v>
      </c>
      <c r="D4919" s="1">
        <f>hyperlink("http://dspace.library.uu.nl/handle/1874/286585","Bedelaars en vagebonden uit Wijk geweerd H W M J Kits Nieuwenkamp 77-78 1977")</f>
        <v>0</v>
      </c>
    </row>
    <row r="4920" spans="2:4">
      <c r="B4920">
        <v>99</v>
      </c>
      <c r="C4920" s="1">
        <f>hyperlink("https://hetutrechtsarchief.nl/collectie/E3F85BA5FB655A3381D4B62C41BE7F77","Een en ander over armenzorg en de vroegere pot- of armmeesters van Wijk bij Duurstede I H W M J Kits Nieuwenkamp 63 1977")</f>
        <v>0</v>
      </c>
      <c r="D4920" s="1">
        <f>hyperlink("http://dspace.library.uu.nl/handle/1874/286586","Een en ander over armenzorg en de vroegere pot- of armmeesters van Wijk bij Duurstede H W M J Kits Nieuwenkamp 63 1977")</f>
        <v>0</v>
      </c>
    </row>
    <row r="4921" spans="2:4">
      <c r="B4921">
        <v>79</v>
      </c>
      <c r="C4921" s="1">
        <f>hyperlink("https://hetutrechtsarchief.nl/collectie/83A462278F5B5173B754C81C5DD63577","Archeologische kroniek van de provincie Utrecht over de jaren 1970-1971 samengesteld door W J van Tent 59-74 ill tek 1976")</f>
        <v>0</v>
      </c>
      <c r="D4921" s="1">
        <f>hyperlink("http://dspace.library.uu.nl/handle/1874/286627","Archeologische kroniek van de provincie Utrecht over de jaren 1972-1973 W J van Hoekstra T J Tent 134-153 1977")</f>
        <v>0</v>
      </c>
    </row>
    <row r="4922" spans="2:4">
      <c r="B4922">
        <v>100</v>
      </c>
      <c r="C4922" s="1">
        <f>hyperlink("https://hetutrechtsarchief.nl/collectie/8BDC15587BDA58F49756ECAA93950320","De dichter Vondel de schilder Ovens en Godart van Reede van Amerongen W van Beusekom 124-125 1977")</f>
        <v>0</v>
      </c>
      <c r="D4922" s="1">
        <f>hyperlink("http://dspace.library.uu.nl/handle/1874/286628","De dichter Vondel de schilder Ovens en Godart van Reede van Amerongen W van Beusekom 124-125 1977")</f>
        <v>0</v>
      </c>
    </row>
    <row r="4923" spans="2:4">
      <c r="B4923">
        <v>86</v>
      </c>
      <c r="C4923" s="1">
        <f>hyperlink("https://hetutrechtsarchief.nl/collectie/9969C30DD213517F9E0C60858DD7A3B7","De Commanderij der Johanniters te Montfoort E Gerards 94 109-112 ill 1977")</f>
        <v>0</v>
      </c>
      <c r="D4923" s="1">
        <f>hyperlink("http://dspace.library.uu.nl/handle/1874/286629","De Commanderij der Johannieters te Montfoort E M G Gerards 97-101 nr 10 p 109-112 1977")</f>
        <v>0</v>
      </c>
    </row>
    <row r="4924" spans="2:4">
      <c r="B4924">
        <v>96</v>
      </c>
      <c r="C4924" s="1">
        <f>hyperlink("https://hetutrechtsarchief.nl/collectie/FE7D91B74AF9534AA27247D097F2015A","Twee gedateerde dakpannen uit 1875 en 1884 F H Landzaat 103-104 ill 1977")</f>
        <v>0</v>
      </c>
      <c r="D4924" s="1">
        <f>hyperlink("http://dspace.library.uu.nl/handle/1874/286630","Twee gedateerde dakpannen uit 1875 en 1884 G H Landzaat 103-104 1977")</f>
        <v>0</v>
      </c>
    </row>
    <row r="4925" spans="2:4">
      <c r="B4925">
        <v>96</v>
      </c>
      <c r="C4925" s="1">
        <f>hyperlink("https://hetutrechtsarchief.nl/collectie/5B6EE0B76ED05E6D9657F96C0125257A","De kerk van Oud-Zuilen F Schoonheim 102 ill 1977")</f>
        <v>0</v>
      </c>
      <c r="D4925" s="1">
        <f>hyperlink("http://dspace.library.uu.nl/handle/1874/286631","De kerk van Oud-Zuilen F Schoonheim 102 1977")</f>
        <v>0</v>
      </c>
    </row>
    <row r="4926" spans="2:4">
      <c r="B4926">
        <v>100</v>
      </c>
      <c r="C4926" s="1">
        <f>hyperlink("https://hetutrechtsarchief.nl/collectie/70BDA73530E452B683C86EF02F3E8714","Het afscheids-concert van de Mozart s te Utrecht J Belonje 130-131 1977")</f>
        <v>0</v>
      </c>
      <c r="D4926" s="1">
        <f>hyperlink("http://dspace.library.uu.nl/handle/1874/286632","Het afscheids-concert van de Mozart s te Utrecht J Belonje 130-131 1977")</f>
        <v>0</v>
      </c>
    </row>
    <row r="4927" spans="2:4">
      <c r="B4927">
        <v>100</v>
      </c>
      <c r="C4927" s="1">
        <f>hyperlink("https://hetutrechtsarchief.nl/collectie/8B781BF35B22531BADB72041024FC475","De weduwe met de baard W H J Dekker 107 1977")</f>
        <v>0</v>
      </c>
      <c r="D4927" s="1">
        <f>hyperlink("http://dspace.library.uu.nl/handle/1874/286633","De weduwe met de baard W H J Dekker 107 1977")</f>
        <v>0</v>
      </c>
    </row>
    <row r="4928" spans="2:4">
      <c r="B4928">
        <v>97</v>
      </c>
      <c r="C4928" s="1">
        <f>hyperlink("https://hetutrechtsarchief.nl/collectie/B6CD44B83A4D5E4AAACA5805965C94C2","Klantenwerving per advertentie omstreeks 1800 P D t Hart 114-116 ill 1977")</f>
        <v>0</v>
      </c>
      <c r="D4928" s="1">
        <f>hyperlink("http://dspace.library.uu.nl/handle/1874/286634","Klantenwerving per advertentie omstreeks 1800 P D t Hart 114-116 1977")</f>
        <v>0</v>
      </c>
    </row>
    <row r="4929" spans="2:4">
      <c r="B4929">
        <v>97</v>
      </c>
      <c r="C4929" s="1">
        <f>hyperlink("https://hetutrechtsarchief.nl/collectie/9E7E208E2FA85F47A8EDA179F7395A37","Architect Van Ravesteyn in Utrecht Erik de Jong 126-128 ill 1977")</f>
        <v>0</v>
      </c>
      <c r="D4929" s="1">
        <f>hyperlink("http://dspace.library.uu.nl/handle/1874/286635","Architect Van Ravesteyn in Utrecht Erik de Jong 126-128 1977")</f>
        <v>0</v>
      </c>
    </row>
    <row r="4930" spans="2:4">
      <c r="B4930">
        <v>94</v>
      </c>
      <c r="C4930" s="1">
        <f>hyperlink("https://hetutrechtsarchief.nl/collectie/69A0F2F8FD8C5AA6B0DFFE7E8082C09B","De Utrechtse afdeling van de Koninklijke Nederlandse Natuurhistorische Vereniging bestaat 50 jaar T Kater 133-134 vervolg op p 154 1977")</f>
        <v>0</v>
      </c>
      <c r="D4930" s="1">
        <f>hyperlink("http://dspace.library.uu.nl/handle/1874/286636","De Utrechtse afdeling van de Koninklijke Nederlandse Natuurhistorische Vereniging bestaat 75 jaar T Kater 133-134 154 1977")</f>
        <v>0</v>
      </c>
    </row>
    <row r="4931" spans="2:4">
      <c r="B4931">
        <v>100</v>
      </c>
      <c r="C4931" s="1">
        <f>hyperlink("https://hetutrechtsarchief.nl/collectie/E8EB9D28905B54ED929232F8FB0ACB86","Nogmaals het Utrechtse Jodenrijtje J A L de Meyere 129-130 1977")</f>
        <v>0</v>
      </c>
      <c r="D4931" s="1">
        <f>hyperlink("http://dspace.library.uu.nl/handle/1874/286637","Nogmaals het Utrechtse Jodenrijtje J A L de Meyere 129-130 1977")</f>
        <v>0</v>
      </c>
    </row>
    <row r="4932" spans="2:4">
      <c r="B4932">
        <v>93</v>
      </c>
      <c r="C4932" s="1">
        <f>hyperlink("https://hetutrechtsarchief.nl/collectie/F2B7E9B86CC4520E8F4DB4C862AFEA05","Leidsche Veer toch nog een kans Jean Penders 113-114 ill plgr 1977")</f>
        <v>0</v>
      </c>
      <c r="D4932" s="1">
        <f>hyperlink("http://dspace.library.uu.nl/handle/1874/286638","Leidsche veer toch nog een kans Jean Penders 113-114 1977")</f>
        <v>0</v>
      </c>
    </row>
    <row r="4933" spans="2:4">
      <c r="B4933">
        <v>100</v>
      </c>
      <c r="C4933" s="1">
        <f>hyperlink("https://hetutrechtsarchief.nl/collectie/C0FCFEB0A64B5C5692D70375D2480EF0","Het eerste jaar van de Bell Telephone Compagnie te Utrecht W A G Perks 128-129 1977")</f>
        <v>0</v>
      </c>
      <c r="D4933" s="1">
        <f>hyperlink("http://dspace.library.uu.nl/handle/1874/286639","Het eerste jaar van de Bell Telephone Compagnie te Utrecht W A G Perks 128-129 1977")</f>
        <v>0</v>
      </c>
    </row>
    <row r="4934" spans="2:4">
      <c r="B4934">
        <v>93</v>
      </c>
      <c r="C4934" s="1">
        <f>hyperlink("https://hetutrechtsarchief.nl/collectie/B379481FFF0953B3940B7F3FF4902333","De restauratie van Oudegracht 279 W Thoomes 121-124 ill tek 1977")</f>
        <v>0</v>
      </c>
      <c r="D4934" s="1">
        <f>hyperlink("http://dspace.library.uu.nl/handle/1874/286640","De restauratie van Oudegracht 279 W Thoomes 121-124 1977")</f>
        <v>0</v>
      </c>
    </row>
    <row r="4935" spans="2:4">
      <c r="B4935">
        <v>95</v>
      </c>
      <c r="C4935" s="1">
        <f>hyperlink("https://hetutrechtsarchief.nl/collectie/BE9A1FCEB1445EC499B42D62AB8E58AB","Een duik in de archieven hoe Cathrijn een king i e kind kreeg J N van der Meulen 21 1978")</f>
        <v>0</v>
      </c>
      <c r="D4935" s="1">
        <f>hyperlink("http://dspace.library.uu.nl/handle/1874/286684","Een duik in de archieven Hoe Cathrijn een kind kreeg J N van der Meulen 21 1978")</f>
        <v>0</v>
      </c>
    </row>
    <row r="4936" spans="2:4">
      <c r="B4936">
        <v>96</v>
      </c>
      <c r="C4936" s="1">
        <f>hyperlink("https://hetutrechtsarchief.nl/collectie/3C51FAC946E457C8988663DFB5E7C01C","Doe meer met minder geweld Jean Penders 61-62 tek 1977")</f>
        <v>0</v>
      </c>
      <c r="D4936" s="1">
        <f>hyperlink("http://dspace.library.uu.nl/handle/1874/286685","Doe meer met minder geweld Jean Penders 61-62 1977")</f>
        <v>0</v>
      </c>
    </row>
    <row r="4937" spans="2:4">
      <c r="B4937">
        <v>98</v>
      </c>
      <c r="C4937" s="1">
        <f>hyperlink("https://hetutrechtsarchief.nl/collectie/38F36020EBE25EB880E707ECD0A66886","Mijn belevenissen in het Jaarbeursrestaurant in de twintiger jaren Ido Eyl 4-8 ill 1978")</f>
        <v>0</v>
      </c>
      <c r="D4937" s="1">
        <f>hyperlink("http://dspace.library.uu.nl/handle/1874/286686","Mijn belevenissen in het Jaarbeursrestaurant in de twintiger jaren Ido Eyl 4-8 1978")</f>
        <v>0</v>
      </c>
    </row>
    <row r="4938" spans="2:4">
      <c r="B4938">
        <v>97</v>
      </c>
      <c r="C4938" s="1">
        <f>hyperlink("https://hetutrechtsarchief.nl/collectie/9DD2D033BC9C51019C2829336F3302F5","Mijn bioscooptijd in het Utrechtse Rembrandt Theater Ido Eyl 13-17 ill 1978")</f>
        <v>0</v>
      </c>
      <c r="D4938" s="1">
        <f>hyperlink("http://dspace.library.uu.nl/handle/1874/286687","Mijn bioscooptijd in het Utrechtse Rembrandt Theater Ido Eyl 13-17 1978")</f>
        <v>0</v>
      </c>
    </row>
    <row r="4939" spans="2:4">
      <c r="B4939">
        <v>90</v>
      </c>
      <c r="C4939" s="1">
        <f>hyperlink("https://hetutrechtsarchief.nl/collectie/E9CDF4CC312858F790EC65B440CCE54A","Fundatie van Renswoude problemen met een testament 1 en 2 F W N Hugenholtz 25-29 37-41 ill 1978")</f>
        <v>0</v>
      </c>
      <c r="D4939" s="1">
        <f>hyperlink("http://dspace.library.uu.nl/handle/1874/286688","Fundatie van Renswoude problemen met een testament F W N Hugenholtz 25-29 nr 4 p 37-41 1978")</f>
        <v>0</v>
      </c>
    </row>
    <row r="4940" spans="2:4">
      <c r="B4940">
        <v>84</v>
      </c>
      <c r="C4940" s="1">
        <f>hyperlink("https://hetutrechtsarchief.nl/collectie/20B3AF9EB72E5BB7A7E3E93518787F0E","De sneltram G J R hner 2-3 ill 1978")</f>
        <v>0</v>
      </c>
      <c r="D4940" s="1">
        <f>hyperlink("http://dspace.library.uu.nl/handle/1874/286689","De sneltram G J R hner 2-3 nr 2 p 23 1978")</f>
        <v>0</v>
      </c>
    </row>
    <row r="4941" spans="2:4">
      <c r="B4941">
        <v>93</v>
      </c>
      <c r="C4941" s="1">
        <f>hyperlink("https://hetutrechtsarchief.nl/collectie/14C3FC47516659A996A0BAD9CA662E62","Het Historisch Kostuum Centrum Utrecht Loeff Berchmakerstraat 50 Utrecht C Staal 11-12 ill 1978")</f>
        <v>0</v>
      </c>
      <c r="D4941" s="1">
        <f>hyperlink("http://dspace.library.uu.nl/handle/1874/286690","Het Historisch Kostuum Centrum Loeff Berchmakerstraat 50 Utrecht C Staal 11-12 1978")</f>
        <v>0</v>
      </c>
    </row>
    <row r="4942" spans="2:4">
      <c r="B4942">
        <v>97</v>
      </c>
      <c r="C4942" s="1">
        <f>hyperlink("https://hetutrechtsarchief.nl/collectie/902C7167D65D54789CCBF2DBABD70697","Jacobus Pieter Jan en Paul van Liender en de stad Utrecht I J Soer 34-35 ill 1978")</f>
        <v>0</v>
      </c>
      <c r="D4942" s="1">
        <f>hyperlink("http://dspace.library.uu.nl/handle/1874/286691","Jacobus Pieter Jan en Paul van Liender en de stad Utrecht I J Soer 34-35 1978")</f>
        <v>0</v>
      </c>
    </row>
    <row r="4943" spans="2:4">
      <c r="B4943">
        <v>63</v>
      </c>
      <c r="C4943" s="1">
        <f>hyperlink("https://hetutrechtsarchief.nl/collectie/6F8B1B0745125FF485A93A3ACCDE722D","Restauraties in 1979 C A Baart de la Faille en W Kastelein 34-35 ill 1980")</f>
        <v>0</v>
      </c>
      <c r="D4943" s="1">
        <f>hyperlink("http://dspace.library.uu.nl/handle/1874/286692","Restauraties C A Verlaan A Baart de la Faille 22 jg 52 1979 nr 3 p 57 1978-1979")</f>
        <v>0</v>
      </c>
    </row>
    <row r="4944" spans="2:4">
      <c r="B4944">
        <v>100</v>
      </c>
      <c r="C4944" s="1">
        <f>hyperlink("https://hetutrechtsarchief.nl/collectie/259345E146125F19AA65C12DCCE24BA1","Had Wickenburg een leenkamer J Belonje 9-10 1978")</f>
        <v>0</v>
      </c>
      <c r="D4944" s="1">
        <f>hyperlink("http://dspace.library.uu.nl/handle/1874/286693","Had Wickenburg een leenkamer J Belonje 9-10 1978")</f>
        <v>0</v>
      </c>
    </row>
    <row r="4945" spans="2:4">
      <c r="B4945">
        <v>100</v>
      </c>
      <c r="C4945" s="1">
        <f>hyperlink("https://hetutrechtsarchief.nl/collectie/C19A15BFFCDD5C08AA6BE44F23F440D8","Bijen houden en bijenteelt te Wijk bij Duurstede P H Damst 35 1978")</f>
        <v>0</v>
      </c>
      <c r="D4945" s="1">
        <f>hyperlink("http://dspace.library.uu.nl/handle/1874/286694","Bijen houden en bijenteelt te Wijk bij Duurstede P H Damst 35 1978")</f>
        <v>0</v>
      </c>
    </row>
    <row r="4946" spans="2:4">
      <c r="B4946">
        <v>98</v>
      </c>
      <c r="C4946" s="1">
        <f>hyperlink("https://hetutrechtsarchief.nl/collectie/731AC1447AB85BF7937A4FEE808B36C8","Iets over het bijenhouden en bijenteelt te Wijk bij Duurstede H W M J Kits Nieuwenkamp 18-19 1978")</f>
        <v>0</v>
      </c>
      <c r="D4946" s="1">
        <f>hyperlink("http://dspace.library.uu.nl/handle/1874/286695","Iets over het bijenhouden en de bijenteelt te Wijk bij Duurstede H W M J Kits Nieuwenkamp 18-19 1978")</f>
        <v>0</v>
      </c>
    </row>
    <row r="4947" spans="2:4">
      <c r="B4947">
        <v>85</v>
      </c>
      <c r="C4947" s="1">
        <f>hyperlink("https://hetutrechtsarchief.nl/collectie/D5FDBC9F5A80516A9A29F4881537A8D7","Trawanten van het kasteel Vredenburg P G M Hofmans en A Graafhuis 98 1978")</f>
        <v>0</v>
      </c>
      <c r="D4947" s="1">
        <f>hyperlink("http://dspace.library.uu.nl/handle/1874/286762","Trawanten van het kasteel Vredenburg P G M Hofmans P van Hofmans P G M Graafhuis A Hees 1978")</f>
        <v>0</v>
      </c>
    </row>
    <row r="4948" spans="2:4">
      <c r="B4948">
        <v>84</v>
      </c>
      <c r="C4948" s="1">
        <f>hyperlink("https://hetutrechtsarchief.nl/collectie/9721BDDEBA295CEAA022BC2C3ADC875D","In memoriam W A M Harzing J W C van Campen 97 1978")</f>
        <v>0</v>
      </c>
      <c r="D4948" s="1">
        <f>hyperlink("http://dspace.library.uu.nl/handle/1874/286763","In memoriam W A M Harzing J W C van Temminck Groll C L Campen 97 1978")</f>
        <v>0</v>
      </c>
    </row>
    <row r="4949" spans="2:4">
      <c r="B4949">
        <v>94</v>
      </c>
      <c r="C4949" s="1">
        <f>hyperlink("https://hetutrechtsarchief.nl/collectie/61C23E7A40765288B101AAB0E12A502F","Verdwenen stadsbeelden 119 ill 1978")</f>
        <v>0</v>
      </c>
      <c r="D4949" s="1">
        <f>hyperlink("http://dspace.library.uu.nl/handle/1874/286764","Verdwenen stadsbeelden 119 1978")</f>
        <v>0</v>
      </c>
    </row>
    <row r="4950" spans="2:4">
      <c r="B4950">
        <v>79</v>
      </c>
      <c r="C4950" s="1">
        <f>hyperlink("https://hetutrechtsarchief.nl/collectie/D86AA7377F75535BBC129018E8FE6636","Amelisweerd 48 1978")</f>
        <v>0</v>
      </c>
      <c r="D4950" s="1">
        <f>hyperlink("http://dspace.library.uu.nl/handle/1874/286765","Amelisweerd D P Snoep 48 1978")</f>
        <v>0</v>
      </c>
    </row>
    <row r="4951" spans="2:4">
      <c r="B4951">
        <v>92</v>
      </c>
      <c r="C4951" s="1">
        <f>hyperlink("https://hetutrechtsarchief.nl/collectie/6D1EA116F20C557AA41578D7C2828AE0","De Maarnse Vinkenbuurt - C S 65-66 1978")</f>
        <v>0</v>
      </c>
      <c r="D4951" s="1">
        <f>hyperlink("http://dspace.library.uu.nl/handle/1874/286766","De Maarnse Vinkenbuurt C Staal 65-66 1978")</f>
        <v>0</v>
      </c>
    </row>
    <row r="4952" spans="2:4">
      <c r="B4952">
        <v>99</v>
      </c>
      <c r="C4952" s="1">
        <f>hyperlink("https://hetutrechtsarchief.nl/collectie/3BB2DC7A12A258059F3C47522AC31000","Jutfaas in de Gouden Eeuw P J K van Werkhoven 124-125 1978")</f>
        <v>0</v>
      </c>
      <c r="D4952" s="1">
        <f>hyperlink("http://dspace.library.uu.nl/handle/1874/286767","Jutfaas in de gouden eeuw P J K van Werkhooven 124-125 1978")</f>
        <v>0</v>
      </c>
    </row>
    <row r="4953" spans="2:4">
      <c r="B4953">
        <v>100</v>
      </c>
      <c r="C4953" s="1">
        <f>hyperlink("https://hetutrechtsarchief.nl/collectie/1DBCB61A593F546C961D56310FC9ABBB","Herinneringen aan het 1e Regiment Veldartillerie J van Binsbergen 87-88 1978")</f>
        <v>0</v>
      </c>
      <c r="D4953" s="1">
        <f>hyperlink("http://dspace.library.uu.nl/handle/1874/286768","Herinneringen aan het 1e regiment Veldartillerie J van Binsbergen 87-88 1978")</f>
        <v>0</v>
      </c>
    </row>
    <row r="4954" spans="2:4">
      <c r="B4954">
        <v>97</v>
      </c>
      <c r="C4954" s="1">
        <f>hyperlink("https://hetutrechtsarchief.nl/collectie/9BFF6374345950158C1B60DF005ED040","Het kraken van Japanse noten een beschouwing rond Ginkgo biloba Jaap Brinkman 66-69 tek 1978")</f>
        <v>0</v>
      </c>
      <c r="D4954" s="1">
        <f>hyperlink("http://dspace.library.uu.nl/handle/1874/286769","Het kraken van Japanse noten een beschouwing rond Ginko biloba Jaap Brinkman 66-69 1978")</f>
        <v>0</v>
      </c>
    </row>
    <row r="4955" spans="2:4">
      <c r="B4955">
        <v>97</v>
      </c>
      <c r="C4955" s="1">
        <f>hyperlink("https://hetutrechtsarchief.nl/collectie/FBE2D2EF974950A3BB114F9FABC22C66","Naar wie was de Mengelberglaan genoemd J W C van Campen 105 ill 1978")</f>
        <v>0</v>
      </c>
      <c r="D4955" s="1">
        <f>hyperlink("http://dspace.library.uu.nl/handle/1874/286770","Naar wie was de Mengelberglaan genoemd J W C van Campen 105 1978")</f>
        <v>0</v>
      </c>
    </row>
    <row r="4956" spans="2:4">
      <c r="B4956">
        <v>88</v>
      </c>
      <c r="C4956" s="1">
        <f>hyperlink("https://hetutrechtsarchief.nl/collectie/7899D13C15655D5480D3140BE458994D","Wat betekent Akaboa P H Damst 83 1978")</f>
        <v>0</v>
      </c>
      <c r="D4956" s="1">
        <f>hyperlink("http://dspace.library.uu.nl/handle/1874/286771","Wat betekent Akaboa P H Damst 83 nr 9 p 98 1978")</f>
        <v>0</v>
      </c>
    </row>
    <row r="4957" spans="2:4">
      <c r="B4957">
        <v>93</v>
      </c>
      <c r="C4957" s="1">
        <f>hyperlink("https://hetutrechtsarchief.nl/collectie/56450C81F0AE56B9B34483022FCAD57B","Sinterklaas rond 1920 Hein Endlich sr 109-110 ill 1978")</f>
        <v>0</v>
      </c>
      <c r="D4957" s="1">
        <f>hyperlink("http://dspace.library.uu.nl/handle/1874/286772","Sinterklaas rond 1920 Hein Endlich 109-110 1978")</f>
        <v>0</v>
      </c>
    </row>
    <row r="4958" spans="2:4">
      <c r="B4958">
        <v>100</v>
      </c>
      <c r="C4958" s="1">
        <f>hyperlink("https://hetutrechtsarchief.nl/collectie/8BCA9C2AE54D50E78B5BFF3F6442243A","Het schriftmuseum J A Dortmond C M Faas 113-115 1978")</f>
        <v>0</v>
      </c>
      <c r="D4958" s="1">
        <f>hyperlink("http://dspace.library.uu.nl/handle/1874/286773","Het Schriftmuseum J A Dortmond C M Faas 113-115 1978")</f>
        <v>0</v>
      </c>
    </row>
    <row r="4959" spans="2:4">
      <c r="B4959">
        <v>100</v>
      </c>
      <c r="C4959" s="1">
        <f>hyperlink("https://hetutrechtsarchief.nl/collectie/B072309A247057BDB7E2CB5311046CCD","Een oproer in Utrecht P D t Hart 115-116 1978")</f>
        <v>0</v>
      </c>
      <c r="D4959" s="1">
        <f>hyperlink("http://dspace.library.uu.nl/handle/1874/286774","Een oproer in Utrecht P D t Hart 115-116 1978")</f>
        <v>0</v>
      </c>
    </row>
    <row r="4960" spans="2:4">
      <c r="B4960">
        <v>71</v>
      </c>
      <c r="C4960" s="1">
        <f>hyperlink("https://hetutrechtsarchief.nl/collectie/B26E3F8364EA5B289D8FC14EC2FB42AB","De Utrechtsche Courant en de volksgezondheid omstreeks 1800 1 - 3 P D t Hart 69-71 ill 81-82 125-126 1978")</f>
        <v>0</v>
      </c>
      <c r="D4960" s="1">
        <f>hyperlink("http://dspace.library.uu.nl/handle/1874/286775","De Utrechtsche Courant en de volksgezondheid omstreeks 1800 P D t Hart 69-71 nr 7 p 81-82 nr 12 p 125-126 jg 52 1979 nr 6 p 106-107 nr 11 p 145 bis -148 bis 1978-1979")</f>
        <v>0</v>
      </c>
    </row>
    <row r="4961" spans="2:4">
      <c r="B4961">
        <v>93</v>
      </c>
      <c r="C4961" s="1">
        <f>hyperlink("https://hetutrechtsarchief.nl/collectie/E9F960CC842B52269B4C7BFCC07BBBD0","Th Haakma en de Utrechtse kerken T van Hoogevest 58-59 1978")</f>
        <v>0</v>
      </c>
      <c r="D4961" s="1">
        <f>hyperlink("http://dspace.library.uu.nl/handle/1874/286776","Th Haakma Wagenaar en de Utrechtse kerken T van Hoogevest 58-59 1978")</f>
        <v>0</v>
      </c>
    </row>
    <row r="4962" spans="2:4">
      <c r="B4962">
        <v>97</v>
      </c>
      <c r="C4962" s="1">
        <f>hyperlink("https://hetutrechtsarchief.nl/collectie/65E83EF7CE705A0885F021D734489004","Historische schets van de Leeuwenberghgemeente c 1890-1960 H J Ph G Kaajan 49-53 ill 1978")</f>
        <v>0</v>
      </c>
      <c r="D4962" s="1">
        <f>hyperlink("http://dspace.library.uu.nl/handle/1874/286777","Historische schets van de Leeuwenberghgemeente c 1890-1960 H J Ph G Kaajan 49-52 1978")</f>
        <v>0</v>
      </c>
    </row>
    <row r="4963" spans="2:4">
      <c r="B4963">
        <v>98</v>
      </c>
      <c r="C4963" s="1">
        <f>hyperlink("https://hetutrechtsarchief.nl/collectie/AD97D81F512A59FCB79BB3E2FBBEEFB4","Een streep door de jaar rekening ofwel de brand van het pestgasthuis Leeuwenbergh H J Ph G Kaajan 89-92 ill 1978")</f>
        <v>0</v>
      </c>
      <c r="D4963" s="1">
        <f>hyperlink("http://dspace.library.uu.nl/handle/1874/286778","Een streep door de jaar rekening ofwel De brand van het pestgasthuis Leeuwenbergh H J Ph G Kaajan 89-92 1978")</f>
        <v>0</v>
      </c>
    </row>
    <row r="4964" spans="2:4">
      <c r="B4964">
        <v>97</v>
      </c>
      <c r="C4964" s="1">
        <f>hyperlink("https://hetutrechtsarchief.nl/collectie/45119D80D023527897BFD835B92742A1","De Utrechtse klokken en Th Haakma Wagenaar A F E Kipp 59-60 ill 1978")</f>
        <v>0</v>
      </c>
      <c r="D4964" s="1">
        <f>hyperlink("http://dspace.library.uu.nl/handle/1874/286779","De Utrechtse klokken en Th Haakma Wagenaar A F E Kipp 59-60 1978")</f>
        <v>0</v>
      </c>
    </row>
    <row r="4965" spans="2:4">
      <c r="B4965">
        <v>100</v>
      </c>
      <c r="C4965" s="1">
        <f>hyperlink("https://hetutrechtsarchief.nl/collectie/42F83FADCE41508997CB918BF9163BB1","De drie van Lienders Utrechtse tekenaars uit de 18e eeuw Paul Knolle 93-96 1978")</f>
        <v>0</v>
      </c>
      <c r="D4965" s="1">
        <f>hyperlink("http://dspace.library.uu.nl/handle/1874/286780","De drie van Lienders Utrechtse tekenaars uit de 18e eeuw Paul Knolle 93-96 1978")</f>
        <v>0</v>
      </c>
    </row>
    <row r="4966" spans="2:4">
      <c r="B4966">
        <v>93</v>
      </c>
      <c r="C4966" s="1">
        <f>hyperlink("https://hetutrechtsarchief.nl/collectie/7952CF2A5F205C6788147A820E456B9D","De gothiek en het wonder van Wagenaar R Meischke 57-58 tek plgr 1978")</f>
        <v>0</v>
      </c>
      <c r="D4966" s="1">
        <f>hyperlink("http://dspace.library.uu.nl/handle/1874/286781","De Gothiek en het wonder van Wagenaar R Meischke 57-58 1978")</f>
        <v>0</v>
      </c>
    </row>
    <row r="4967" spans="2:4">
      <c r="B4967">
        <v>97</v>
      </c>
      <c r="C4967" s="1">
        <f>hyperlink("https://hetutrechtsarchief.nl/collectie/D78FA699FBDE57CC9BA58FBA5DBB81C0","Anna Maria van Sch rman een begenadigde vrouw die de eenvoud verkoos R M Nepveu 61-64 portr 1978")</f>
        <v>0</v>
      </c>
      <c r="D4967" s="1">
        <f>hyperlink("http://dspace.library.uu.nl/handle/1874/286782","Anna Maria van Sch rman een begenadigde vrouw die de eenvoud verkoos R M Nepveu 61-64 1978")</f>
        <v>0</v>
      </c>
    </row>
    <row r="4968" spans="2:4">
      <c r="B4968">
        <v>100</v>
      </c>
      <c r="C4968" s="1">
        <f>hyperlink("https://hetutrechtsarchief.nl/collectie/D19BF48EA3DA582A84496A6C14D575B3","Beelden van Keizer Hendrik IV op de Mariaplaats te Utrecht W J C van Rossum 54 1978")</f>
        <v>0</v>
      </c>
      <c r="D4968" s="1">
        <f>hyperlink("http://dspace.library.uu.nl/handle/1874/286783","Beelden van Keizer Hendrik IV op de Mariaplaats te Utrecht W J C van Rossum 54 1978")</f>
        <v>0</v>
      </c>
    </row>
    <row r="4969" spans="2:4">
      <c r="B4969">
        <v>96</v>
      </c>
      <c r="C4969" s="1">
        <f>hyperlink("https://hetutrechtsarchief.nl/collectie/B87E519BDE24517E84A4C1BA9F36D1C4","Utrechtse pijpenmakers P K Smiesing 73-76 tek 1978")</f>
        <v>0</v>
      </c>
      <c r="D4969" s="1">
        <f>hyperlink("http://dspace.library.uu.nl/handle/1874/286784","Utrechtse pijpenmakers P K Smiesing 73-76 1978")</f>
        <v>0</v>
      </c>
    </row>
    <row r="4970" spans="2:4">
      <c r="B4970">
        <v>97</v>
      </c>
      <c r="C4970" s="1">
        <f>hyperlink("https://hetutrechtsarchief.nl/collectie/F24D84494C8C562A946B205CFCEF4229","Een nieuwe inrichting van de tuinzaal C Staal 64-65 ill 1978")</f>
        <v>0</v>
      </c>
      <c r="D4970" s="1">
        <f>hyperlink("http://dspace.library.uu.nl/handle/1874/286785","Een nieuwe inrichting van de tuinzaal C Staal 64-65 1978")</f>
        <v>0</v>
      </c>
    </row>
    <row r="4971" spans="2:4">
      <c r="B4971">
        <v>97</v>
      </c>
      <c r="C4971" s="1">
        <f>hyperlink("https://hetutrechtsarchief.nl/collectie/30EC55A575E8561EA2CCCED0E0B4B912","Het symposium over de Utrechtse binnenstadskerken C Staal 111-112 1978")</f>
        <v>0</v>
      </c>
      <c r="D4971" s="1">
        <f>hyperlink("http://dspace.library.uu.nl/handle/1874/286786","Het symposion over de Utrechtse binnenstadskerken C Staal 111-112 1978")</f>
        <v>0</v>
      </c>
    </row>
    <row r="4972" spans="2:4">
      <c r="B4972">
        <v>97</v>
      </c>
      <c r="C4972" s="1">
        <f>hyperlink("https://hetutrechtsarchief.nl/collectie/F4AB428E1ED753A48B51CA2782939747","Symposium over middeleeuwse kerken J van Staveren 127-128 1978")</f>
        <v>0</v>
      </c>
      <c r="D4972" s="1">
        <f>hyperlink("http://dspace.library.uu.nl/handle/1874/286787","Symposion over middeleeuwse kerken J van Staveren 127-128 1978")</f>
        <v>0</v>
      </c>
    </row>
    <row r="4973" spans="2:4">
      <c r="B4973">
        <v>96</v>
      </c>
      <c r="C4973" s="1">
        <f>hyperlink("https://hetutrechtsarchief.nl/collectie/929A71B1250E5810B794854BD5027F55","Th Haakma Wagenaar als oud-Utrechtenaar C L Temminck Groll 55-56 tek 1978")</f>
        <v>0</v>
      </c>
      <c r="D4973" s="1">
        <f>hyperlink("http://dspace.library.uu.nl/handle/1874/286788","Th Haakma Wagenaar als oud-Utrechtenaar C L Temminck Groll 55-57 1978")</f>
        <v>0</v>
      </c>
    </row>
    <row r="4974" spans="2:4">
      <c r="B4974">
        <v>94</v>
      </c>
      <c r="C4974" s="1">
        <f>hyperlink("https://hetutrechtsarchief.nl/collectie/B6A2A62262C95498B694E76F0A0E80A7","De ridderhofstad Den Engh te Vleuten E Muller 121-124 ill krt 1978")</f>
        <v>0</v>
      </c>
      <c r="D4974" s="1">
        <f>hyperlink("http://dspace.library.uu.nl/handle/1874/286789","De ridderhofstad Den Engh te Vleuten E Muller 121-124 1978")</f>
        <v>0</v>
      </c>
    </row>
    <row r="4975" spans="2:4">
      <c r="B4975">
        <v>100</v>
      </c>
      <c r="C4975" s="1">
        <f>hyperlink("https://hetutrechtsarchief.nl/collectie/EC7D927AAC3051CDB6157C5CD77F12E7","Achttienhoven bleef achter J Belonje 110-111 1978")</f>
        <v>0</v>
      </c>
      <c r="D4975" s="1">
        <f>hyperlink("http://dspace.library.uu.nl/handle/1874/286790","Achttienhoven bleef achter J Belonje 110-111 1978")</f>
        <v>0</v>
      </c>
    </row>
    <row r="4976" spans="2:4">
      <c r="B4976">
        <v>97</v>
      </c>
      <c r="C4976" s="1">
        <f>hyperlink("https://hetutrechtsarchief.nl/collectie/AA572770CC7A54B59F0346A4A34756DF","De erfenis van een Wijkse herbergier K W J van Rossum 101-104 ill 1978")</f>
        <v>0</v>
      </c>
      <c r="D4976" s="1">
        <f>hyperlink("http://dspace.library.uu.nl/handle/1874/286791","De erfenis van een Wijkse herbergier K W J van Rossum 101-104 1978")</f>
        <v>0</v>
      </c>
    </row>
    <row r="4977" spans="2:4">
      <c r="B4977">
        <v>72</v>
      </c>
      <c r="C4977" s="1">
        <f>hyperlink("https://hetutrechtsarchief.nl/collectie/36A50B93A58358628FCBC083A5E3EF9B","Archeologische kroniek van de gemeente Utrecht over 1974-1975 T J Hoekstra 3-36 ill plgr 1979")</f>
        <v>0</v>
      </c>
      <c r="D4977" s="1">
        <f>hyperlink("http://dspace.library.uu.nl/handle/1874/286794","Archeologische kroniek van de gemeente Utrecht over T J Hoekstra 3-36 jg 53 1980 nr 1 p 3-32 jg 54 1981 nr 3 p 27-81 1979-1981")</f>
        <v>0</v>
      </c>
    </row>
    <row r="4978" spans="2:4">
      <c r="B4978">
        <v>89</v>
      </c>
      <c r="C4978" s="1">
        <f>hyperlink("https://hetutrechtsarchief.nl/collectie/2A18C87682815534ABFB82F0E1F06D30","Wed 5-7 restauratie bijna voltooid A F E Kipp 37 ill 1979")</f>
        <v>0</v>
      </c>
      <c r="D4978" s="1">
        <f>hyperlink("http://dspace.library.uu.nl/handle/1874/286795","Wed 5-7 restauratie binnenkort voltooid A F E Kipp 37 1979")</f>
        <v>0</v>
      </c>
    </row>
    <row r="4979" spans="2:4">
      <c r="B4979">
        <v>97</v>
      </c>
      <c r="C4979" s="1">
        <f>hyperlink("https://hetutrechtsarchief.nl/collectie/3D28EE5D56C953628A71EB9CB3D8B9AA","Dr J E A L Struick gemeentearchivaris van Utrecht 25 jaar in gemeentedienst 1954-15 maart-1979 A Graafhuis 48-49 portr 1979")</f>
        <v>0</v>
      </c>
      <c r="D4979" s="1">
        <f>hyperlink("http://dspace.library.uu.nl/handle/1874/286796","Dr J E A L Struick gemeente-archivaris van Utrecht 25 jaar in gemeentedienst 1954-15 maart-1979 A Graafhuis 48-49 1979")</f>
        <v>0</v>
      </c>
    </row>
    <row r="4980" spans="2:4">
      <c r="B4980">
        <v>80</v>
      </c>
      <c r="C4980" s="1">
        <f>hyperlink("https://hetutrechtsarchief.nl/collectie/3FF60C34E84F5EFF8E9078DDE3A8AF9D","Leeuwenbergh A F E Kipp en W Kastelein 41-47 ill tek 1979")</f>
        <v>0</v>
      </c>
      <c r="D4980" s="1">
        <f>hyperlink("http://dspace.library.uu.nl/handle/1874/286797","Leeuwenbergh W Kipp A F E Kastelein 41-47 1979")</f>
        <v>0</v>
      </c>
    </row>
    <row r="4981" spans="2:4">
      <c r="B4981">
        <v>97</v>
      </c>
      <c r="C4981" s="1">
        <f>hyperlink("https://hetutrechtsarchief.nl/collectie/A496A93C2A1C5226B6A106BABCF1D74B","Waar eens het St Elisabethsgasthuis stond E Muller 49-51 ill 1979")</f>
        <v>0</v>
      </c>
      <c r="D4981" s="1">
        <f>hyperlink("http://dspace.library.uu.nl/handle/1874/286798","Waar eens het St Elisabethsgasthuis stond E Muller 49-51 1979")</f>
        <v>0</v>
      </c>
    </row>
    <row r="4982" spans="2:4">
      <c r="B4982">
        <v>75</v>
      </c>
      <c r="C4982" s="1">
        <f>hyperlink("https://hetutrechtsarchief.nl/collectie/412945D347525FA4B294E1B6566A4A53","Nogmaals Sinterklaas rond 1920 C Staal 155 tek 1979")</f>
        <v>0</v>
      </c>
      <c r="D4982" s="1">
        <f>hyperlink("http://dspace.library.uu.nl/handle/1874/286799","Sinterklaas rond 1920 C Staal 1-2 nr 12 p 155 1979")</f>
        <v>0</v>
      </c>
    </row>
    <row r="4983" spans="2:4">
      <c r="B4983">
        <v>100</v>
      </c>
      <c r="C4983" s="1">
        <f>hyperlink("https://hetutrechtsarchief.nl/collectie/82937AC264825E0AA195F19EA82BDB6B","Een duik in de archieven met de hoed in de hand J van der Meulen 134 1979")</f>
        <v>0</v>
      </c>
      <c r="D4983" s="1">
        <f>hyperlink("http://dspace.library.uu.nl/handle/1874/286861","Een duik in de archieven met de hoed in de hand J van der Meulen 134 1979")</f>
        <v>0</v>
      </c>
    </row>
    <row r="4984" spans="2:4">
      <c r="B4984">
        <v>96</v>
      </c>
      <c r="C4984" s="1">
        <f>hyperlink("https://hetutrechtsarchief.nl/collectie/80D4B6D32AB456B091C81649E3436592","In memoriam dr J van der Werf 11 oktober 1926-2 oktober 1979 A Graafhuis 143-144 portr 1979")</f>
        <v>0</v>
      </c>
      <c r="D4984" s="1">
        <f>hyperlink("http://dspace.library.uu.nl/handle/1874/286862","In memoriam dr J van der Werf 11 oktober 1926 - 2 oktober 1979 A Graafhuis 143-144 1979")</f>
        <v>0</v>
      </c>
    </row>
    <row r="4985" spans="2:4">
      <c r="B4985">
        <v>100</v>
      </c>
      <c r="C4985" s="1">
        <f>hyperlink("https://hetutrechtsarchief.nl/collectie/CFF636395855552DBCEEA58838F733A7","Grepen uit de archieven een geval van dieverij J van der Meulen 76 1979")</f>
        <v>0</v>
      </c>
      <c r="D4985" s="1">
        <f>hyperlink("http://dspace.library.uu.nl/handle/1874/286863","Grepen uit de archieven een geval van dieverij J van der Meulen 76 1979")</f>
        <v>0</v>
      </c>
    </row>
    <row r="4986" spans="2:4">
      <c r="B4986">
        <v>96</v>
      </c>
      <c r="C4986" s="1">
        <f>hyperlink("https://hetutrechtsarchief.nl/collectie/13C0E4E4503E55A3A1CFE34AF21742CF","Utrecht voorjaar 1747 J A C Mathijssen 72-73 krt 1979")</f>
        <v>0</v>
      </c>
      <c r="D4986" s="1">
        <f>hyperlink("http://dspace.library.uu.nl/handle/1874/286864","Utrecht voorjaar 1747 J A C Mathijssen 72-73 1979")</f>
        <v>0</v>
      </c>
    </row>
    <row r="4987" spans="2:4">
      <c r="B4987">
        <v>94</v>
      </c>
      <c r="C4987" s="1">
        <f>hyperlink("https://hetutrechtsarchief.nl/collectie/0E55527DC64D5D71809B4BBC2AAAE3BA","Moeilijkheden over het huis Zuylen in 1587 J Belonje 140-142 1979")</f>
        <v>0</v>
      </c>
      <c r="D4987" s="1">
        <f>hyperlink("http://dspace.library.uu.nl/handle/1874/286865","Moeilijkheden over het Huis Zuylen in 1587 J Belonje 140 bis -142 bis 1979")</f>
        <v>0</v>
      </c>
    </row>
    <row r="4988" spans="2:4">
      <c r="B4988">
        <v>80</v>
      </c>
      <c r="C4988" s="1">
        <f>hyperlink("https://hetutrechtsarchief.nl/collectie/57BB7B574ED95847AAEF2F4D8444D5FF","De puist in de Nobelstraat een spel met louter verliezers 53-55 ill 1979")</f>
        <v>0</v>
      </c>
      <c r="D4988" s="1">
        <f>hyperlink("http://dspace.library.uu.nl/handle/1874/286866","De puist in de Nobelstraat een spel met louter verliezers Redaktie Maandblad Oud-Utrecht 53-55 1979")</f>
        <v>0</v>
      </c>
    </row>
    <row r="4989" spans="2:4">
      <c r="B4989">
        <v>62</v>
      </c>
      <c r="C4989" s="1">
        <f>hyperlink("https://hetutrechtsarchief.nl/collectie/2EE612F7D7155597A9962C64971A8276","Utrechtse gevelstenen 1 Werkgroep Geveltekens 146 1979")</f>
        <v>0</v>
      </c>
      <c r="D4989" s="1">
        <f>hyperlink("http://dspace.library.uu.nl/handle/1874/286867","Utrechtse gevelstenen Werkgroep Geveltekens 146-148 nr 12 p 156-158 jg 54 1981 nr 5 p 106-108 nr 6 p 122 1979-1981")</f>
        <v>0</v>
      </c>
    </row>
    <row r="4990" spans="2:4">
      <c r="B4990">
        <v>96</v>
      </c>
      <c r="C4990" s="1">
        <f>hyperlink("https://hetutrechtsarchief.nl/collectie/9FC3E484E0E7530990837A007069D65A","Het verdwijnen van onze patronymica P H Damst 148 1979")</f>
        <v>0</v>
      </c>
      <c r="D4990" s="1">
        <f>hyperlink("http://dspace.library.uu.nl/handle/1874/286868","Het verdwijnen van onze patronymica P H Damst 148 bis 1979")</f>
        <v>0</v>
      </c>
    </row>
    <row r="4991" spans="2:4">
      <c r="B4991">
        <v>59</v>
      </c>
      <c r="C4991" s="1">
        <f>hyperlink("https://hetutrechtsarchief.nl/collectie/0692365E62155F93B623A4703CB4D53A","Het onderwijswereldje rond 1900 M Andringa-Dekker 152-154 portr 1979")</f>
        <v>0</v>
      </c>
      <c r="D4991" s="1">
        <f>hyperlink("http://dspace.library.uu.nl/handle/1874/286869","Het onderwijswereldje rond 1900 uit het leven van een Utrechtse onderwijzer A A de Andringa-Dekker M Baar 152-154 jg 53 1980 nr 2 p 45 1979-1980")</f>
        <v>0</v>
      </c>
    </row>
    <row r="4992" spans="2:4">
      <c r="B4992">
        <v>91</v>
      </c>
      <c r="C4992" s="1">
        <f>hyperlink("https://hetutrechtsarchief.nl/collectie/AF07A11C2FFE54D3BCD344276CE59712","De restauratie van de Breyerskameren H Blaauwendraad 137-139 ill tek 1979")</f>
        <v>0</v>
      </c>
      <c r="D4992" s="1">
        <f>hyperlink("http://dspace.library.uu.nl/handle/1874/286870","De restauratie van de Breyerskameren H Blaauwendraad 137 bis -139 bis 1979")</f>
        <v>0</v>
      </c>
    </row>
    <row r="4993" spans="2:4">
      <c r="B4993">
        <v>96</v>
      </c>
      <c r="C4993" s="1">
        <f>hyperlink("https://hetutrechtsarchief.nl/collectie/933047D3D221520B99E6A8AF47F8DB21","De klokken van de Klaas Chris Bos 90-91 ill 1979")</f>
        <v>0</v>
      </c>
      <c r="D4993" s="1">
        <f>hyperlink("http://dspace.library.uu.nl/handle/1874/286871","De klokken van de Klaas Chris Bos 90-91 1979")</f>
        <v>0</v>
      </c>
    </row>
    <row r="4994" spans="2:4">
      <c r="B4994">
        <v>84</v>
      </c>
      <c r="C4994" s="1">
        <f>hyperlink("https://hetutrechtsarchief.nl/collectie/2AD05C1F40D4528091D2E93BF6A0B59D","Tekst en uitleg over een visitekaartje M Burgers et al 131-133 1979")</f>
        <v>0</v>
      </c>
      <c r="D4994" s="1">
        <f>hyperlink("http://dspace.library.uu.nl/handle/1874/286872","Tekst en uitleg over een visitekaartje C Burgers M Dirkse P Dedoer H Staal 131-133 1979")</f>
        <v>0</v>
      </c>
    </row>
    <row r="4995" spans="2:4">
      <c r="B4995">
        <v>97</v>
      </c>
      <c r="C4995" s="1">
        <f>hyperlink("https://hetutrechtsarchief.nl/collectie/3D0166C52C535BE4A58FEDF4E5BDB248","Een schrijver in volle fleur Simon Carmiggelt 109-110 ill 1979")</f>
        <v>0</v>
      </c>
      <c r="D4995" s="1">
        <f>hyperlink("http://dspace.library.uu.nl/handle/1874/286873","Een schrijver in volle fleur Simon Carmiggelt 109-110 1979")</f>
        <v>0</v>
      </c>
    </row>
    <row r="4996" spans="2:4">
      <c r="B4996">
        <v>97</v>
      </c>
      <c r="C4996" s="1">
        <f>hyperlink("https://hetutrechtsarchief.nl/collectie/797FC436313A5CA382502A84AFBD75D3","Tivoli als zo logische soci teit J G van Cittert-Eymers 137-141 ill 1979")</f>
        <v>0</v>
      </c>
      <c r="D4996" s="1">
        <f>hyperlink("http://dspace.library.uu.nl/handle/1874/286874","Tivoli als Zo logische Soci teit J G van Cittert-Eymers 137-141 1979")</f>
        <v>0</v>
      </c>
    </row>
    <row r="4997" spans="2:4">
      <c r="B4997">
        <v>97</v>
      </c>
      <c r="C4997" s="1">
        <f>hyperlink("https://hetutrechtsarchief.nl/collectie/8316AA80D4505D47AB32B9C2A4C31E69","Pieter Bredie en Eduard van Akaboa P H Damst 125-128 ill 1979")</f>
        <v>0</v>
      </c>
      <c r="D4997" s="1">
        <f>hyperlink("http://dspace.library.uu.nl/handle/1874/286875","Pieter Bredie en Eduard van Akaboa P H Damst 125-128 1979")</f>
        <v>0</v>
      </c>
    </row>
    <row r="4998" spans="2:4">
      <c r="B4998">
        <v>61</v>
      </c>
      <c r="C4998" s="1">
        <f>hyperlink("https://hetutrechtsarchief.nl/collectie/95AC4CA4FAA258348F5B214DE3578E4C","Het groot-beijerwerk van de Utrechtse Domtoren 1 en 2 zijn de luidklokken van de Domtoren door Geert van Wou gegoten om erop te beieren Sj van Geuns 66-71 100-106 ill tek 1979")</f>
        <v>0</v>
      </c>
      <c r="D4998" s="1">
        <f>hyperlink("http://dspace.library.uu.nl/handle/1874/286876","Het groot-beijerwerk van de Utrechtse Domtoren Sjoerd van Geuns 66-71 nr 6 p 100-106 1979")</f>
        <v>0</v>
      </c>
    </row>
    <row r="4999" spans="2:4">
      <c r="B4999">
        <v>97</v>
      </c>
      <c r="C4999" s="1">
        <f>hyperlink("https://hetutrechtsarchief.nl/collectie/F7880253BDFF5C5F9BF89A7657112CC2","Was Filips Mor werkelijk schilder P M M Geurts 97-100 ill 1979")</f>
        <v>0</v>
      </c>
      <c r="D4999" s="1">
        <f>hyperlink("http://dspace.library.uu.nl/handle/1874/286877","Was Filips Mor werkelijk schilder P M M Geurts 97-100 1979")</f>
        <v>0</v>
      </c>
    </row>
    <row r="5000" spans="2:4">
      <c r="B5000">
        <v>89</v>
      </c>
      <c r="C5000" s="1">
        <f>hyperlink("https://hetutrechtsarchief.nl/collectie/48AA958C07A154989E5281EBCA3D5E3B","Mr J W C van Campen 80 jaar 1899 - 6 augustus - 1979 A Graafhuis en J E A L Struick 118-121 portr 1979")</f>
        <v>0</v>
      </c>
      <c r="D5000" s="1">
        <f>hyperlink("http://dspace.library.uu.nl/handle/1874/286878","Mr J W C van Campen 80 jaar 1899 - 6 Augustus - 1979 J E A L Graafhuis A Struick 118-121 1979")</f>
        <v>0</v>
      </c>
    </row>
    <row r="5001" spans="2:4">
      <c r="B5001">
        <v>98</v>
      </c>
      <c r="C5001" s="1">
        <f>hyperlink("https://hetutrechtsarchief.nl/collectie/220840FFA0B350559F7B48275D4E1F1E","Bij het afscheid van de architect C A Baart de la Faille Th Haakma Wagenaar 149-152 ill 1979")</f>
        <v>0</v>
      </c>
      <c r="D5001" s="1">
        <f>hyperlink("http://dspace.library.uu.nl/handle/1874/286879","Bij het afscheid van de architect C A Baart de la Faille Th Haakma Wagenaar 149-152 1979")</f>
        <v>0</v>
      </c>
    </row>
    <row r="5002" spans="2:4">
      <c r="B5002">
        <v>97</v>
      </c>
      <c r="C5002" s="1">
        <f>hyperlink("https://hetutrechtsarchief.nl/collectie/F244550565C45065A0103BE7FE88CA6B","De uurwerken van de Nicola kerk te Utrecht J J L Haspels 87-89 ill 1979")</f>
        <v>0</v>
      </c>
      <c r="D5002" s="1">
        <f>hyperlink("http://dspace.library.uu.nl/handle/1874/286880","De uurwerken van de Nicola kerk te Utrecht J J L Haspels 87-89 1979")</f>
        <v>0</v>
      </c>
    </row>
    <row r="5003" spans="2:4">
      <c r="B5003">
        <v>92</v>
      </c>
      <c r="C5003" s="1">
        <f>hyperlink("https://hetutrechtsarchief.nl/collectie/DE14DC29EB345671B2A14EF622419339","De Unie van Utrecht de herdenking in 1679 J van Herwaarden en J C Hollander 65-66 1979")</f>
        <v>0</v>
      </c>
      <c r="D5003" s="1">
        <f>hyperlink("http://dspace.library.uu.nl/handle/1874/286881","De Unie van Utrecht de herdenking in 1679 J C den Herwaarden J van Hollander 65-66 1979")</f>
        <v>0</v>
      </c>
    </row>
    <row r="5004" spans="2:4">
      <c r="B5004">
        <v>96</v>
      </c>
      <c r="C5004" s="1">
        <f>hyperlink("https://hetutrechtsarchief.nl/collectie/71E18E716FFF5332B4A23B956DF793A7","Van bisschopstad naar Uniestad A van Hulzen 77-80 ill 1979")</f>
        <v>0</v>
      </c>
      <c r="D5004" s="1">
        <f>hyperlink("http://dspace.library.uu.nl/handle/1874/286882","Van bisschopsstad naar Uniestad A van Hulzen 77-80 1979")</f>
        <v>0</v>
      </c>
    </row>
    <row r="5005" spans="2:4">
      <c r="B5005">
        <v>95</v>
      </c>
      <c r="C5005" s="1">
        <f>hyperlink("https://hetutrechtsarchief.nl/collectie/86FD308E02225AF2AD0C652FFD4CBA33","Musea in de stad Erik de Jong 112-115 ill 1979")</f>
        <v>0</v>
      </c>
      <c r="D5005" s="1">
        <f>hyperlink("http://dspace.library.uu.nl/handle/1874/286883","Musea in de stad Erik de Jong 112-115 1979")</f>
        <v>0</v>
      </c>
    </row>
    <row r="5006" spans="2:4">
      <c r="B5006">
        <v>96</v>
      </c>
      <c r="C5006" s="1">
        <f>hyperlink("https://hetutrechtsarchief.nl/collectie/7039EFBDCF58596E9C4064B2D25D0D22","Een schilderij centraal Erik de Jong 130-131 ill 1979")</f>
        <v>0</v>
      </c>
      <c r="D5006" s="1">
        <f>hyperlink("http://dspace.library.uu.nl/handle/1874/286884","Een schilderij centraal Erik de Jong 130-131 1979")</f>
        <v>0</v>
      </c>
    </row>
    <row r="5007" spans="2:4">
      <c r="B5007">
        <v>90</v>
      </c>
      <c r="C5007" s="1">
        <f>hyperlink("https://hetutrechtsarchief.nl/collectie/506BE618396A54AE865BF7DE33200114","Payenborg J A C Mathijssen 142-144 ill 1979")</f>
        <v>0</v>
      </c>
      <c r="D5007" s="1">
        <f>hyperlink("http://dspace.library.uu.nl/handle/1874/286885","Payenborg J A C Mathijssen 142 bis -144 bis 1979")</f>
        <v>0</v>
      </c>
    </row>
    <row r="5008" spans="2:4">
      <c r="B5008">
        <v>96</v>
      </c>
      <c r="C5008" s="1">
        <f>hyperlink("https://hetutrechtsarchief.nl/collectie/7A22EB790B8B576291BF74BFAB5A9A48","Crones muziekmozaiek Wouter Paap 110-112 ill 1979")</f>
        <v>0</v>
      </c>
      <c r="D5008" s="1">
        <f>hyperlink("http://dspace.library.uu.nl/handle/1874/286886","Crones muziekmozaiek Wouter Paap 110-112 1979")</f>
        <v>0</v>
      </c>
    </row>
    <row r="5009" spans="2:4">
      <c r="B5009">
        <v>97</v>
      </c>
      <c r="C5009" s="1">
        <f>hyperlink("https://hetutrechtsarchief.nl/collectie/AA312C2291F25592BFC7C1A08B0E74EF","Hoe restaureer je een huis als Leeuwenberg Oudegracht 307 Jean Penders 60-61 ill 1979")</f>
        <v>0</v>
      </c>
      <c r="D5009" s="1">
        <f>hyperlink("http://dspace.library.uu.nl/handle/1874/286887","Hoe restaureer je een huis als Leeuwenbergh Oudegracht 307 Jean Penders 60-61 1979")</f>
        <v>0</v>
      </c>
    </row>
    <row r="5010" spans="2:4">
      <c r="B5010">
        <v>98</v>
      </c>
      <c r="C5010" s="1">
        <f>hyperlink("https://hetutrechtsarchief.nl/collectie/9D021B7ECA7C52DBA03A59D5ECF9195F","De internationale archiefdagen en de tentoonstelling De stad ten baat J G Riphaagen 141-142 ill 1979")</f>
        <v>0</v>
      </c>
      <c r="D5010" s="1">
        <f>hyperlink("http://dspace.library.uu.nl/handle/1874/286888","De internationale archiefdagen en de tentoonstelling De stad ten baat J G Riphaagen 141-142 1979")</f>
        <v>0</v>
      </c>
    </row>
    <row r="5011" spans="2:4">
      <c r="B5011">
        <v>89</v>
      </c>
      <c r="C5011" s="1">
        <f>hyperlink("https://hetutrechtsarchief.nl/collectie/4F60AF87E34A5E469F680A22ED71D1D1","Over C C S Crone - A H M v S 109 1979")</f>
        <v>0</v>
      </c>
      <c r="D5011" s="1">
        <f>hyperlink("http://dspace.library.uu.nl/handle/1874/286889","Over C C S Crone A H M van Schaik 109 1979")</f>
        <v>0</v>
      </c>
    </row>
    <row r="5012" spans="2:4">
      <c r="B5012">
        <v>100</v>
      </c>
      <c r="C5012" s="1">
        <f>hyperlink("https://hetutrechtsarchief.nl/collectie/A3070FCF3E905FB7B3D68DCA562D84B7","Tekst en uitleg van het Catharijneconvent het visitekaartje van een nieuw Utrechts museum A H M van Schaik 116-118 1979")</f>
        <v>0</v>
      </c>
      <c r="D5012" s="1">
        <f>hyperlink("http://dspace.library.uu.nl/handle/1874/286890","Tekst en uitleg van het Catharijneconvent het visitekaartje van een nieuw Utrechts museum A H M van Schaik 116-118 1979")</f>
        <v>0</v>
      </c>
    </row>
    <row r="5013" spans="2:4">
      <c r="B5013">
        <v>98</v>
      </c>
      <c r="C5013" s="1">
        <f>hyperlink("https://hetutrechtsarchief.nl/collectie/E3924BD550615BB7982CFFA31CBDC8F0","Van monument tot manuscript de herdenking van de Unie van Utrecht te Amsterdam in 1879 F Schoonheim 107-108 ill 1979")</f>
        <v>0</v>
      </c>
      <c r="D5013" s="1">
        <f>hyperlink("http://dspace.library.uu.nl/handle/1874/286891","Van monument tot manuscript de herdenking van de Unie van Utrecht te Amsterdam in 1879 F Schoonheim 107-108 1979")</f>
        <v>0</v>
      </c>
    </row>
    <row r="5014" spans="2:4">
      <c r="B5014">
        <v>96</v>
      </c>
      <c r="C5014" s="1">
        <f>hyperlink("https://hetutrechtsarchief.nl/collectie/7B4E4CA6423652B299B41180C7242B4E","Het museum in de kerk H J de Smedt 84-85 ill 1979")</f>
        <v>0</v>
      </c>
      <c r="D5014" s="1">
        <f>hyperlink("http://dspace.library.uu.nl/handle/1874/286892","Het Museum in de kerk H J de Smedt 84-85 1979")</f>
        <v>0</v>
      </c>
    </row>
    <row r="5015" spans="2:4">
      <c r="B5015">
        <v>84</v>
      </c>
      <c r="C5015" s="1">
        <f>hyperlink("https://hetutrechtsarchief.nl/collectie/93B29556A49452FBA840607875B392A5","Een beknopte bouwgeschiedenis van de Utrechtse Nicolaaskerk Th Haakma Wagenaar 81-83 tek 1979")</f>
        <v>0</v>
      </c>
      <c r="D5015" s="1">
        <f>hyperlink("http://dspace.library.uu.nl/handle/1874/286893","Beknopte bouwgeschiedenis van de Utrechtse Nicolaaskerk C Staal 81-83 1979")</f>
        <v>0</v>
      </c>
    </row>
    <row r="5016" spans="2:4">
      <c r="B5016">
        <v>98</v>
      </c>
      <c r="C5016" s="1">
        <f>hyperlink("https://hetutrechtsarchief.nl/collectie/1A207931A40957F9993B5214738E9028","Een nieuw museum in Utrecht Rijksmuseum Het Catharijneconvent C H Staal 93-96 ill 1979")</f>
        <v>0</v>
      </c>
      <c r="D5016" s="1">
        <f>hyperlink("http://dspace.library.uu.nl/handle/1874/286894","Een nieuw museum in Utrecht Rijksmuseum het Catharijneconvent C H Staal 93-96 1979")</f>
        <v>0</v>
      </c>
    </row>
    <row r="5017" spans="2:4">
      <c r="B5017">
        <v>98</v>
      </c>
      <c r="C5017" s="1">
        <f>hyperlink("https://hetutrechtsarchief.nl/collectie/1DBCD21628C753F6967B873A16D70038","Een anti-chronologisch expos over de orgels van de Nicola kerk M A Vente 85-86 ill 1979")</f>
        <v>0</v>
      </c>
      <c r="D5017" s="1">
        <f>hyperlink("http://dspace.library.uu.nl/handle/1874/286895","Een anti-chronologisch expos over de orgels van de Nicola kerk M A Vente 85-86 1979")</f>
        <v>0</v>
      </c>
    </row>
    <row r="5018" spans="2:4">
      <c r="B5018">
        <v>97</v>
      </c>
      <c r="C5018" s="1">
        <f>hyperlink("https://hetutrechtsarchief.nl/collectie/2DB582EF0579567F994C088EE56A7AFC","Utrechts fortengordel en de Nieuwe Hollandse Waterlinie G Koppert 1-2 ill 1980")</f>
        <v>0</v>
      </c>
      <c r="D5018" s="1">
        <f>hyperlink("http://dspace.library.uu.nl/handle/1874/286896","Utrechts fortengordel en de Nieuwe Hollandse Waterlinie G Koppert 1-2 1980")</f>
        <v>0</v>
      </c>
    </row>
    <row r="5019" spans="2:4">
      <c r="B5019">
        <v>100</v>
      </c>
      <c r="C5019" s="1">
        <f>hyperlink("https://hetutrechtsarchief.nl/collectie/31C61DA1F44555DD8996AC87F903D68D","Deken en kapittel van St Jan traden op tegen wandaden aan de Vuursche J Belonje 59 1979")</f>
        <v>0</v>
      </c>
      <c r="D5019" s="1">
        <f>hyperlink("http://dspace.library.uu.nl/handle/1874/286897","Deken en kapittel van St Jan traden op tegen wandaden aan de Vuursche J Belonje 59 1979")</f>
        <v>0</v>
      </c>
    </row>
    <row r="5020" spans="2:4">
      <c r="B5020">
        <v>99</v>
      </c>
      <c r="C5020" s="1">
        <f>hyperlink("https://hetutrechtsarchief.nl/collectie/9DDCB84180DF5F18A299BABBADF9F87F","De opheffing van het S Maria Magdalena klooster te Wijk bij Duurstede J Belonje 129-130 9197")</f>
        <v>0</v>
      </c>
      <c r="D5020" s="1">
        <f>hyperlink("http://dspace.library.uu.nl/handle/1874/286898","De opheffing van het S Maria Magdalena klooster te Wijk bij Duurstede J Belonje 129-130 1979")</f>
        <v>0</v>
      </c>
    </row>
    <row r="5021" spans="2:4">
      <c r="B5021">
        <v>69</v>
      </c>
      <c r="C5021" s="1">
        <f>hyperlink("https://hetutrechtsarchief.nl/collectie/6F8B1B0745125FF485A93A3ACCDE722D","Restauraties in 1979 C A Baart de la Faille en W Kastelein 34-35 ill 1980")</f>
        <v>0</v>
      </c>
      <c r="D5021" s="1">
        <f>hyperlink("http://dspace.library.uu.nl/handle/1874/286917","Restauraties in I C M van Baart de la Faille C A Kastelein W Niekerk 34-35 jg 54 1981 nr 5 p 105-106 1980-1981")</f>
        <v>0</v>
      </c>
    </row>
    <row r="5022" spans="2:4">
      <c r="B5022">
        <v>92</v>
      </c>
      <c r="C5022" s="1">
        <f>hyperlink("https://hetutrechtsarchief.nl/collectie/7253D107182E55DD9506A74AA9118C1C","Enige aspecten betreffende de ekonomie van de stad Utrecht tijdens de zeventiende eeuw Niek Boukema 75-79 ill 1980")</f>
        <v>0</v>
      </c>
      <c r="D5022" s="1">
        <f>hyperlink("http://dspace.library.uu.nl/handle/1874/286955","Enige aspekten van de ekonomie van de stad Utrecht tijdens de zeventiende eeuw Niek Boukema 75-79 1980")</f>
        <v>0</v>
      </c>
    </row>
    <row r="5023" spans="2:4">
      <c r="B5023">
        <v>98</v>
      </c>
      <c r="C5023" s="1">
        <f>hyperlink("https://hetutrechtsarchief.nl/collectie/6BE4F4CF372756779EF2530F2FA55031","Monumentenrestauraties in de provincie Utrecht in de jaren 1975-1979 R Apell 81-87 ill 1980")</f>
        <v>0</v>
      </c>
      <c r="D5023" s="1">
        <f>hyperlink("http://dspace.library.uu.nl/handle/1874/286956","Monumentenrestauraties in de provincie Utrecht in de jaren 1975-1979 R Apell 81-87 1980")</f>
        <v>0</v>
      </c>
    </row>
    <row r="5024" spans="2:4">
      <c r="B5024">
        <v>94</v>
      </c>
      <c r="C5024" s="1">
        <f>hyperlink("https://hetutrechtsarchief.nl/collectie/A51FC3A6BB5650769BBE5A7881E177BA","Een middeleeuws huis te Montfoort C L Temminck Groll 57-60 ill tek 1980")</f>
        <v>0</v>
      </c>
      <c r="D5024" s="1">
        <f>hyperlink("http://dspace.library.uu.nl/handle/1874/286957","Een middeleeuws huis te Montfoort C L Temminck Groll 57-60 1980")</f>
        <v>0</v>
      </c>
    </row>
    <row r="5025" spans="2:4">
      <c r="B5025">
        <v>86</v>
      </c>
      <c r="C5025" s="1">
        <f>hyperlink("https://hetutrechtsarchief.nl/collectie/741C68FB2210531388DE69ECDD51F223","Ontwikkelingsstadia van het huis Oudaen D P Snoep 72-73 tek 1980")</f>
        <v>0</v>
      </c>
      <c r="D5025" s="1">
        <f>hyperlink("http://dspace.library.uu.nl/handle/1874/286958","Ontwikkelingsstadia van het Huis Oudaan 72-73 1980")</f>
        <v>0</v>
      </c>
    </row>
    <row r="5026" spans="2:4">
      <c r="B5026">
        <v>94</v>
      </c>
      <c r="C5026" s="1">
        <f>hyperlink("https://hetutrechtsarchief.nl/collectie/B4E3936CC1425332A6EB50A834ADA494","De Duitse Orde R Apell 63-64 ill 1980")</f>
        <v>0</v>
      </c>
      <c r="D5026" s="1">
        <f>hyperlink("http://dspace.library.uu.nl/handle/1874/286959","De Duitse Orde R Apell 63-64 1980")</f>
        <v>0</v>
      </c>
    </row>
    <row r="5027" spans="2:4">
      <c r="B5027">
        <v>100</v>
      </c>
      <c r="C5027" s="1">
        <f>hyperlink("https://hetutrechtsarchief.nl/collectie/458C6E99C3675B8BAD94BEFCCB482A1C","Adolf Graaf van Neuenar was in 1587 te Utrecht J Belonje 55-56 1980")</f>
        <v>0</v>
      </c>
      <c r="D5027" s="1">
        <f>hyperlink("http://dspace.library.uu.nl/handle/1874/286960","Adolf Graaf van Neuenar was in 1587 te Utrecht J Belonje 55-56 1980")</f>
        <v>0</v>
      </c>
    </row>
    <row r="5028" spans="2:4">
      <c r="B5028">
        <v>90</v>
      </c>
      <c r="C5028" s="1">
        <f>hyperlink("https://hetutrechtsarchief.nl/collectie/0F017D519DE9557782E140985FD2B42B","De St -Servatius-abdij en Utrechts stadsuitleg 1 en 2 M P van Buijtenen 40-43 50-54 ill 1980")</f>
        <v>0</v>
      </c>
      <c r="D5028" s="1">
        <f>hyperlink("http://dspace.library.uu.nl/handle/1874/286961","De St -Servatius-abdij en Utrechts stadsuitleg M P van Buijtenen 40-43 nr 3 p 50-54 1980")</f>
        <v>0</v>
      </c>
    </row>
    <row r="5029" spans="2:4">
      <c r="B5029">
        <v>100</v>
      </c>
      <c r="C5029" s="1">
        <f>hyperlink("https://hetutrechtsarchief.nl/collectie/73007FC91F6B5E0EBAA5D3464BF5CDA7","Grepen uit de archieven bezoekje aan de notaris J N van der Meulen 46 1980")</f>
        <v>0</v>
      </c>
      <c r="D5029" s="1">
        <f>hyperlink("http://dspace.library.uu.nl/handle/1874/286962","Grepen uit de archieven bezoekje aan de notaris J N van der Meulen 46 1980")</f>
        <v>0</v>
      </c>
    </row>
    <row r="5030" spans="2:4">
      <c r="B5030">
        <v>97</v>
      </c>
      <c r="C5030" s="1">
        <f>hyperlink("https://hetutrechtsarchief.nl/collectie/2485731CD5FC58439C953A0F712D748C","Een Utrechtse Kruisiging te Angers J A L de Meyere 60-63 ill 1980")</f>
        <v>0</v>
      </c>
      <c r="D5030" s="1">
        <f>hyperlink("http://dspace.library.uu.nl/handle/1874/286963","Een Utrechtse Kruisiging te Angers J A L de Meyere 60-63 1980")</f>
        <v>0</v>
      </c>
    </row>
    <row r="5031" spans="2:4">
      <c r="B5031">
        <v>98</v>
      </c>
      <c r="C5031" s="1">
        <f>hyperlink("https://hetutrechtsarchief.nl/collectie/BBE42B1F5BFD5752830A64E514A6CE75","Het voormalige Centraal Station te Utrecht en een niet uitgevoerd ontwerp van architect Van Ravesteijn J A L de Meyere 91-92 tek 1980")</f>
        <v>0</v>
      </c>
      <c r="D5031" s="1">
        <f>hyperlink("http://dspace.library.uu.nl/handle/1874/286964","Het voormalige Centraal Station te Utrecht en een niet uitgevoerd ontwerp van architect Van Ravesteijn J A L de Meyere 91-92 1980")</f>
        <v>0</v>
      </c>
    </row>
    <row r="5032" spans="2:4">
      <c r="B5032">
        <v>91</v>
      </c>
      <c r="C5032" s="1">
        <f>hyperlink("https://hetutrechtsarchief.nl/collectie/A11EE6CB3C32576B8F857F11618C9D50","Van vlammend protest naar normale verhoudingen A H M van Schaik 70-72 ill portr 1980")</f>
        <v>0</v>
      </c>
      <c r="D5032" s="1">
        <f>hyperlink("http://dspace.library.uu.nl/handle/1874/286965","Van vlammend protest naar normale verhoudingen A H M van Schaik 69-72 1980")</f>
        <v>0</v>
      </c>
    </row>
    <row r="5033" spans="2:4">
      <c r="B5033">
        <v>85</v>
      </c>
      <c r="C5033" s="1">
        <f>hyperlink("https://hetutrechtsarchief.nl/collectie/CBCC9948C0BB57A1A0A694B6D707440F","De Utrechtse pijpenindustrie in de Lauwerecht 1 en 2 P K Smiesing 88-90 ill tab tek 93-95 tek 1980")</f>
        <v>0</v>
      </c>
      <c r="D5033" s="1">
        <f>hyperlink("http://dspace.library.uu.nl/handle/1874/286966","De Utrechtse pijpenindustrie in de Lauwerecht P K Smiesing 88-90 nr 7 8 p 93-96 1980")</f>
        <v>0</v>
      </c>
    </row>
    <row r="5034" spans="2:4">
      <c r="B5034">
        <v>99</v>
      </c>
      <c r="C5034" s="1">
        <f>hyperlink("https://hetutrechtsarchief.nl/collectie/E1056CB84F9D5209B5C3EDD41D4B9085","Het verdwijnen van onze patronymica P J K van Werkhoven 33 1980")</f>
        <v>0</v>
      </c>
      <c r="D5034" s="1">
        <f>hyperlink("http://dspace.library.uu.nl/handle/1874/286967","Het verdwijnen van onze patronymica P J K van Werkhooven 33 1980")</f>
        <v>0</v>
      </c>
    </row>
    <row r="5035" spans="2:4">
      <c r="B5035">
        <v>96</v>
      </c>
      <c r="C5035" s="1">
        <f>hyperlink("https://hetutrechtsarchief.nl/collectie/B7CE9AD5E1055F2CAFB681EA096FB43F","Voorbereidingen voor een geschiedwerk over de provincie Utrecht - C S 99-100 1980")</f>
        <v>0</v>
      </c>
      <c r="D5035" s="1">
        <f>hyperlink("http://dspace.library.uu.nl/handle/1874/287077","Voorbereidingen voor een geschiedwerk over de provincie Utrecht C Staal 99-100 1980")</f>
        <v>0</v>
      </c>
    </row>
    <row r="5036" spans="2:4">
      <c r="B5036">
        <v>100</v>
      </c>
      <c r="C5036" s="1">
        <f>hyperlink("https://hetutrechtsarchief.nl/collectie/9979F55C64C25133B6D46CBE743A4AFA","Nieuwe nota over de monumentenzorg in Amersfoort P Luykx 100-101 1980")</f>
        <v>0</v>
      </c>
      <c r="D5036" s="1">
        <f>hyperlink("http://dspace.library.uu.nl/handle/1874/287078","Nieuwe nota over de monumentenzorg in Amersfoort P Luykx 100-101 1980")</f>
        <v>0</v>
      </c>
    </row>
    <row r="5037" spans="2:4">
      <c r="B5037">
        <v>95</v>
      </c>
      <c r="C5037" s="1">
        <f>hyperlink("https://hetutrechtsarchief.nl/collectie/40061249BF345DA4BE80AF27F484410A","Wij geven hem een luie baker 115-116 ill 1980")</f>
        <v>0</v>
      </c>
      <c r="D5037" s="1">
        <f>hyperlink("http://dspace.library.uu.nl/handle/1874/287079","Wij geven hem een luie baker 115-116 1980")</f>
        <v>0</v>
      </c>
    </row>
    <row r="5038" spans="2:4">
      <c r="B5038">
        <v>100</v>
      </c>
      <c r="C5038" s="1">
        <f>hyperlink("https://hetutrechtsarchief.nl/collectie/C6895ACA15535F3D810FF77FD0E41B39","Sanitaire toestanden te Utrecht in 1631 J Belonje 101-102 1980")</f>
        <v>0</v>
      </c>
      <c r="D5038" s="1">
        <f>hyperlink("http://dspace.library.uu.nl/handle/1874/287080","Sanitaire toestanden te Utrecht in 1631 J Belonje 101-102 1980")</f>
        <v>0</v>
      </c>
    </row>
    <row r="5039" spans="2:4">
      <c r="B5039">
        <v>97</v>
      </c>
      <c r="C5039" s="1">
        <f>hyperlink("https://hetutrechtsarchief.nl/collectie/B21FF4F373045A8FBC098A9D33FC4184","Voor honderd jaar een leerzaam vonnis uit 1880 P H Damst 109-112 ill 1980")</f>
        <v>0</v>
      </c>
      <c r="D5039" s="1">
        <f>hyperlink("http://dspace.library.uu.nl/handle/1874/287081","Voor honderd jaar een leerzaam vonnis uit 1880 P H Damst 109-112 1980")</f>
        <v>0</v>
      </c>
    </row>
    <row r="5040" spans="2:4">
      <c r="B5040">
        <v>97</v>
      </c>
      <c r="C5040" s="1">
        <f>hyperlink("https://hetutrechtsarchief.nl/collectie/98E82E20473557E59B564C5B0B22B668","Dirck van Toll - Rodulphus Tollius Alfred M M Dekker 103 1980")</f>
        <v>0</v>
      </c>
      <c r="D5040" s="1">
        <f>hyperlink("http://dspace.library.uu.nl/handle/1874/287082","Dirck van Toll - Rudolphus Tollius Alfred M M Dekker 103 1980")</f>
        <v>0</v>
      </c>
    </row>
    <row r="5041" spans="2:4">
      <c r="B5041">
        <v>99</v>
      </c>
      <c r="C5041" s="1">
        <f>hyperlink("https://hetutrechtsarchief.nl/collectie/D55D53B110215F05900C683ED47E4AE1","De lange hete zomer van 1580 het verbod van uitoefening van de katholieke godsdienst in de stad Utrecht A H M van Schaik 105-108 ill 1980")</f>
        <v>0</v>
      </c>
      <c r="D5041" s="1">
        <f>hyperlink("http://dspace.library.uu.nl/handle/1874/287083","De lange hete zomer van 1580 het verbod van uitoefening van de katholieke godsdienst in de stad Utrecht A H M van Schaik 105-108 1980")</f>
        <v>0</v>
      </c>
    </row>
    <row r="5042" spans="2:4">
      <c r="B5042">
        <v>96</v>
      </c>
      <c r="C5042" s="1">
        <f>hyperlink("https://hetutrechtsarchief.nl/collectie/C0D095B1A36A5290A6C89600193BC1E7","Wijnand Nuyen en de kloostergang van de Dom C Staal 113-115 ill 1980")</f>
        <v>0</v>
      </c>
      <c r="D5042" s="1">
        <f>hyperlink("http://dspace.library.uu.nl/handle/1874/287084","Wijnand Nuyen en de kloostergang van de Dom C H Staal 113-115 1980")</f>
        <v>0</v>
      </c>
    </row>
    <row r="5043" spans="2:4">
      <c r="B5043">
        <v>97</v>
      </c>
      <c r="C5043" s="1">
        <f>hyperlink("https://hetutrechtsarchief.nl/collectie/A253107F506858D3A8CFEE3A351531CF","Een Utrechtse hagepreek in het Catharijneconvent R P Zijp 96-99 ill 1980")</f>
        <v>0</v>
      </c>
      <c r="D5043" s="1">
        <f>hyperlink("http://dspace.library.uu.nl/handle/1874/287085","Een Utrechtse hagepreek in het Catharijneconvent R P Zijp 96-99 1980")</f>
        <v>0</v>
      </c>
    </row>
    <row r="5044" spans="2:4">
      <c r="B5044">
        <v>98</v>
      </c>
      <c r="C5044" s="1">
        <f>hyperlink("https://hetutrechtsarchief.nl/collectie/DEA601764C8559588BCB5D3FA5B70F3D","Dirck of Rudolf van Toll wil de echte medicus opstaan J W C van Campen 131-132 1980")</f>
        <v>0</v>
      </c>
      <c r="D5044" s="1">
        <f>hyperlink("http://dspace.library.uu.nl/handle/1874/287115","Dirck of Rudolf van Toll Wil de echte medicus nu opstaan J W C van Campen 131-132 1980")</f>
        <v>0</v>
      </c>
    </row>
    <row r="5045" spans="2:4">
      <c r="B5045">
        <v>64</v>
      </c>
      <c r="C5045" s="1">
        <f>hyperlink("https://hetutrechtsarchief.nl/collectie/338BD047B3BA5017A99BCFDC2CC4E90B","Een niet-uitgegeven manifest voor de Tweede Kamer verkiezingen in 1937 P van Hees 117-122 ill portr 1980")</f>
        <v>0</v>
      </c>
      <c r="D5045" s="1">
        <f>hyperlink("http://dspace.library.uu.nl/handle/1874/287116","Een niet-uitgegeven manifest voor de Tweede Kamer verkiezingen in 1937 enige notities over een politieke discussiegroep van Utrechtse hoogleraren in de jaren 1936-1938 P van Hees 117-122 1980")</f>
        <v>0</v>
      </c>
    </row>
    <row r="5046" spans="2:4">
      <c r="B5046">
        <v>94</v>
      </c>
      <c r="C5046" s="1">
        <f>hyperlink("https://hetutrechtsarchief.nl/collectie/809AC83DA57058E88677405DD264CCAF","Er is goed logement te voet en te paerd D Pezarro 129-131 ill 1980")</f>
        <v>0</v>
      </c>
      <c r="D5046" s="1">
        <f>hyperlink("http://dspace.library.uu.nl/handle/1874/287117","Er is een goed logement te voet en te paerd D Pezarro 129-131 1980")</f>
        <v>0</v>
      </c>
    </row>
    <row r="5047" spans="2:4">
      <c r="B5047">
        <v>98</v>
      </c>
      <c r="C5047" s="1">
        <f>hyperlink("https://hetutrechtsarchief.nl/collectie/26DFD3EA97A554B08253B027C2E80178","Korte geschiedenis van een huis dat even monument was C L Temminck Groll 91 ill 1981")</f>
        <v>0</v>
      </c>
      <c r="D5047" s="1">
        <f>hyperlink("http://dspace.library.uu.nl/handle/1874/287152","Korte geschiedenis van een huis dat even monument was C L Temminck Groll 91 1981")</f>
        <v>0</v>
      </c>
    </row>
    <row r="5048" spans="2:4">
      <c r="B5048">
        <v>96</v>
      </c>
      <c r="C5048" s="1">
        <f>hyperlink("https://hetutrechtsarchief.nl/collectie/17925B5D163E5E7DB8FBF8A8DC899A3A","De Oosterkerk aan de Maliebaan P A Haars 149 ill 1980")</f>
        <v>0</v>
      </c>
      <c r="D5048" s="1">
        <f>hyperlink("http://dspace.library.uu.nl/handle/1874/287153","De Oosterkerk aan de Maliebaan P A Haars 149 1980")</f>
        <v>0</v>
      </c>
    </row>
    <row r="5049" spans="2:4">
      <c r="B5049">
        <v>95</v>
      </c>
      <c r="C5049" s="1">
        <f>hyperlink("https://hetutrechtsarchief.nl/collectie/3DDDBB0E01715526A1C59B7B2598402A","Beelden van en opgraving T J Hoekstra 133 ill 1980")</f>
        <v>0</v>
      </c>
      <c r="D5049" s="1">
        <f>hyperlink("http://dspace.library.uu.nl/handle/1874/287154","Beelden van een opgraving T J Hoekstra 133 1980")</f>
        <v>0</v>
      </c>
    </row>
    <row r="5050" spans="2:4">
      <c r="B5050">
        <v>85</v>
      </c>
      <c r="C5050" s="1">
        <f>hyperlink("https://hetutrechtsarchief.nl/collectie/F2EAB544253E5A52887430C96FA7D9EE","De restauratie van Springweg 59 en Zilverstraat 2 en 4 Rob van den Hout en Bart Kl ck 141-146 ill tek 1980")</f>
        <v>0</v>
      </c>
      <c r="D5050" s="1">
        <f>hyperlink("http://dspace.library.uu.nl/handle/1874/287155","De restauratie van Springweg 59 en Zilverstraat 2 en 4 Bart Hout Rob van den Kl ck 141-146 1980")</f>
        <v>0</v>
      </c>
    </row>
    <row r="5051" spans="2:4">
      <c r="B5051">
        <v>96</v>
      </c>
      <c r="C5051" s="1">
        <f>hyperlink("https://hetutrechtsarchief.nl/collectie/340D2598DCA2554FA4E730083592040A","Gerard Melder in Noorwegen Juliette Roding 146-148 ill 1980")</f>
        <v>0</v>
      </c>
      <c r="D5051" s="1">
        <f>hyperlink("http://dspace.library.uu.nl/handle/1874/287156","Gerard Melder in Noorwegen Juliette Roding 146-148 1980")</f>
        <v>0</v>
      </c>
    </row>
    <row r="5052" spans="2:4">
      <c r="B5052">
        <v>100</v>
      </c>
      <c r="C5052" s="1">
        <f>hyperlink("https://hetutrechtsarchief.nl/collectie/DDAEA8D693495F02971D45DE98589313","Op de Utrechtse walletjes in 1830 D P Snoep 134-137 1980")</f>
        <v>0</v>
      </c>
      <c r="D5052" s="1">
        <f>hyperlink("http://dspace.library.uu.nl/handle/1874/287157","Op de Utrechtse walletjes in 1830 D P Snoep 134-137 1980")</f>
        <v>0</v>
      </c>
    </row>
    <row r="5053" spans="2:4">
      <c r="B5053">
        <v>96</v>
      </c>
      <c r="C5053" s="1">
        <f>hyperlink("https://hetutrechtsarchief.nl/collectie/3E2AB2B759B755B0968CE7925FD5AC45","Zijdebalen exponent van 18de eeuwse tuin- en tekenkunst Lucia Albers 115-121 ill 1981")</f>
        <v>0</v>
      </c>
      <c r="D5053" s="1">
        <f>hyperlink("http://dspace.library.uu.nl/handle/1874/287158","Zijdebalen exponent van 18de eeuwse tuin- en tekenkunst Lucia H Albers 115-121 1981")</f>
        <v>0</v>
      </c>
    </row>
    <row r="5054" spans="2:4">
      <c r="B5054">
        <v>96</v>
      </c>
      <c r="C5054" s="1">
        <f>hyperlink("https://hetutrechtsarchief.nl/collectie/7C097DEB982A5554AB6832E27473DBEA","Bouvy de voltooier van A B M naar Catharijneconvent M P van Buijtenen 19-20 portr 1981")</f>
        <v>0</v>
      </c>
      <c r="D5054" s="1">
        <f>hyperlink("http://dspace.library.uu.nl/handle/1874/287159","Bouvy de voltooier van A B M naar Catharijneconvent M P van Buijtenen 19-20 1981")</f>
        <v>0</v>
      </c>
    </row>
    <row r="5055" spans="2:4">
      <c r="B5055">
        <v>100</v>
      </c>
      <c r="C5055" s="1">
        <f>hyperlink("https://hetutrechtsarchief.nl/collectie/35ABE4DFD6195476BB0C23C4C3C19EDA","Nogmaals Rudolphus Tollius Alfred M M Dekker 23-24 1981")</f>
        <v>0</v>
      </c>
      <c r="D5055" s="1">
        <f>hyperlink("http://dspace.library.uu.nl/handle/1874/287160","Nogmaals Rudolphus Tollius Alfred M M Dekker 23-24 1981")</f>
        <v>0</v>
      </c>
    </row>
    <row r="5056" spans="2:4">
      <c r="B5056">
        <v>99</v>
      </c>
      <c r="C5056" s="1">
        <f>hyperlink("https://hetutrechtsarchief.nl/collectie/BCBA23BED1BE550E97C179E994F13C83","De tornado van 1 augustus 1674 een brief van Margrita van Vechoven 1696 Alfred M M Dekker 94 1981")</f>
        <v>0</v>
      </c>
      <c r="D5056" s="1">
        <f>hyperlink("http://dspace.library.uu.nl/handle/1874/287161","De tornado van 1 Augustus 1674 een brief van Margarita van Vechoven 1696 Alfred M M Dekker 94 1981")</f>
        <v>0</v>
      </c>
    </row>
    <row r="5057" spans="2:4">
      <c r="B5057">
        <v>65</v>
      </c>
      <c r="C5057" s="1">
        <f>hyperlink("https://hetutrechtsarchief.nl/collectie/6C8B1B8C12FF593FA58BA411C8549A3C","Het Utrechts Klokkenluiders Gilde Bauke Reitsma 6-9 2009")</f>
        <v>0</v>
      </c>
      <c r="D5057" s="1">
        <f>hyperlink("http://dspace.library.uu.nl/handle/1874/287162","Het Utrechtse klokkenluiders gilde Johan van den Dijk Dick van Hurk 114 1981")</f>
        <v>0</v>
      </c>
    </row>
    <row r="5058" spans="2:4">
      <c r="B5058">
        <v>98</v>
      </c>
      <c r="C5058" s="1">
        <f>hyperlink("https://hetutrechtsarchief.nl/collectie/7B0E27AA0875591AB30E93600610B49E","Waar gaat het om in het beschermd stadsgezicht wat er in 1980 gebeurde in de Groenestraat Emma van den Dool 10-11 ill 1981")</f>
        <v>0</v>
      </c>
      <c r="D5058" s="1">
        <f>hyperlink("http://dspace.library.uu.nl/handle/1874/287163","Waar gaat het om in het beschermd stadsgezicht wat er in 1980 gebeurde in de Groenestraat Emma van den Dool 10-11 1981")</f>
        <v>0</v>
      </c>
    </row>
    <row r="5059" spans="2:4">
      <c r="B5059">
        <v>100</v>
      </c>
      <c r="C5059" s="1">
        <f>hyperlink("https://hetutrechtsarchief.nl/collectie/96B9B59412385750B652767D838E84EA","Utrecht in de literatuur Marjet Douze 134 1981")</f>
        <v>0</v>
      </c>
      <c r="D5059" s="1">
        <f>hyperlink("http://dspace.library.uu.nl/handle/1874/287164","Utrecht in de literatuur Marjet Douze 134 1981")</f>
        <v>0</v>
      </c>
    </row>
    <row r="5060" spans="2:4">
      <c r="B5060">
        <v>95</v>
      </c>
      <c r="C5060" s="1">
        <f>hyperlink("https://hetutrechtsarchief.nl/collectie/D50925E7ADE95911861D6C1FED3F52C0","De actualiteit van een oud verdrag A Graafhuis 142-143 ill 1981")</f>
        <v>0</v>
      </c>
      <c r="D5060" s="1">
        <f>hyperlink("http://dspace.library.uu.nl/handle/1874/287165","De actualiteit van een oud verdrag A Graafhuis 142-144 1981")</f>
        <v>0</v>
      </c>
    </row>
    <row r="5061" spans="2:4">
      <c r="B5061">
        <v>98</v>
      </c>
      <c r="C5061" s="1">
        <f>hyperlink("https://hetutrechtsarchief.nl/collectie/42C246F77BBA5B018E16C18D34C9143B","De registers van persoonsnamen in der stat dagelix boec 1449-1500 A Graafhuis 20-23 ill 1981")</f>
        <v>0</v>
      </c>
      <c r="D5061" s="1">
        <f>hyperlink("http://dspace.library.uu.nl/handle/1874/287166","De registers van persoonsnamen in der stat dagelix boec 1449-1500 A Graafhuis 20-23 1981")</f>
        <v>0</v>
      </c>
    </row>
    <row r="5062" spans="2:4">
      <c r="B5062">
        <v>88</v>
      </c>
      <c r="C5062" s="1">
        <f>hyperlink("https://hetutrechtsarchief.nl/collectie/5F056CD3DE3B5571B184EE8020F91FF6","Het fenomeen Adriaen van Wesel 1 en 2 Korine Hazelzet 85-90 97-103 ill 1981")</f>
        <v>0</v>
      </c>
      <c r="D5062" s="1">
        <f>hyperlink("http://dspace.library.uu.nl/handle/1874/287167","Het fenomeen Adriaen van Wesel Korine Hazelzet 85-90 nr 5 p 97-103 1981")</f>
        <v>0</v>
      </c>
    </row>
    <row r="5063" spans="2:4">
      <c r="B5063">
        <v>88</v>
      </c>
      <c r="C5063" s="1">
        <f>hyperlink("https://hetutrechtsarchief.nl/collectie/E7EBE1B916A0596B829D5B2793806D97","Redenen tot de herziening der stedelijke reglementen in 1824 1 en 2 H J Ph G Kaajan 2-9 ill portr 16-18 plgr 1981")</f>
        <v>0</v>
      </c>
      <c r="D5063" s="1">
        <f>hyperlink("http://dspace.library.uu.nl/handle/1874/287168","Redenen tot de herziening der stedelijke reglementen in 1824 H J Ph G Kaajan 2-10 nr 2 p 16-18 1981")</f>
        <v>0</v>
      </c>
    </row>
    <row r="5064" spans="2:4">
      <c r="B5064">
        <v>94</v>
      </c>
      <c r="C5064" s="1">
        <f>hyperlink("https://hetutrechtsarchief.nl/collectie/4B83FB71B7D45AC49DA835A3B8B01747","Het pand Voorstraat 36-38 lotgevallen van een gevel P J E Luykx 13-15 ill tek 1981")</f>
        <v>0</v>
      </c>
      <c r="D5064" s="1">
        <f>hyperlink("http://dspace.library.uu.nl/handle/1874/287169","Het pand Voorstraat 36-38 lotgevallen van een gevel J E Luykx 13-15 1981")</f>
        <v>0</v>
      </c>
    </row>
    <row r="5065" spans="2:4">
      <c r="B5065">
        <v>98</v>
      </c>
      <c r="C5065" s="1">
        <f>hyperlink("https://hetutrechtsarchief.nl/collectie/A0FD827ABA125BCA9C095AF89A5DFF62","Twee tafereeltjes van het Gereformeerd Burgerweeshuis te Utrecht J A L de Meyere 144-146 ill 1981")</f>
        <v>0</v>
      </c>
      <c r="D5065" s="1">
        <f>hyperlink("http://dspace.library.uu.nl/handle/1874/287170","Twee tafereeltjes van het Gereformeerd Burgerweeshuis te Utrecht J A L de Meyere 144-146 1981")</f>
        <v>0</v>
      </c>
    </row>
    <row r="5066" spans="2:4">
      <c r="B5066">
        <v>95</v>
      </c>
      <c r="C5066" s="1">
        <f>hyperlink("https://hetutrechtsarchief.nl/collectie/B9CC1BD1E7A05A6D83CEF7A1F59419D6","Een vergeten collectie de kunstverzameling bekend als museum Quix te Utrecht J A L de Meyere 109-112 ill portr 1981")</f>
        <v>0</v>
      </c>
      <c r="D5066" s="1">
        <f>hyperlink("http://dspace.library.uu.nl/handle/1874/287171","Een vergeten collectie de kunstverzameling bekend als Museum Quix te Utrecht J A L de Meyere 109-112 1981")</f>
        <v>0</v>
      </c>
    </row>
    <row r="5067" spans="2:4">
      <c r="B5067">
        <v>97</v>
      </c>
      <c r="C5067" s="1">
        <f>hyperlink("https://hetutrechtsarchief.nl/collectie/C05F20C0C9F75E738DCC23A5C0AE8D9A","Het Litterarisch-Humoristisch Weekblad J G Riphaagen 125-130 ill 1981")</f>
        <v>0</v>
      </c>
      <c r="D5067" s="1">
        <f>hyperlink("http://dspace.library.uu.nl/handle/1874/287172","Het litterarisch-humoristisch weekblad J G Riphaagen 125-130 1981")</f>
        <v>0</v>
      </c>
    </row>
    <row r="5068" spans="2:4">
      <c r="B5068">
        <v>93</v>
      </c>
      <c r="C5068" s="1">
        <f>hyperlink("https://hetutrechtsarchief.nl/collectie/07F99A1AD61F590383E9142DBB68A903","De bouw van het stadion Galgenwaard G J R hner 137-142 ill plgr 1981")</f>
        <v>0</v>
      </c>
      <c r="D5068" s="1">
        <f>hyperlink("http://dspace.library.uu.nl/handle/1874/287173","De bouw van het stadion Galgenwaard G J R hner 137-142 1981")</f>
        <v>0</v>
      </c>
    </row>
    <row r="5069" spans="2:4">
      <c r="B5069">
        <v>97</v>
      </c>
      <c r="C5069" s="1">
        <f>hyperlink("https://hetutrechtsarchief.nl/collectie/112373F433A75A58BB8051B3A8EEC708","De historische catalogus van het museum der stad Utrecht 1928 1928-1960 1960-1980 M H ter Schegget 130-133 portr 1981")</f>
        <v>0</v>
      </c>
      <c r="D5069" s="1">
        <f>hyperlink("http://dspace.library.uu.nl/handle/1874/287174","De historische catalogus van het Museum der stad Utrecht 1928 1928-1960 1960-1980 M H ter Schegget 130-133 1981")</f>
        <v>0</v>
      </c>
    </row>
    <row r="5070" spans="2:4">
      <c r="B5070">
        <v>95</v>
      </c>
      <c r="C5070" s="1">
        <f>hyperlink("https://hetutrechtsarchief.nl/collectie/A5FBD83B36CE5419A3BF20CC0DB9F097","Johan Wagenaar 1862-1941 Rutger Schoute 112-114 portr 1981")</f>
        <v>0</v>
      </c>
      <c r="D5070" s="1">
        <f>hyperlink("http://dspace.library.uu.nl/handle/1874/287175","Johan Wagenaar 1862-1941 Rutger Schoute 112-114 1981")</f>
        <v>0</v>
      </c>
    </row>
    <row r="5071" spans="2:4">
      <c r="B5071">
        <v>82</v>
      </c>
      <c r="C5071" s="1">
        <f>hyperlink("https://hetutrechtsarchief.nl/collectie/67E8F67C6CBE56B2929B360959998ED8","Huis Oudaen als museum Trajectense A van Hulzen en D P Snoep 103-105 1981")</f>
        <v>0</v>
      </c>
      <c r="D5071" s="1">
        <f>hyperlink("http://dspace.library.uu.nl/handle/1874/287176","Huis Oudaen als Museum Trajectense D P Hulzen A van Snoep 103-105 nr 7 8 p 134 1981")</f>
        <v>0</v>
      </c>
    </row>
    <row r="5072" spans="2:4">
      <c r="B5072">
        <v>96</v>
      </c>
      <c r="C5072" s="1">
        <f>hyperlink("https://hetutrechtsarchief.nl/collectie/B7E09529F67A5E4E97C5E5C62EFE5A11","Schutterij of geschutter de Utrechtse burgerhoplieden 1572-1610 Annette Weber 149-154 ill tab 1981")</f>
        <v>0</v>
      </c>
      <c r="D5072" s="1">
        <f>hyperlink("http://dspace.library.uu.nl/handle/1874/287177","Schutterij of geschutter de Utrechtse burgerhoplieden 1572-1610 Annette Weber 149-154 1981")</f>
        <v>0</v>
      </c>
    </row>
    <row r="5073" spans="2:4">
      <c r="B5073">
        <v>94</v>
      </c>
      <c r="C5073" s="1">
        <f>hyperlink("https://hetutrechtsarchief.nl/collectie/FE1DDC2CDF7D59C18DED03B014C38893","Het openingsgebed in de Utrechtse raadsvergaderingen Joh D van den Berg 173-177 ill portr 1981")</f>
        <v>0</v>
      </c>
      <c r="D5073" s="1">
        <f>hyperlink("http://dspace.library.uu.nl/handle/1874/287257","Het openingsgebed in de Utrechtse raadsvergaderingen Joh D van den Berg 173-177 1981")</f>
        <v>0</v>
      </c>
    </row>
    <row r="5074" spans="2:4">
      <c r="B5074">
        <v>96</v>
      </c>
      <c r="C5074" s="1">
        <f>hyperlink("https://hetutrechtsarchief.nl/collectie/0C6D7302CA59511C919B694CF06B12FB","De koperen schuitjes van 1672 A Graafhuis 164-166 ill 1981")</f>
        <v>0</v>
      </c>
      <c r="D5074" s="1">
        <f>hyperlink("http://dspace.library.uu.nl/handle/1874/287258","De koperen schuitjes van 1672 A Graafhuis 164-166 1981")</f>
        <v>0</v>
      </c>
    </row>
    <row r="5075" spans="2:4">
      <c r="B5075">
        <v>96</v>
      </c>
      <c r="C5075" s="1">
        <f>hyperlink("https://hetutrechtsarchief.nl/collectie/F1A1474B2A8D5443AF76D33A9394D6CE","Licht aan t eeuwig licht onttogen of Ik hoor de stilte in memoriam Gabri l Smit 1910-1981 A Graafhuis 155-157 ill portr 1981")</f>
        <v>0</v>
      </c>
      <c r="D5075" s="1">
        <f>hyperlink("http://dspace.library.uu.nl/handle/1874/287259","Licht aan t eeuwig licht onttogen of Ik hoor de stilte in memoriam Gabri l Smit 1910-1981 A Graafhuis 155-157 1981")</f>
        <v>0</v>
      </c>
    </row>
    <row r="5076" spans="2:4">
      <c r="B5076">
        <v>97</v>
      </c>
      <c r="C5076" s="1">
        <f>hyperlink("https://hetutrechtsarchief.nl/collectie/06331C927E3C54098CE779E3A1EA5A2B","Deense koningen en Utrechtse kunstenaars J Roding 161-163 ill 1981")</f>
        <v>0</v>
      </c>
      <c r="D5076" s="1">
        <f>hyperlink("http://dspace.library.uu.nl/handle/1874/287260","Deense koningen en Utrechtse kunstenaars J Roding 161-163 1981")</f>
        <v>0</v>
      </c>
    </row>
    <row r="5077" spans="2:4">
      <c r="B5077">
        <v>60</v>
      </c>
      <c r="C5077" s="1">
        <f>hyperlink("https://hetutrechtsarchief.nl/collectie/1C8E9E0912675A71A1BFDF8A02205234","De winkelstraat Choorstraat 8-9 1985")</f>
        <v>0</v>
      </c>
      <c r="D5077" s="1">
        <f>hyperlink("http://dspace.library.uu.nl/handle/1874/287261","Andreasstraat C Staal 181-182 1981")</f>
        <v>0</v>
      </c>
    </row>
    <row r="5078" spans="2:4">
      <c r="B5078">
        <v>90</v>
      </c>
      <c r="C5078" s="1">
        <f>hyperlink("https://hetutrechtsarchief.nl/collectie/7D72E4602F3750EC9F9CC88F11471EA0","De Dom krijgt er klokken bij - C S 179-181 ill 1981")</f>
        <v>0</v>
      </c>
      <c r="D5078" s="1">
        <f>hyperlink("http://dspace.library.uu.nl/handle/1874/287262","De Dom krijgt er klokken bij C Staal 179-181 1981")</f>
        <v>0</v>
      </c>
    </row>
    <row r="5079" spans="2:4">
      <c r="B5079">
        <v>62</v>
      </c>
      <c r="C5079" s="1">
        <f>hyperlink("https://hetutrechtsarchief.nl/collectie/1C8E9E0912675A71A1BFDF8A02205234","De winkelstraat Choorstraat 8-9 1985")</f>
        <v>0</v>
      </c>
      <c r="D5079" s="1">
        <f>hyperlink("http://dspace.library.uu.nl/handle/1874/287263","Wolvenstraat C Staal 181 1981")</f>
        <v>0</v>
      </c>
    </row>
    <row r="5080" spans="2:4">
      <c r="B5080">
        <v>96</v>
      </c>
      <c r="C5080" s="1">
        <f>hyperlink("https://hetutrechtsarchief.nl/collectie/46A85649F5115FF49A9B3665707699C9","De financiering van de Dom L van Tongerloo 167-169 ill 1981")</f>
        <v>0</v>
      </c>
      <c r="D5080" s="1">
        <f>hyperlink("http://dspace.library.uu.nl/handle/1874/287264","De financiering van de Dom L van Tongerloo 167-169 1981")</f>
        <v>0</v>
      </c>
    </row>
    <row r="5081" spans="2:4">
      <c r="B5081">
        <v>53</v>
      </c>
      <c r="C5081" s="1">
        <f>hyperlink("https://hetutrechtsarchief.nl/collectie/DCA0707AA533545BB200FB004994ADF5","Rooms-katholieke broederschappen in Nederland in de negentiende eeuw betekenis omvang en verspreiding van een onderschat fenomeen Ronald Sluijter 349-379 2013")</f>
        <v>0</v>
      </c>
      <c r="D5081" s="1">
        <f>hyperlink("http://dspace.library.uu.nl/handle/1874/287813","Maandblad Oud-Utrecht Vereniging tot Beoefening en tot Verspreiding van de Kennis der Geschiedenis van Utrecht en Omstreken Oud-Utrecht 1973-1993")</f>
        <v>0</v>
      </c>
    </row>
    <row r="5082" spans="2:4">
      <c r="B5082">
        <v>96</v>
      </c>
      <c r="C5082" s="1">
        <f>hyperlink("https://hetutrechtsarchief.nl/collectie/D22FB11093DE5A1E8C25056C9739D06E","Over Wouter Paap 1908 - 1981 Cor Schilp 2-8 1982")</f>
        <v>0</v>
      </c>
      <c r="D5082" s="1">
        <f>hyperlink("http://dspace.library.uu.nl/handle/1874/287814","Over Wouter Paap 1908-1981 C Schilp 2-8 1982")</f>
        <v>0</v>
      </c>
    </row>
    <row r="5083" spans="2:4">
      <c r="B5083">
        <v>96</v>
      </c>
      <c r="C5083" s="1">
        <f>hyperlink("https://hetutrechtsarchief.nl/collectie/5B7A03FF87F955AE9E1694C7AD6D4BAC","Het huis Middelvaart Rijksstraatweg 103 1396 JH Baambrugge D L H Slebos 37-50 2005")</f>
        <v>0</v>
      </c>
      <c r="D5083" s="1">
        <f>hyperlink("http://dspace.library.uu.nl/handle/1874/287849","Het huis Middelvaart Rijksstraatweg 103 1396 JH Baambrugge D L H Slebos 2005")</f>
        <v>0</v>
      </c>
    </row>
    <row r="5084" spans="2:4">
      <c r="B5084">
        <v>97</v>
      </c>
      <c r="C5084" s="1">
        <f>hyperlink("https://hetutrechtsarchief.nl/collectie/4AFC228D2CEF584D9BD4A40E75B51F62","De Amsterdamse tak van het geslacht Valckenier en hun sporen in Baambrugge Geyn Wensch en Landlust D L H Slebos 51-72 2005")</f>
        <v>0</v>
      </c>
      <c r="D5084" s="1">
        <f>hyperlink("http://dspace.library.uu.nl/handle/1874/287850","De Amsterdamse tak van het geslacht Valckenier en hun sporen in Baambrugge Geyn Wensch en Landlust D L H Slebos 2005")</f>
        <v>0</v>
      </c>
    </row>
    <row r="5085" spans="2:4">
      <c r="B5085">
        <v>89</v>
      </c>
      <c r="C5085" s="1">
        <f>hyperlink("https://hetutrechtsarchief.nl/collectie/E78C909CE3225C90813D7645D775D16F","Hinderdam F Cladder 81-94 2005")</f>
        <v>0</v>
      </c>
      <c r="D5085" s="1">
        <f>hyperlink("http://dspace.library.uu.nl/handle/1874/287851","Hinderdam F Cladder 2005")</f>
        <v>0</v>
      </c>
    </row>
    <row r="5086" spans="2:4">
      <c r="B5086">
        <v>94</v>
      </c>
      <c r="C5086" s="1">
        <f>hyperlink("https://hetutrechtsarchief.nl/collectie/04968DA07B19575C8D94379C9F5709A0","Het is niet alles goud wat er blinkt goudleer de kostbare wandbekleding uit de 17de en 18de eeuw E Munnig Schmidt 73-80 2005")</f>
        <v>0</v>
      </c>
      <c r="D5086" s="1">
        <f>hyperlink("http://dspace.library.uu.nl/handle/1874/287852","Het is niet alles goud wat er blinkt goudleer de wandbekleding uit de 17de en 18de eeuw E Munnig Schmidt 2005")</f>
        <v>0</v>
      </c>
    </row>
    <row r="5087" spans="2:4">
      <c r="B5087">
        <v>95</v>
      </c>
      <c r="C5087" s="1">
        <f>hyperlink("https://hetutrechtsarchief.nl/collectie/19511D21B284564AA18028FE72F64A17","De Van Logterens in de Vechtstreek E Munnig Schmidt 23-38 2006")</f>
        <v>0</v>
      </c>
      <c r="D5087" s="1">
        <f>hyperlink("http://dspace.library.uu.nl/handle/1874/287853","De Van Logterens in de Vechtstreek E Munnig Schmidt 2006")</f>
        <v>0</v>
      </c>
    </row>
    <row r="5088" spans="2:4">
      <c r="B5088">
        <v>94</v>
      </c>
      <c r="C5088" s="1">
        <f>hyperlink("https://hetutrechtsarchief.nl/collectie/D85F42C1058A55539E126AF814CFB868","Herfsttij der buitenplaatsen Roel Mulder 39-56 2006")</f>
        <v>0</v>
      </c>
      <c r="D5088" s="1">
        <f>hyperlink("http://dspace.library.uu.nl/handle/1874/287854","Herfsttij der buitenplaatsen Roel Mulder 2006")</f>
        <v>0</v>
      </c>
    </row>
    <row r="5089" spans="2:4">
      <c r="B5089">
        <v>96</v>
      </c>
      <c r="C5089" s="1">
        <f>hyperlink("https://hetutrechtsarchief.nl/collectie/2FBE9F38173053208E6B89E769090E58","Abraham Rutgers en Ludolf Backhuysen samen op het ijs E Munnig Schmidt 57-58 2006")</f>
        <v>0</v>
      </c>
      <c r="D5089" s="1">
        <f>hyperlink("http://dspace.library.uu.nl/handle/1874/287855","Abraham Rutgers en Ludolf Backhuysen samen op het ijs E Munnig Schmidt 2006")</f>
        <v>0</v>
      </c>
    </row>
    <row r="5090" spans="2:4">
      <c r="B5090">
        <v>88</v>
      </c>
      <c r="C5090" s="1">
        <f>hyperlink("https://hetutrechtsarchief.nl/collectie/74BCA242921A5E3880F0645CB8727C6D","De Polder Dorssewaard te Vreeland Anton Cruysheer 38-52 2007")</f>
        <v>0</v>
      </c>
      <c r="D5090" s="1">
        <f>hyperlink("http://dspace.library.uu.nl/handle/1874/287856","De Polder Dorssewaard te Vreeland A T E Cruysheer 2006")</f>
        <v>0</v>
      </c>
    </row>
    <row r="5091" spans="2:4">
      <c r="B5091">
        <v>96</v>
      </c>
      <c r="C5091" s="1">
        <f>hyperlink("https://hetutrechtsarchief.nl/collectie/14DCCE5744B757B881DD76E0D7E6A0A1","Kerkkroon t Veldhoen Wiessenburg en Den Haring D L H Slebos 59-90 2006")</f>
        <v>0</v>
      </c>
      <c r="D5091" s="1">
        <f>hyperlink("http://dspace.library.uu.nl/handle/1874/287857","Kerkkroon t Veldhoen Wiessenburg en Den Haring D L H Slebos 2006")</f>
        <v>0</v>
      </c>
    </row>
    <row r="5092" spans="2:4">
      <c r="B5092">
        <v>90</v>
      </c>
      <c r="C5092" s="1">
        <f>hyperlink("https://hetutrechtsarchief.nl/collectie/E135D72FF11C51E988CA6B723FA2DFE6","Jacob Storck 1641-ca 1693 kunstschilder en de Vecht E Munnig Schmidt 23-36 2005")</f>
        <v>0</v>
      </c>
      <c r="D5092" s="1">
        <f>hyperlink("http://dspace.library.uu.nl/handle/1874/287858","Jacob Storck 1641-ca 1693 kunstschilder en de Vecht E Munnig Schmidt 23-36 2007 p 51-52 2005-2007")</f>
        <v>0</v>
      </c>
    </row>
    <row r="5093" spans="2:4">
      <c r="B5093">
        <v>100</v>
      </c>
      <c r="C5093" s="1">
        <f>hyperlink("https://hetutrechtsarchief.nl/collectie/CE06A08789DB5993998D7492C83E4651","De Schammer in druk rapport van de opgraving verschenen Timo d Hollosy 20-21 2013")</f>
        <v>0</v>
      </c>
      <c r="D5093" s="1">
        <f>hyperlink("http://dspace.library.uu.nl/handle/1874/287859","De Schammer in druk rapport van de opgraving verschenen Timo d Hollosy 20-21 2013")</f>
        <v>0</v>
      </c>
    </row>
    <row r="5094" spans="2:4">
      <c r="B5094">
        <v>80</v>
      </c>
      <c r="C5094" s="1">
        <f>hyperlink("https://hetutrechtsarchief.nl/collectie/CA0B64C3959E5907B7C1557E8A491060","Nieuwe straatnamen in Loenen 23-27 2007")</f>
        <v>0</v>
      </c>
      <c r="D5094" s="1">
        <f>hyperlink("http://dspace.library.uu.nl/handle/1874/287895","Nieuwe straatnamen in Loenen A J A M Lisman 23-50 2007")</f>
        <v>0</v>
      </c>
    </row>
    <row r="5095" spans="2:4">
      <c r="B5095">
        <v>100</v>
      </c>
      <c r="C5095" s="1">
        <f>hyperlink("https://hetutrechtsarchief.nl/collectie/B71C8E6F1F9A598397365B8896DA2FF7","Ignatius van Logteren en Jacob de Wit op Bosch en Hoven en huis Heemstede E Munnig Schmidt 65-71 2007")</f>
        <v>0</v>
      </c>
      <c r="D5095" s="1">
        <f>hyperlink("http://dspace.library.uu.nl/handle/1874/287896","Ignatius van Logteren en Jacob de Wit op Bosch en Hoven en huis Heemstede E Munnig Schmidt 65-71 2007")</f>
        <v>0</v>
      </c>
    </row>
    <row r="5096" spans="2:4">
      <c r="B5096">
        <v>100</v>
      </c>
      <c r="C5096" s="1">
        <f>hyperlink("https://hetutrechtsarchief.nl/collectie/8E19A2CB72B25FCF87D7237E712DE93E","Ruyteveld Donkervliet en Slootwijk Dick Slebos 72-88 2007")</f>
        <v>0</v>
      </c>
      <c r="D5096" s="1">
        <f>hyperlink("http://dspace.library.uu.nl/handle/1874/287897","Ruyteveld Donkervliet en Slootwijk Dick Slebos 72-88 2007")</f>
        <v>0</v>
      </c>
    </row>
    <row r="5097" spans="2:4">
      <c r="B5097">
        <v>86</v>
      </c>
      <c r="C5097" s="1">
        <f>hyperlink("https://hetutrechtsarchief.nl/collectie/4B6031BD4B815780915AEF3FBBCAF9DF","Jan Mast 18e eeuws beeldhouwer te Breukelen 89-92 2007")</f>
        <v>0</v>
      </c>
      <c r="D5097" s="1">
        <f>hyperlink("http://dspace.library.uu.nl/handle/1874/287898","Jan Mast 18de eeuws beeldhouwer te Breukelen E Munnig Schmidt 89-92 2007")</f>
        <v>0</v>
      </c>
    </row>
    <row r="5098" spans="2:4">
      <c r="B5098">
        <v>100</v>
      </c>
      <c r="C5098" s="1">
        <f>hyperlink("https://hetutrechtsarchief.nl/collectie/9B9DB75599B354DE9E2D6AD5E59FA8DE","Bergvliet en Oldenhof verdwenen buitens te Abcoude-Baambrugge Dick Slebos 39-54 2008")</f>
        <v>0</v>
      </c>
      <c r="D5098" s="1">
        <f>hyperlink("http://dspace.library.uu.nl/handle/1874/287899","Bergvliet en Oldenhof verdwenen buitens te Abcoude-Baambrugge Dick Slebos 39-54 2008")</f>
        <v>0</v>
      </c>
    </row>
    <row r="5099" spans="2:4">
      <c r="B5099">
        <v>92</v>
      </c>
      <c r="C5099" s="1">
        <f>hyperlink("https://hetutrechtsarchief.nl/collectie/742F1C327CB85D0E8B3448496A9FF212","Zuylenburgh Juliette J M A M Jonker-Duynstee 55-87 2008")</f>
        <v>0</v>
      </c>
      <c r="D5099" s="1">
        <f>hyperlink("http://dspace.library.uu.nl/handle/1874/287900","Zuylenburgh Juliette Jonker-Duynstee 55-87 2008")</f>
        <v>0</v>
      </c>
    </row>
    <row r="5100" spans="2:4">
      <c r="B5100">
        <v>88</v>
      </c>
      <c r="C5100" s="1">
        <f>hyperlink("https://hetutrechtsarchief.nl/collectie/A1591CFF27B45D5BA3BD4E0C742BC948","Het raadsel van de dakpanbeschoeiingen in de Vechtstreek Steven de Clercq en Hans van Bemmel 90-99 2008")</f>
        <v>0</v>
      </c>
      <c r="D5100" s="1">
        <f>hyperlink("http://dspace.library.uu.nl/handle/1874/287901","Het raadsel van de dakpanbeschoeiingen in de Vechtstreek Hans van Clercq Steven de Bemmel 90-99 2008")</f>
        <v>0</v>
      </c>
    </row>
    <row r="5101" spans="2:4">
      <c r="B5101">
        <v>100</v>
      </c>
      <c r="C5101" s="1">
        <f>hyperlink("https://hetutrechtsarchief.nl/collectie/4AE65FADB40F5FE1A81D253A7BA28215","Het carillon van Nijenrode E Munnig Schmidt 100-101 2008")</f>
        <v>0</v>
      </c>
      <c r="D5101" s="1">
        <f>hyperlink("http://dspace.library.uu.nl/handle/1874/287902","Het carillon van Nijenrode E Munnig Schmidt 100-101 2008")</f>
        <v>0</v>
      </c>
    </row>
    <row r="5102" spans="2:4">
      <c r="B5102">
        <v>97</v>
      </c>
      <c r="C5102" s="1">
        <f>hyperlink("https://hetutrechtsarchief.nl/collectie/92FB58C0C42D52A1B7F27991EF0094E8","Jan Mats E Munnig Schmidt 102-105 2008")</f>
        <v>0</v>
      </c>
      <c r="D5102" s="1">
        <f>hyperlink("http://dspace.library.uu.nl/handle/1874/287903","Jan Mast E Munnig Schmidt 102-105 2008")</f>
        <v>0</v>
      </c>
    </row>
    <row r="5103" spans="2:4">
      <c r="B5103">
        <v>100</v>
      </c>
      <c r="C5103" s="1">
        <f>hyperlink("https://hetutrechtsarchief.nl/collectie/849704FB1192526A97E224AC4529E600","Een merkwaardig zelfportret van Gerrit Zegelaar E Munnig Schmidt 115-117 2008")</f>
        <v>0</v>
      </c>
      <c r="D5103" s="1">
        <f>hyperlink("http://dspace.library.uu.nl/handle/1874/287904","Een merkwaardig zelfportret van Gerrit Zegelaar E Munnig Schmidt 115-117 2008")</f>
        <v>0</v>
      </c>
    </row>
    <row r="5104" spans="2:4">
      <c r="B5104">
        <v>100</v>
      </c>
      <c r="C5104" s="1">
        <f>hyperlink("https://hetutrechtsarchief.nl/collectie/D70C9D0F585E5177840010908EB91793","Dossier Verdiepingenplan Loosdrechtse Plassen en zandafvoer naar Loenen E van Nieuwkerk 118-122 2008")</f>
        <v>0</v>
      </c>
      <c r="D5104" s="1">
        <f>hyperlink("http://dspace.library.uu.nl/handle/1874/287905","Dossier Verdiepingenplan Loosdrechtse Plassen en zandafvoer naar Loenen E van Nieuwkerk 118-122 2008")</f>
        <v>0</v>
      </c>
    </row>
    <row r="5105" spans="2:4">
      <c r="B5105">
        <v>89</v>
      </c>
      <c r="C5105" s="1">
        <f>hyperlink("https://hetutrechtsarchief.nl/collectie/F948DA5C760A5B8CB09E9DEC22309044","Hoefslagpalen en een verkenning naar het onderhoud van de Vechtdijk Steven de Clercq en Hans van Bemmel 106-114 2008")</f>
        <v>0</v>
      </c>
      <c r="D5105" s="1">
        <f>hyperlink("http://dspace.library.uu.nl/handle/1874/287906","Hoefslagpalen en een verkenning naar het onderhoud van de Vechtdijk Hans van Clercq Steven de Bemmel 106-114 2008")</f>
        <v>0</v>
      </c>
    </row>
    <row r="5106" spans="2:4">
      <c r="B5106">
        <v>100</v>
      </c>
      <c r="C5106" s="1">
        <f>hyperlink("https://hetutrechtsarchief.nl/collectie/45AD8D3FBF145B71BD0FCD9DE17286BC","Kasteelpark Nijenrode G J Immerzeel 25-48 2009")</f>
        <v>0</v>
      </c>
      <c r="D5106" s="1">
        <f>hyperlink("http://dspace.library.uu.nl/handle/1874/287907","Kasteelpark Nijenrode G J Immerzeel 25-48 2009")</f>
        <v>0</v>
      </c>
    </row>
    <row r="5107" spans="2:4">
      <c r="B5107">
        <v>98</v>
      </c>
      <c r="C5107" s="1">
        <f>hyperlink("https://hetutrechtsarchief.nl/collectie/4868D0A43F055212A053874090BC98FE","Spelevaren op buitens en langs de Vecht in het bijzonder R H M van Immerseel 49-62 2009")</f>
        <v>0</v>
      </c>
      <c r="D5107" s="1">
        <f>hyperlink("http://dspace.library.uu.nl/handle/1874/287908","Spelevaren op buitens en langs de Vecht in het bijzonder R H M Immerseel 49-62 2009")</f>
        <v>0</v>
      </c>
    </row>
    <row r="5108" spans="2:4">
      <c r="B5108">
        <v>96</v>
      </c>
      <c r="C5108" s="1">
        <f>hyperlink("https://hetutrechtsarchief.nl/collectie/26A092849C94531388A1A22ADF24AB13","Nog eens Jan Mast beeldhouwer te Breukelen E Munnig Schmidt 2009")</f>
        <v>0</v>
      </c>
      <c r="D5108" s="1">
        <f>hyperlink("http://dspace.library.uu.nl/handle/1874/287909","Nog eens Jan Mast beeldhouwer te Breukelen E Munnig Schmidt 71-72 2009")</f>
        <v>0</v>
      </c>
    </row>
    <row r="5109" spans="2:4">
      <c r="B5109">
        <v>95</v>
      </c>
      <c r="C5109" s="1">
        <f>hyperlink("https://hetutrechtsarchief.nl/collectie/A732B72B91125DECA8A2AC48DB20562A","Et in arcadia ego - over de gebiedsontwikkeling van buitenplaatsen in Loenen aan de Vecht S Schrijer 2009")</f>
        <v>0</v>
      </c>
      <c r="D5109" s="1">
        <f>hyperlink("http://dspace.library.uu.nl/handle/1874/287910","Et in arcadia ego - over de gebiedsontwikkeling van buitenplaatsen in Loenen aan de Vecht Saskia Schrijer 73-86 2009")</f>
        <v>0</v>
      </c>
    </row>
    <row r="5110" spans="2:4">
      <c r="B5110">
        <v>100</v>
      </c>
      <c r="C5110" s="1">
        <f>hyperlink("https://hetutrechtsarchief.nl/collectie/AF560EE9ADFE53078FA40B72048E1AF5","Overtoom een verdwenen fenomeen E Munnig Schmidt 44-48 2010")</f>
        <v>0</v>
      </c>
      <c r="D5110" s="1">
        <f>hyperlink("http://dspace.library.uu.nl/handle/1874/287911","Overtoom een verdwenen fenomeen E Munnig Schmidt 44-48 2010")</f>
        <v>0</v>
      </c>
    </row>
    <row r="5111" spans="2:4">
      <c r="B5111">
        <v>100</v>
      </c>
      <c r="C5111" s="1">
        <f>hyperlink("https://hetutrechtsarchief.nl/collectie/ADA91F0C96A5564BB8E014497E02E506","Tuingeschiedenis van de buitenplaats Doornburgh en de verdwenen buitens Elsenburg Somerbergen en Vechtleven te Maarssen P Doeve 49-68 2010")</f>
        <v>0</v>
      </c>
      <c r="D5111" s="1">
        <f>hyperlink("http://dspace.library.uu.nl/handle/1874/287912","Tuingeschiedenis van de buitenplaats Doornburgh en de verdwenen buitens Elsenburg Somerbergen en Vechtleven te Maarssen P Doeve 49-68 2010")</f>
        <v>0</v>
      </c>
    </row>
    <row r="5112" spans="2:4">
      <c r="B5112">
        <v>100</v>
      </c>
      <c r="C5112" s="1">
        <f>hyperlink("https://hetutrechtsarchief.nl/collectie/0842887C5B135195BDF14DE247667036","Sporen uit de mediene Joods verleden van de Vechtstreek Tine Visschedijk-Lammers 69-90 2010")</f>
        <v>0</v>
      </c>
      <c r="D5112" s="1">
        <f>hyperlink("http://dspace.library.uu.nl/handle/1874/287913","Sporen uit de mediene Joods verleden van de Vechtstreek Tine Visschedijk-Lammers 69-90 2010")</f>
        <v>0</v>
      </c>
    </row>
    <row r="5113" spans="2:4">
      <c r="B5113">
        <v>100</v>
      </c>
      <c r="C5113" s="1">
        <f>hyperlink("https://hetutrechtsarchief.nl/collectie/AFF047FF2A1A5638BBF647DC0793B9E8","Swaenenvecht te Oud-Zuylen Juliette Jonker-Duynstee 91-111 2010")</f>
        <v>0</v>
      </c>
      <c r="D5113" s="1">
        <f>hyperlink("http://dspace.library.uu.nl/handle/1874/287914","Swaenenvecht te Oud Zuylen Juliette Jonker-Duynstee 91-111 2010")</f>
        <v>0</v>
      </c>
    </row>
    <row r="5114" spans="2:4">
      <c r="B5114">
        <v>65</v>
      </c>
      <c r="C5114" s="1">
        <f>hyperlink("https://hetutrechtsarchief.nl/collectie/5D81E79A93A95C4E9032308A91AD6686","De bacchante van Boom en Bosch E Munnig Schmidt 66-69 2012")</f>
        <v>0</v>
      </c>
      <c r="D5114" s="1">
        <f>hyperlink("http://dspace.library.uu.nl/handle/1874/287915","Vechtsensatie in Nationaal archief E Munnig Schmidt 92-93 2012")</f>
        <v>0</v>
      </c>
    </row>
    <row r="5115" spans="2:4">
      <c r="B5115">
        <v>67</v>
      </c>
      <c r="C5115" s="1">
        <f>hyperlink("https://hetutrechtsarchief.nl/collectie/FA19809DFA6958B68512FE46709CACB2","In memoriam Mr A N L Otten - v C 73-74 1962")</f>
        <v>0</v>
      </c>
      <c r="D5115" s="1">
        <f>hyperlink("http://dspace.library.uu.nl/handle/1874/287916","In memoriam Mr J Schuttev er C H Staal 93-94 1982")</f>
        <v>0</v>
      </c>
    </row>
    <row r="5116" spans="2:4">
      <c r="B5116">
        <v>60</v>
      </c>
      <c r="C5116" s="1">
        <f>hyperlink("https://hetutrechtsarchief.nl/collectie/DDAEA8D693495F02971D45DE98589313","Op de Utrechtse walletjes in 1830 D P Snoep 134-137 1980")</f>
        <v>0</v>
      </c>
      <c r="D5116" s="1">
        <f>hyperlink("http://dspace.library.uu.nl/handle/1874/287917","Oud-Utrecht in en buiten de Hema-vitrines D P Snoep 101-103 1982")</f>
        <v>0</v>
      </c>
    </row>
    <row r="5117" spans="2:4">
      <c r="B5117">
        <v>61</v>
      </c>
      <c r="C5117" s="1">
        <f>hyperlink("https://hetutrechtsarchief.nl/collectie/174D34B93417543AB44F5082E81BCD52","De geschiedenis van deken Roes 10 - 11 1982")</f>
        <v>0</v>
      </c>
      <c r="D5117" s="1">
        <f>hyperlink("http://dspace.library.uu.nl/handle/1874/287918","Schouten van de Kelder Bart Kl ck 112 1982")</f>
        <v>0</v>
      </c>
    </row>
    <row r="5118" spans="2:4">
      <c r="B5118">
        <v>96</v>
      </c>
      <c r="C5118" s="1">
        <f>hyperlink("https://hetutrechtsarchief.nl/collectie/1AEE148824DA54C88B87B3D1EDC57DBF","In memoriam Gibo Smilda Ton van Schaik 118-119 1982")</f>
        <v>0</v>
      </c>
      <c r="D5118" s="1">
        <f>hyperlink("http://dspace.library.uu.nl/handle/1874/287919","In memoriam Gibo Smilda Ton H M van Schaik 118-119 1982")</f>
        <v>0</v>
      </c>
    </row>
    <row r="5119" spans="2:4">
      <c r="B5119">
        <v>100</v>
      </c>
      <c r="C5119" s="1">
        <f>hyperlink("https://hetutrechtsarchief.nl/collectie/615C253F51725A4EB523EF81E3E8D0C9","De buitenplaats Ouderhoek te Nieuwersluis terug aan de Vecht E Munnig Schmidt 32-37 2012")</f>
        <v>0</v>
      </c>
      <c r="D5119" s="1">
        <f>hyperlink("http://dspace.library.uu.nl/handle/1874/287920","De buitenplaats Ouderhoek te Nieuwersluis terug aan de Vecht E Munnig Schmidt 32-37 2012")</f>
        <v>0</v>
      </c>
    </row>
    <row r="5120" spans="2:4">
      <c r="B5120">
        <v>100</v>
      </c>
      <c r="C5120" s="1">
        <f>hyperlink("https://hetutrechtsarchief.nl/collectie/7E00EA6691095B1CA21E628FC9A7AC05","Hoe na 270 jaar een schilderij terugkwam in Loenen E Munnig Schmidt 38-40 2012")</f>
        <v>0</v>
      </c>
      <c r="D5120" s="1">
        <f>hyperlink("http://dspace.library.uu.nl/handle/1874/287921","Hoe na 270 jaar een schilderij terugkwam in Loenen E Munnig Schmidt 38-40 2012")</f>
        <v>0</v>
      </c>
    </row>
    <row r="5121" spans="2:4">
      <c r="B5121">
        <v>100</v>
      </c>
      <c r="C5121" s="1">
        <f>hyperlink("https://hetutrechtsarchief.nl/collectie/AA1472E6374352B4930332A48560CE8A","Een mooie aanwinst voor VreedenHoff te Nieuwersluis E Munnig Schmidt 41-45 2012")</f>
        <v>0</v>
      </c>
      <c r="D5121" s="1">
        <f>hyperlink("http://dspace.library.uu.nl/handle/1874/287922","Een mooie aanwinst voor VreedenHoff te Nieuwersluis E Munnig Schmidt 41-45 2012")</f>
        <v>0</v>
      </c>
    </row>
    <row r="5122" spans="2:4">
      <c r="B5122">
        <v>100</v>
      </c>
      <c r="C5122" s="1">
        <f>hyperlink("https://hetutrechtsarchief.nl/collectie/237FF2EE6B795F22B602D8D228E23158","De theekoepel van Vegtlust Juliette Jonker-Duynstee 46-59 2012")</f>
        <v>0</v>
      </c>
      <c r="D5122" s="1">
        <f>hyperlink("http://dspace.library.uu.nl/handle/1874/287923","De theekoepel van Vegtlust Juliette Jonker-Duynstee 46-59 2012")</f>
        <v>0</v>
      </c>
    </row>
    <row r="5123" spans="2:4">
      <c r="B5123">
        <v>100</v>
      </c>
      <c r="C5123" s="1">
        <f>hyperlink("https://hetutrechtsarchief.nl/collectie/A4437C3A1AD3572F8A18859FA911888F","Een buiten te Loenen aan de vergetelheid ontrukt het groeyen en bloeyen van Driehooven E Munnig Schmidt 60-65 2012")</f>
        <v>0</v>
      </c>
      <c r="D5123" s="1">
        <f>hyperlink("http://dspace.library.uu.nl/handle/1874/287924","Een buiten te Loenen aan de vergetelheid ontrukt het groeyen en bloeyen van Driehooven E Munnig Schmidt 60-65 2012")</f>
        <v>0</v>
      </c>
    </row>
    <row r="5124" spans="2:4">
      <c r="B5124">
        <v>100</v>
      </c>
      <c r="C5124" s="1">
        <f>hyperlink("https://hetutrechtsarchief.nl/collectie/5D81E79A93A95C4E9032308A91AD6686","De bacchante van Boom en Bosch E Munnig Schmidt 66-69 2012")</f>
        <v>0</v>
      </c>
      <c r="D5124" s="1">
        <f>hyperlink("http://dspace.library.uu.nl/handle/1874/287925","De bacchante van Boom en Bosch E Munnig Schmidt 66-69 2012")</f>
        <v>0</v>
      </c>
    </row>
    <row r="5125" spans="2:4">
      <c r="B5125">
        <v>100</v>
      </c>
      <c r="C5125" s="1">
        <f>hyperlink("https://hetutrechtsarchief.nl/collectie/33F6BB6DCE2256CAA6E53ADA1CFAB0EE","Vreedenhorst in Vreeland Juliette Jonker-Duynstee 70-83 2012")</f>
        <v>0</v>
      </c>
      <c r="D5125" s="1">
        <f>hyperlink("http://dspace.library.uu.nl/handle/1874/287926","Vreedenhorst in Vreeland Juliette Jonker-Duynstee 70-83 2012")</f>
        <v>0</v>
      </c>
    </row>
    <row r="5126" spans="2:4">
      <c r="B5126">
        <v>100</v>
      </c>
      <c r="C5126" s="1">
        <f>hyperlink("https://hetutrechtsarchief.nl/collectie/E792CC7A4EBB5678A9C77923CD5CB3EE","Donkervliet E Munnig Schmidt 84-85 2012")</f>
        <v>0</v>
      </c>
      <c r="D5126" s="1">
        <f>hyperlink("http://dspace.library.uu.nl/handle/1874/287927","Donkervliet E Munnig Schmidt 84-85 2012")</f>
        <v>0</v>
      </c>
    </row>
    <row r="5127" spans="2:4">
      <c r="B5127">
        <v>61</v>
      </c>
      <c r="C5127" s="1">
        <f>hyperlink("https://hetutrechtsarchief.nl/collectie/CE121A83727850CE8382D1CBDB6BA46D","Meer licht op P J Lutgers kunstschilder te Loenen E Munnig Schmidt 146-149 2004")</f>
        <v>0</v>
      </c>
      <c r="D5127" s="1">
        <f>hyperlink("http://dspace.library.uu.nl/handle/1874/287928","Amsterdams stadsgezicht door P J Lutgers E Munnig Schmidt 90-91 2012")</f>
        <v>0</v>
      </c>
    </row>
    <row r="5128" spans="2:4">
      <c r="B5128">
        <v>100</v>
      </c>
      <c r="C5128" s="1">
        <f>hyperlink("https://hetutrechtsarchief.nl/collectie/158B9B3548E65C8EAC9F8FDEB01513E3","Het buiten Gijnwens te Baambrugge E Munnig Schmidt 86-89 2012")</f>
        <v>0</v>
      </c>
      <c r="D5128" s="1">
        <f>hyperlink("http://dspace.library.uu.nl/handle/1874/287929","Het buiten Gijnwens te Baambrugge E Munnig Schmidt 86-89 2012")</f>
        <v>0</v>
      </c>
    </row>
    <row r="5129" spans="2:4">
      <c r="B5129">
        <v>100</v>
      </c>
      <c r="C5129" s="1">
        <f>hyperlink("https://hetutrechtsarchief.nl/collectie/DE9F69710ECA5C9E9D0FCEFB3C0BEB63","200 jaar algemene begraafplaats Zuilen Hein Vera 13-14 1982")</f>
        <v>0</v>
      </c>
      <c r="D5129" s="1">
        <f>hyperlink("http://dspace.library.uu.nl/handle/1874/287930","200 jaar algemene begraafplaats Zuilen Hein Vera 13-14 1982")</f>
        <v>0</v>
      </c>
    </row>
    <row r="5130" spans="2:4">
      <c r="B5130">
        <v>55</v>
      </c>
      <c r="C5130" s="1">
        <f>hyperlink("https://hetutrechtsarchief.nl/collectie/50A6CC646A5C547FB3C9DBD4A102FDB8","De Unie van Utrecht - K H 2-9 1929")</f>
        <v>0</v>
      </c>
      <c r="D5130" s="1">
        <f>hyperlink("http://dspace.library.uu.nl/handle/1874/287931","Opnieuw Rurik van Trajectum Herman D Baars 98-99 1982")</f>
        <v>0</v>
      </c>
    </row>
    <row r="5131" spans="2:4">
      <c r="B5131">
        <v>63</v>
      </c>
      <c r="C5131" s="1">
        <f>hyperlink("https://hetutrechtsarchief.nl/collectie/EC7D927AAC3051CDB6157C5CD77F12E7","Achttienhoven bleef achter J Belonje 110-111 1978")</f>
        <v>0</v>
      </c>
      <c r="D5131" s="1">
        <f>hyperlink("http://dspace.library.uu.nl/handle/1874/287932","Soudenbalch J Belonje 103-104 1982")</f>
        <v>0</v>
      </c>
    </row>
    <row r="5132" spans="2:4">
      <c r="B5132">
        <v>54</v>
      </c>
      <c r="C5132" s="1">
        <f>hyperlink("https://hetutrechtsarchief.nl/collectie/72C7E99229EF526DB4546CC076DC9217","De pest in Utrecht G T Haneveld 10-11 1994")</f>
        <v>0</v>
      </c>
      <c r="D5132" s="1">
        <f>hyperlink("http://dspace.library.uu.nl/handle/1874/287933","Dr Peter Hans Kylstra 2-12-1924 - 4-12-1981 G T Haneveld 105 1982")</f>
        <v>0</v>
      </c>
    </row>
    <row r="5133" spans="2:4">
      <c r="B5133">
        <v>100</v>
      </c>
      <c r="C5133" s="1">
        <f>hyperlink("https://hetutrechtsarchief.nl/collectie/E1BE65B8BA435C3BB40B3B05CA08CBF1","Een Utrechts herdenkingsbord uit 1496 A M Koldeweij 113-115 1982")</f>
        <v>0</v>
      </c>
      <c r="D5133" s="1">
        <f>hyperlink("http://dspace.library.uu.nl/handle/1874/287935","Een Utrechts herdenkingsbord uit 1496 A M Koldeweij 113-115 1982")</f>
        <v>0</v>
      </c>
    </row>
    <row r="5134" spans="2:4">
      <c r="B5134">
        <v>96</v>
      </c>
      <c r="C5134" s="1">
        <f>hyperlink("https://hetutrechtsarchief.nl/collectie/4726688BB272597881D509A631D01F32","De kamer van Hogelanden J A C Mathijssen 117-118 ill 1982")</f>
        <v>0</v>
      </c>
      <c r="D5134" s="1">
        <f>hyperlink("http://dspace.library.uu.nl/handle/1874/287936","De Kamer van Hogelanden J A C Mathijssen 117-118 1982")</f>
        <v>0</v>
      </c>
    </row>
    <row r="5135" spans="2:4">
      <c r="B5135">
        <v>96</v>
      </c>
      <c r="C5135" s="1">
        <f>hyperlink("https://hetutrechtsarchief.nl/collectie/21EDD971A60159349EC6FDD5053A6746","Domtoren eredienst en kunst Carel Peeters 121-125 1982")</f>
        <v>0</v>
      </c>
      <c r="D5135" s="1">
        <f>hyperlink("http://dspace.library.uu.nl/handle/1874/287937","Domtoren eredienst en kunst C Peeters 121-125 1982")</f>
        <v>0</v>
      </c>
    </row>
    <row r="5136" spans="2:4">
      <c r="B5136">
        <v>100</v>
      </c>
      <c r="C5136" s="1">
        <f>hyperlink("https://hetutrechtsarchief.nl/collectie/CB51175499E157ADBF94E5FBEC0C52C1","De kerkwijding van Sint Maarten Ton H M van Schaik 126-130 1982")</f>
        <v>0</v>
      </c>
      <c r="D5136" s="1">
        <f>hyperlink("http://dspace.library.uu.nl/handle/1874/287938","De kerkwijding van Sint Maarten Ton H M van Schaik 126-130 1982")</f>
        <v>0</v>
      </c>
    </row>
    <row r="5137" spans="2:4">
      <c r="B5137">
        <v>55</v>
      </c>
      <c r="C5137" s="1">
        <f>hyperlink("https://hetutrechtsarchief.nl/collectie/D78D3C487CB25C33AC268BC5627850D3","Vijftig jaar toneel in Utrecht C A Schilp 70-96 ill 1973")</f>
        <v>0</v>
      </c>
      <c r="D5137" s="1">
        <f>hyperlink("http://dspace.library.uu.nl/handle/1874/287939","Wouter Paap ontving posthuum een interessante opdracht C A Schilp 96-97 1982")</f>
        <v>0</v>
      </c>
    </row>
    <row r="5138" spans="2:4">
      <c r="B5138">
        <v>95</v>
      </c>
      <c r="C5138" s="1">
        <f>hyperlink("https://hetutrechtsarchief.nl/collectie/C779EA0D65B95B7A823734B3DFD11552","De ruimtelijke voorbereiding op de bouw van de gothische Domtoren te Utrecht J E A L Struick 130-133 ill plgr 1982")</f>
        <v>0</v>
      </c>
      <c r="D5138" s="1">
        <f>hyperlink("http://dspace.library.uu.nl/handle/1874/287940","De ruimtelijke voorbereiding op de bouw van de Gothische domtoren te Utrecht J E A L Struick 131-133 1982")</f>
        <v>0</v>
      </c>
    </row>
    <row r="5139" spans="2:4">
      <c r="B5139">
        <v>98</v>
      </c>
      <c r="C5139" s="1">
        <f>hyperlink("https://hetutrechtsarchief.nl/collectie/2953CCED61FA5C3DBD6DD981C4D9CEDF","Geschiedenis en restauratie van de Doops-gezinde kerk te Utrecht C L Temminck Groll 89-92 1982")</f>
        <v>0</v>
      </c>
      <c r="D5139" s="1">
        <f>hyperlink("http://dspace.library.uu.nl/handle/1874/287941","Geschiedenis en restauratie van de Doopsgezinde Kerk te Utrecht C L Temminck Groll 89-93 1982")</f>
        <v>0</v>
      </c>
    </row>
    <row r="5140" spans="2:4">
      <c r="B5140">
        <v>96</v>
      </c>
      <c r="C5140" s="1">
        <f>hyperlink("https://hetutrechtsarchief.nl/collectie/1816CC831E6154CE80EB858D57584864","Hoog bezoek aan onvoltooide Domtoren Louise van Tongerloo 133-135 1982")</f>
        <v>0</v>
      </c>
      <c r="D5140" s="1">
        <f>hyperlink("http://dspace.library.uu.nl/handle/1874/287942","Hoog bezoek aan onvoltooide Domtoren L van Tongerloo 133-135 1982")</f>
        <v>0</v>
      </c>
    </row>
    <row r="5141" spans="2:4">
      <c r="B5141">
        <v>95</v>
      </c>
      <c r="C5141" s="1">
        <f>hyperlink("https://hetutrechtsarchief.nl/collectie/BFEBDD7263A255E6820899EA125F141B","In memoriam Dick van Luijn J A L de Meyere 186 - 187 ill 1982")</f>
        <v>0</v>
      </c>
      <c r="D5141" s="1">
        <f>hyperlink("http://dspace.library.uu.nl/handle/1874/288004","In memoriam Dick van Luijn J A L de Meyere 186-187 1982")</f>
        <v>0</v>
      </c>
    </row>
    <row r="5142" spans="2:4">
      <c r="B5142">
        <v>98</v>
      </c>
      <c r="C5142" s="1">
        <f>hyperlink("https://hetutrechtsarchief.nl/collectie/8793E516B7C85D4C890CAB3FFBDC0B92","De militaire werken aan de Kromme Rijn J Belonje 180 - 181 1982")</f>
        <v>0</v>
      </c>
      <c r="D5142" s="1">
        <f>hyperlink("http://dspace.library.uu.nl/handle/1874/288005","De militaire werken aan de Kromme Rijn J Belonje 180-181 1982")</f>
        <v>0</v>
      </c>
    </row>
    <row r="5143" spans="2:4">
      <c r="B5143">
        <v>69</v>
      </c>
      <c r="C5143" s="1">
        <f>hyperlink("https://hetutrechtsarchief.nl/collectie/9CD10BC336C95833B0E636EAA36D3F43","Opgravingen op het Domplein 19-20 1948")</f>
        <v>0</v>
      </c>
      <c r="D5143" s="1">
        <f>hyperlink("http://dspace.library.uu.nl/handle/1874/288006","Opgravingen in De Meern 211 1982")</f>
        <v>0</v>
      </c>
    </row>
    <row r="5144" spans="2:4">
      <c r="B5144">
        <v>97</v>
      </c>
      <c r="C5144" s="1">
        <f>hyperlink("https://hetutrechtsarchief.nl/collectie/A60CB2396F395F3CB8E4F527C04D327A","Belle van Zuylen een vrouw op wie men niet raakt uitgekeken Joke van der Meer 213 - 215 ill 1982")</f>
        <v>0</v>
      </c>
      <c r="D5144" s="1">
        <f>hyperlink("http://dspace.library.uu.nl/handle/1874/288007","Belle van Zuylen een vrouw op wie men niet raakt uitgekeken Joke van der Meer 213-215 1982")</f>
        <v>0</v>
      </c>
    </row>
    <row r="5145" spans="2:4">
      <c r="B5145">
        <v>61</v>
      </c>
      <c r="C5145" s="1">
        <f>hyperlink("https://hetutrechtsarchief.nl/collectie/C6895ACA15535F3D810FF77FD0E41B39","Sanitaire toestanden te Utrecht in 1631 J Belonje 101-102 1980")</f>
        <v>0</v>
      </c>
      <c r="D5145" s="1">
        <f>hyperlink("http://dspace.library.uu.nl/handle/1874/288008","De Prins van Oranje bezocht de forten van Utrecht in 1840 J Belonje 222 1982")</f>
        <v>0</v>
      </c>
    </row>
    <row r="5146" spans="2:4">
      <c r="B5146">
        <v>99</v>
      </c>
      <c r="C5146" s="1">
        <f>hyperlink("https://hetutrechtsarchief.nl/collectie/C1FBE776939C5AF49D5CB7BECE06CEF6","De capitulatie van mei 1940 op de Dom beleefd E Bloembergen 147 - 148 1982")</f>
        <v>0</v>
      </c>
      <c r="D5146" s="1">
        <f>hyperlink("http://dspace.library.uu.nl/handle/1874/288009","De capitulatie van mei 1940 op de Dom beleefd E Bloembergen 147-148 1982")</f>
        <v>0</v>
      </c>
    </row>
    <row r="5147" spans="2:4">
      <c r="B5147">
        <v>98</v>
      </c>
      <c r="C5147" s="1">
        <f>hyperlink("https://hetutrechtsarchief.nl/collectie/105C2B4D57AF5A50BF433C90E90C6F0D","Mariaplaats 9 het zomerhuis van Evert Zoudenbalch Martin W J de Bruijn 215 - 217 1982")</f>
        <v>0</v>
      </c>
      <c r="D5147" s="1">
        <f>hyperlink("http://dspace.library.uu.nl/handle/1874/288010","Mariaplaats 9 het zomerhuis van Evert Zoudenbalch Martin W J de Bruijn 215-218 1982")</f>
        <v>0</v>
      </c>
    </row>
    <row r="5148" spans="2:4">
      <c r="B5148">
        <v>58</v>
      </c>
      <c r="C5148" s="1">
        <f>hyperlink("https://hetutrechtsarchief.nl/collectie/04EEA10A4D525B43B3CAFB99FDA6BE36","De kerk in het midden - maar hoe J Kronenburg 23-24 1986")</f>
        <v>0</v>
      </c>
      <c r="D5148" s="1">
        <f>hyperlink("http://dspace.library.uu.nl/handle/1874/288011","De tekenaar van de Doopsgezinde kerk en haar orgel A P J van der Burg 222-223 1982")</f>
        <v>0</v>
      </c>
    </row>
    <row r="5149" spans="2:4">
      <c r="B5149">
        <v>97</v>
      </c>
      <c r="C5149" s="1">
        <f>hyperlink("https://hetutrechtsarchief.nl/collectie/71477E4519C4521B917102CD98664ED3","Bouwen in beschermd stadsgezicht enkele opmerkingen t b v de rondwandeling d d 16 oktober 1982 H Dam 177 - 179 ill 1982")</f>
        <v>0</v>
      </c>
      <c r="D5149" s="1">
        <f>hyperlink("http://dspace.library.uu.nl/handle/1874/288012","Bouwen in beschermd stadsgezicht enkele opmerkingen t b v de rondwandeling d d 16 oktober 1982 H Dam 177-179 1982")</f>
        <v>0</v>
      </c>
    </row>
    <row r="5150" spans="2:4">
      <c r="B5150">
        <v>60</v>
      </c>
      <c r="C5150" s="1">
        <f>hyperlink("https://hetutrechtsarchief.nl/collectie/5CF2E30E2B9F55EC8615B65D1A664A4F","Een oude kloosterkroniek P H Damst 199-209 1945")</f>
        <v>0</v>
      </c>
      <c r="D5150" s="1">
        <f>hyperlink("http://dspace.library.uu.nl/handle/1874/288013","Een schout staat voor schut P H Damst 218-220 1982")</f>
        <v>0</v>
      </c>
    </row>
    <row r="5151" spans="2:4">
      <c r="B5151">
        <v>93</v>
      </c>
      <c r="C5151" s="1">
        <f>hyperlink("https://hetutrechtsarchief.nl/collectie/D88C24AD40C55D2C9F1ABD1481029D04","Utrecht - orgelstad een inventarisatie van orgels in kerken en kapellen in de stad Utrecht in tabelvorm Gert Oost 157 - 173 ill 1982")</f>
        <v>0</v>
      </c>
      <c r="D5151" s="1">
        <f>hyperlink("http://dspace.library.uu.nl/handle/1874/288014","Utrecht - orgelstad een inventarisatie van orgels in kerken en kapellen in de stad Utrecht in tabelvorm Gert Graafhuis A Oost 157-173 1982")</f>
        <v>0</v>
      </c>
    </row>
    <row r="5152" spans="2:4">
      <c r="B5152">
        <v>97</v>
      </c>
      <c r="C5152" s="1">
        <f>hyperlink("https://hetutrechtsarchief.nl/collectie/8358E496176C54A79B9A6B37D6E05E0F","Patriotten prinsgezinden en persvrijheid in Utrecht omstreeks 1800 P D t Hart 193 - 195 ill 1982")</f>
        <v>0</v>
      </c>
      <c r="D5152" s="1">
        <f>hyperlink("http://dspace.library.uu.nl/handle/1874/288015","Patriotten prinsgezinden en persvrijheid in Utrecht omstreeks 1800 P D t Hart 193-195 1982")</f>
        <v>0</v>
      </c>
    </row>
    <row r="5153" spans="2:4">
      <c r="B5153">
        <v>97</v>
      </c>
      <c r="C5153" s="1">
        <f>hyperlink("https://hetutrechtsarchief.nl/collectie/AA288B9E2F2E5ED298F7964DBBD46905","De Historische Kring te Utrecht 1947 - 1957 P van Hees 201 - 209 1982")</f>
        <v>0</v>
      </c>
      <c r="D5153" s="1">
        <f>hyperlink("http://dspace.library.uu.nl/handle/1874/288016","De Historische Kring te Utrecht 1947-1957 P van Hees 201-209 1982")</f>
        <v>0</v>
      </c>
    </row>
    <row r="5154" spans="2:4">
      <c r="B5154">
        <v>96</v>
      </c>
      <c r="C5154" s="1">
        <f>hyperlink("https://hetutrechtsarchief.nl/collectie/B5E75DD517155C528D459704A275D009","De steen- pan- en tegelbakkerijen de Zonnebloem I en II F H Landzaat 189 - 192 ill 1982")</f>
        <v>0</v>
      </c>
      <c r="D5154" s="1">
        <f>hyperlink("http://dspace.library.uu.nl/handle/1874/288017","De steen- pan- en tegelbakkerijen De Zonnebloem I en II F H Landzaat 189-192 1982")</f>
        <v>0</v>
      </c>
    </row>
    <row r="5155" spans="2:4">
      <c r="B5155">
        <v>96</v>
      </c>
      <c r="C5155" s="1">
        <f>hyperlink("https://hetutrechtsarchief.nl/collectie/F0C8C35539FD5FCC9BD98ED4E25DC750","Het orgel van de Doopsgezinde kerk te Utrecht teruggevonden in de Vredeskerk te Katwijk Gert Oost 174 - 176 ill 1982")</f>
        <v>0</v>
      </c>
      <c r="D5155" s="1">
        <f>hyperlink("http://dspace.library.uu.nl/handle/1874/288018","Het orgel van de Doopsgezinde Kerk te Utrecht teruggevonden in de Vredeskerk te Katwijk G Oost 174-176 1982")</f>
        <v>0</v>
      </c>
    </row>
    <row r="5156" spans="2:4">
      <c r="B5156">
        <v>100</v>
      </c>
      <c r="C5156" s="1">
        <f>hyperlink("https://hetutrechtsarchief.nl/collectie/B5CA9E9152175E42A6E68AE8BE8CE2DF","De Domtoren op penningen F A M Pietersen 148-154 1982")</f>
        <v>0</v>
      </c>
      <c r="D5156" s="1">
        <f>hyperlink("http://dspace.library.uu.nl/handle/1874/288019","De Domtoren op penningen F A M Pietersen 148-154 1982")</f>
        <v>0</v>
      </c>
    </row>
    <row r="5157" spans="2:4">
      <c r="B5157">
        <v>99</v>
      </c>
      <c r="C5157" s="1">
        <f>hyperlink("https://hetutrechtsarchief.nl/collectie/97AF5935402A5230913B166D5A824BC3","De Dom van Utrecht bij Jan Baptist Stalpart van der Wiele C H Staal 140 - 146 1982")</f>
        <v>0</v>
      </c>
      <c r="D5157" s="1">
        <f>hyperlink("http://dspace.library.uu.nl/handle/1874/288020","De Dom van Utrecht bij Jan Baptist Stalpart van der Wiele C H Staal 140-146 1982")</f>
        <v>0</v>
      </c>
    </row>
    <row r="5158" spans="2:4">
      <c r="B5158">
        <v>100</v>
      </c>
      <c r="C5158" s="1">
        <f>hyperlink("https://hetutrechtsarchief.nl/collectie/E2AD15F7273D5229AFF0815EC76A607A","Tegen de Utrechtse toren Geert Groote s tractaat in het licht van de traditie van de kerkvaders en de middeleeuwse kerk A H J Wildschut 135-140 1982")</f>
        <v>0</v>
      </c>
      <c r="D5158" s="1">
        <f>hyperlink("http://dspace.library.uu.nl/handle/1874/288021","Tegen de Utrechtse toren Geert Groote s tractaat in het licht van de traditie van de kerkvaders en de middeleeuwse kerk A H J Wilschut 135-140 1982")</f>
        <v>0</v>
      </c>
    </row>
    <row r="5159" spans="2:4">
      <c r="B5159">
        <v>55</v>
      </c>
      <c r="C5159" s="1">
        <f>hyperlink("https://hetutrechtsarchief.nl/collectie/D0917B8F8CF453AEB443711816A04469","De voordelen van het wonen en het werken in de stad worden weer onderkend 8-10 portr 1983")</f>
        <v>0</v>
      </c>
      <c r="D5159" s="1">
        <f>hyperlink("http://dspace.library.uu.nl/handle/1874/288136","Een boerderij uit de Romeinse tijd opgegraven in de Batau-Noord in Nieuwegein R J Ooyevaar 1-3 1983")</f>
        <v>0</v>
      </c>
    </row>
    <row r="5160" spans="2:4">
      <c r="B5160">
        <v>94</v>
      </c>
      <c r="C5160" s="1">
        <f>hyperlink("https://hetutrechtsarchief.nl/collectie/8D4E86EA37B1595D84E2C3420102DD6E","De Utrechtse van Bemmels J de Lange 3 - 9 ill 1983")</f>
        <v>0</v>
      </c>
      <c r="D5160" s="1">
        <f>hyperlink("http://dspace.library.uu.nl/handle/1874/288137","De Utrechtse Van Bemmels J de Lange 3-9 1983")</f>
        <v>0</v>
      </c>
    </row>
    <row r="5161" spans="2:4">
      <c r="B5161">
        <v>69</v>
      </c>
      <c r="C5161" s="1">
        <f>hyperlink("https://hetutrechtsarchief.nl/collectie/FC509781EB985F9B9E3DC133F6C368F0","In memoriam Gerard Wellen Casper Staal 18-19 2010")</f>
        <v>0</v>
      </c>
      <c r="D5161" s="1">
        <f>hyperlink("http://dspace.library.uu.nl/handle/1874/288191","In memoriam J F J Hoeting Casper Staal 161 1983")</f>
        <v>0</v>
      </c>
    </row>
    <row r="5162" spans="2:4">
      <c r="B5162">
        <v>58</v>
      </c>
      <c r="C5162" s="1">
        <f>hyperlink("https://hetutrechtsarchief.nl/collectie/BC90834620A657E6AC43EDE2D497DAF7","De Bilt met een d P H Damst 17-19 1969")</f>
        <v>0</v>
      </c>
      <c r="D5162" s="1">
        <f>hyperlink("http://dspace.library.uu.nl/handle/1874/288192","De Bildt 30 Juni 1842 tekst en uitleg van een brief P H Damst 18-21 1983")</f>
        <v>0</v>
      </c>
    </row>
    <row r="5163" spans="2:4">
      <c r="B5163">
        <v>92</v>
      </c>
      <c r="C5163" s="1">
        <f>hyperlink("https://hetutrechtsarchief.nl/collectie/6E7B230D3C7E5E77B95FDFF9486E9F1E","Catharijneconvent verwerft grafplaat C S 160 ill 1983")</f>
        <v>0</v>
      </c>
      <c r="D5163" s="1">
        <f>hyperlink("http://dspace.library.uu.nl/handle/1874/288193","Catharijneconvent verwerft grafplaat C Staal 160 1983")</f>
        <v>0</v>
      </c>
    </row>
    <row r="5164" spans="2:4">
      <c r="B5164">
        <v>93</v>
      </c>
      <c r="C5164" s="1">
        <f>hyperlink("https://hetutrechtsarchief.nl/collectie/21382F305B0C561DBFDFDE9AD6C76C8C","Utrecht bij de tijd M J Hagen 153 - 158 ill 1983")</f>
        <v>0</v>
      </c>
      <c r="D5164" s="1">
        <f>hyperlink("http://dspace.library.uu.nl/handle/1874/288194","Utrecht bij de tijd M J Hagen 153-158 1983")</f>
        <v>0</v>
      </c>
    </row>
    <row r="5165" spans="2:4">
      <c r="B5165">
        <v>96</v>
      </c>
      <c r="C5165" s="1">
        <f>hyperlink("https://hetutrechtsarchief.nl/collectie/C74EEC230D275DA1B2442DD9E4D26851","Anderhalve eeuw Tivoli J N van der Meulen 165-172 ill 1983")</f>
        <v>0</v>
      </c>
      <c r="D5165" s="1">
        <f>hyperlink("http://dspace.library.uu.nl/handle/1874/288195","Anderhalve eeuw Tivoli J N van der Meulen 165-172 1983")</f>
        <v>0</v>
      </c>
    </row>
    <row r="5166" spans="2:4">
      <c r="B5166">
        <v>91</v>
      </c>
      <c r="C5166" s="1">
        <f>hyperlink("https://hetutrechtsarchief.nl/collectie/DACEBAAA570D54B89E1D8787088312FE","De Fundatie van Vrouwe Maria van Pallaes door Hendrick Bloemaert 1657 Gerianne Offringa en Warner Hidden 14-17 ill 1983")</f>
        <v>0</v>
      </c>
      <c r="D5166" s="1">
        <f>hyperlink("http://dspace.library.uu.nl/handle/1874/288196","De Fundatie van Vrouwe Maria Van Pallaes door Hendrick Bloemaert 1657 Warner Offringa Gerianne Hidden 14-17 1983")</f>
        <v>0</v>
      </c>
    </row>
    <row r="5167" spans="2:4">
      <c r="B5167">
        <v>57</v>
      </c>
      <c r="C5167" s="1">
        <f>hyperlink("https://hetutrechtsarchief.nl/collectie/7C837DA680225ED69EC900BBD560DA94","Van den ondergang gered - K 25-28 1935")</f>
        <v>0</v>
      </c>
      <c r="D5167" s="1">
        <f>hyperlink("http://dspace.library.uu.nl/handle/1874/288197","Van waar de naam Godin de Beaufort W A G Perks 22 1983")</f>
        <v>0</v>
      </c>
    </row>
    <row r="5168" spans="2:4">
      <c r="B5168">
        <v>56</v>
      </c>
      <c r="C5168" s="1">
        <f>hyperlink("https://hetutrechtsarchief.nl/collectie/67E8F67C6CBE56B2929B360959998ED8","Huis Oudaen als museum Trajectense A van Hulzen en D P Snoep 103-105 1981")</f>
        <v>0</v>
      </c>
      <c r="D5168" s="1">
        <f>hyperlink("http://dspace.library.uu.nl/handle/1874/288198","Het kleine bouwen vier eeuwen maquettes in Nederland D P Snoep 159 1983")</f>
        <v>0</v>
      </c>
    </row>
    <row r="5169" spans="2:4">
      <c r="B5169">
        <v>97</v>
      </c>
      <c r="C5169" s="1">
        <f>hyperlink("https://hetutrechtsarchief.nl/collectie/F2C822728B86594F97B39585D8DB0C32","De katholieken in Utrecht 1580 - 1672 Niek Boukema 177-180 ill 1983")</f>
        <v>0</v>
      </c>
      <c r="D5169" s="1">
        <f>hyperlink("http://dspace.library.uu.nl/handle/1874/288284","De katholieken in Utrecht 1580 - 1672 Niek Boukema 177-180 1983")</f>
        <v>0</v>
      </c>
    </row>
    <row r="5170" spans="2:4">
      <c r="B5170">
        <v>98</v>
      </c>
      <c r="C5170" s="1">
        <f>hyperlink("https://hetutrechtsarchief.nl/collectie/FE1231974C48579A93FE0EECC48B8AA2","Catharina van Renn s vierdelige platencassette rond Catharina van Renn s ter gelegenheid van haar honderd vijf en twintigste geboortejaar Nancy van der Elst 181-182 ill 1983")</f>
        <v>0</v>
      </c>
      <c r="D5170" s="1">
        <f>hyperlink("http://dspace.library.uu.nl/handle/1874/288285","Catharina van Renn s vierdelige platencassette rond Catharina van Renn s ter gelegenheid van haar honderd vijf en twintigste geboortejaar N van der Elst 181-182 1983")</f>
        <v>0</v>
      </c>
    </row>
    <row r="5171" spans="2:4">
      <c r="B5171">
        <v>91</v>
      </c>
      <c r="C5171" s="1">
        <f>hyperlink("https://hetutrechtsarchief.nl/collectie/0217AF78D17051E7B57FAC6F4368B1CA","60 jaar Oud-Utrecht een fotoreportage E Jansen en G J R hner 189-193 ill 1983")</f>
        <v>0</v>
      </c>
      <c r="D5171" s="1">
        <f>hyperlink("http://dspace.library.uu.nl/handle/1874/288286","60 Jaar Oud-Utrecht een fotoreportage G J Jansen E R hner 189-193 1983")</f>
        <v>0</v>
      </c>
    </row>
    <row r="5172" spans="2:4">
      <c r="B5172">
        <v>98</v>
      </c>
      <c r="C5172" s="1">
        <f>hyperlink("https://hetutrechtsarchief.nl/collectie/7D17B754F45A507481CB61BD23BE993C","Geschiedenis van het Ridderschapshuis te Utrecht 1781-heden L M Rutgers van Rozenburg 172-174 ill 1983")</f>
        <v>0</v>
      </c>
      <c r="D5172" s="1">
        <f>hyperlink("http://dspace.library.uu.nl/handle/1874/288287","Geschiedenis van het Ridderschapshuis te Utrecht 1781-heden L M Rutgers van Rozenburg 172-174 1983")</f>
        <v>0</v>
      </c>
    </row>
    <row r="5173" spans="2:4">
      <c r="B5173">
        <v>98</v>
      </c>
      <c r="C5173" s="1">
        <f>hyperlink("https://hetutrechtsarchief.nl/collectie/C2F551E64FD5535DB4139ECC00C38848","Oud-katholieken in Utrecht voor belangrijke beslissingen drie historische kerkgebouwen in het geding Ton van Schaik 194 - 196 ill 1983")</f>
        <v>0</v>
      </c>
      <c r="D5173" s="1">
        <f>hyperlink("http://dspace.library.uu.nl/handle/1874/288288","Oud-Katholieken in Utrecht voor belangrijke beslissingen drie historische kerkgebouwen in het geding Ton van Schaik 194-196 1983")</f>
        <v>0</v>
      </c>
    </row>
    <row r="5174" spans="2:4">
      <c r="B5174">
        <v>55</v>
      </c>
      <c r="C5174" s="1">
        <f>hyperlink("https://hetutrechtsarchief.nl/collectie/13E9868E23405CA29CBC6FE47E0DB59B","Wetensw aardigheden uit oude maandbladen van Oud-Utrecht Tj Pot 44-51 ill portr 1998")</f>
        <v>0</v>
      </c>
      <c r="D5174" s="1">
        <f>hyperlink("http://dspace.library.uu.nl/handle/1874/288289","De plattegrond van N van der Monde uit 1839 aanbieding aan de leden van Oud-Utrecht C Staal 197 1983")</f>
        <v>0</v>
      </c>
    </row>
    <row r="5175" spans="2:4">
      <c r="B5175">
        <v>62</v>
      </c>
      <c r="C5175" s="1">
        <f>hyperlink("https://hetutrechtsarchief.nl/collectie/8AED7513981D5E69B7FC13256709EF62","Klokkenspel Kees van den Berg 6-9 1985")</f>
        <v>0</v>
      </c>
      <c r="D5175" s="1">
        <f>hyperlink("http://dspace.library.uu.nl/handle/1874/288290","De klokken van Woudenberg C Staal 183 1983")</f>
        <v>0</v>
      </c>
    </row>
    <row r="5176" spans="2:4">
      <c r="B5176">
        <v>58</v>
      </c>
      <c r="C5176" s="1">
        <f>hyperlink("https://hetutrechtsarchief.nl/collectie/E97439FA6A31566D896C74C026574E2A","Manenburg - K 90 1934")</f>
        <v>0</v>
      </c>
      <c r="D5176" s="1">
        <f>hyperlink("http://dspace.library.uu.nl/handle/1874/288304","Molen Kranenburg G A Wildschut 30-31 1984")</f>
        <v>0</v>
      </c>
    </row>
    <row r="5177" spans="2:4">
      <c r="B5177">
        <v>97</v>
      </c>
      <c r="C5177" s="1">
        <f>hyperlink("https://hetutrechtsarchief.nl/collectie/13CA040EA44357619A94224DAA1FD18D","De laatste dagen van Nicolaas Beets Jan J van Herpen 57-58 ill 1984")</f>
        <v>0</v>
      </c>
      <c r="D5177" s="1">
        <f>hyperlink("http://dspace.library.uu.nl/handle/1874/288305","De laatste dagen van Nicolaas Beets Jan J van Herpen 57-58 1984")</f>
        <v>0</v>
      </c>
    </row>
    <row r="5178" spans="2:4">
      <c r="B5178">
        <v>97</v>
      </c>
      <c r="C5178" s="1">
        <f>hyperlink("https://hetutrechtsarchief.nl/collectie/21F51551FB415EC087795BF87ECEFD81","Notities over de steen- pannen- en tegelbakkerijen langs de Vecht en de Vaartse Rijn F H Landzaat 201 - 206 ill 1983")</f>
        <v>0</v>
      </c>
      <c r="D5178" s="1">
        <f>hyperlink("http://dspace.library.uu.nl/handle/1874/288306","Notities over de steen- pannen- en tegelbakkerijen langs de Vecht en de Vaartse Rijn F H Landzaat 201-206 1983")</f>
        <v>0</v>
      </c>
    </row>
    <row r="5179" spans="2:4">
      <c r="B5179">
        <v>56</v>
      </c>
      <c r="C5179" s="1">
        <f>hyperlink("https://hetutrechtsarchief.nl/collectie/DBE66DB321465EAB91443F3633FE7088","De korenmolen van Veldhuizen T Bruntink 44-49 1998")</f>
        <v>0</v>
      </c>
      <c r="D5179" s="1">
        <f>hyperlink("http://dspace.library.uu.nl/handle/1874/288307","Heeft de korenmolen van IJsselstein een valse bij naam R J Ooyevaar 8-9 1984")</f>
        <v>0</v>
      </c>
    </row>
    <row r="5180" spans="2:4">
      <c r="B5180">
        <v>58</v>
      </c>
      <c r="C5180" s="1">
        <f>hyperlink("https://hetutrechtsarchief.nl/collectie/1816CC831E6154CE80EB858D57584864","Hoog bezoek aan onvoltooide Domtoren Louise van Tongerloo 133-135 1982")</f>
        <v>0</v>
      </c>
      <c r="D5180" s="1">
        <f>hyperlink("http://dspace.library.uu.nl/handle/1874/288308","Vrouwenklooster ontvangen glazen en verleende memories Louise van Tongerloo 37-40 nr 5 p 53-56 1984")</f>
        <v>0</v>
      </c>
    </row>
    <row r="5181" spans="2:4">
      <c r="B5181">
        <v>97</v>
      </c>
      <c r="C5181" s="1">
        <f>hyperlink("https://hetutrechtsarchief.nl/collectie/88122CE112265D838CB9EE0D33852F51","Willem Stooker Maarssen 24 februari 1892 - Utrecht 22 juli 1983 C L Temminck Groll 206 ill 1983")</f>
        <v>0</v>
      </c>
      <c r="D5181" s="1">
        <f>hyperlink("http://dspace.library.uu.nl/handle/1874/288309","Willem Stooker Maarssen 24 februari 1892 - Utrecht 22 juli 1983 C L Temminck Groll 206-208 1983")</f>
        <v>0</v>
      </c>
    </row>
    <row r="5182" spans="2:4">
      <c r="B5182">
        <v>62</v>
      </c>
      <c r="C5182" s="1">
        <f>hyperlink("https://hetutrechtsarchief.nl/collectie/9E209AAF542D5761A672DAFB480C1328","De ligging van Eiteren R J Ooyevaar 18-30 2017")</f>
        <v>0</v>
      </c>
      <c r="D5182" s="1">
        <f>hyperlink("http://dspace.library.uu.nl/handle/1874/288310","Nieuwegein en het Gein R J Ooyevaar 208-211 1983")</f>
        <v>0</v>
      </c>
    </row>
    <row r="5183" spans="2:4">
      <c r="B5183">
        <v>60</v>
      </c>
      <c r="C5183" s="1">
        <f>hyperlink("https://hetutrechtsarchief.nl/collectie/A216AF3C83325E4D82B001467E63434D","Onbekende buitenplaats te Loenersloot J Belonje 61-62 1971")</f>
        <v>0</v>
      </c>
      <c r="D5183" s="1">
        <f>hyperlink("http://dspace.library.uu.nl/handle/1874/288311","Een oud woonhuis te Rhenen J Belonje 246-248 1983")</f>
        <v>0</v>
      </c>
    </row>
    <row r="5184" spans="2:4">
      <c r="B5184">
        <v>59</v>
      </c>
      <c r="C5184" s="1">
        <f>hyperlink("https://hetutrechtsarchief.nl/collectie/77270278F648E433E0534701000AB084","Een aanwinst voor het museum Christus en de Samaritaanse vrouw Annabel Dijkema 24-26 2018")</f>
        <v>0</v>
      </c>
      <c r="D5184" s="1">
        <f>hyperlink("http://dspace.library.uu.nl/handle/1874/288312","Belangrijke aanwinst voor het Streekmuseum Rhenen pelgrimsteken St Cunera Trudy Heijenga 211-212 1983")</f>
        <v>0</v>
      </c>
    </row>
    <row r="5185" spans="2:4">
      <c r="B5185">
        <v>96</v>
      </c>
      <c r="C5185" s="1">
        <f>hyperlink("https://hetutrechtsarchief.nl/collectie/6DF8CB6379195B6D807596E88703D5EF","Een inventieve Utrechtse essayeur V J M Koningsberger 230 - 231 ill 1983")</f>
        <v>0</v>
      </c>
      <c r="D5185" s="1">
        <f>hyperlink("http://dspace.library.uu.nl/handle/1874/288313","Een inventieve Utrechtse essayeur V J M Koningsberger 230-231 1983")</f>
        <v>0</v>
      </c>
    </row>
    <row r="5186" spans="2:4">
      <c r="B5186">
        <v>97</v>
      </c>
      <c r="C5186" s="1">
        <f>hyperlink("https://hetutrechtsarchief.nl/collectie/F7495F1FA46E559BACF86E60A14811DD","De restauratie van het Roede Boeck voltooid A Graafhuis 33-36 ill 1984")</f>
        <v>0</v>
      </c>
      <c r="D5186" s="1">
        <f>hyperlink("http://dspace.library.uu.nl/handle/1874/288314","De restauratie van het Roede Boeck voltooid A Graafhuis 33-36 1984")</f>
        <v>0</v>
      </c>
    </row>
    <row r="5187" spans="2:4">
      <c r="B5187">
        <v>51</v>
      </c>
      <c r="C5187" s="1">
        <f>hyperlink("https://hetutrechtsarchief.nl/collectie/C8F0B10DEBBE580BAB5A842DE1EDD6BC","In memoriam Dr C A Pekelharing 19 Juli 1848 - 18 September 1922 H Zwaardemaker Cz 193-196 1923")</f>
        <v>0</v>
      </c>
      <c r="D5187" s="1">
        <f>hyperlink("http://dspace.library.uu.nl/handle/1874/288315","Rietveld als meubelmaker wonen met experimenten 1900-1924 16 juli t m 11 september 1983 H Schopping 199 1983")</f>
        <v>0</v>
      </c>
    </row>
    <row r="5188" spans="2:4">
      <c r="B5188">
        <v>69</v>
      </c>
      <c r="C5188" s="1">
        <f>hyperlink("https://hetutrechtsarchief.nl/collectie/105C2B4D57AF5A50BF433C90E90C6F0D","Mariaplaats 9 het zomerhuis van Evert Zoudenbalch Martin W J de Bruijn 215 - 217 1982")</f>
        <v>0</v>
      </c>
      <c r="D5188" s="1">
        <f>hyperlink("http://dspace.library.uu.nl/handle/1874/288316","Mariaplaats 13 en het zegelstempel van de clericus Jan van Slewijc Martin W J de Bruijn 221 1983")</f>
        <v>0</v>
      </c>
    </row>
    <row r="5189" spans="2:4">
      <c r="B5189">
        <v>99</v>
      </c>
      <c r="C5189" s="1">
        <f>hyperlink("https://hetutrechtsarchief.nl/collectie/FCF6550E40B558FDA86C4EDEE514306D","De ontstaansgeschiedenis van het poortgebouw van Zoudenbalch in de Mariastraat te Utrecht Martin W J de Bruijn 232 - 233 1983")</f>
        <v>0</v>
      </c>
      <c r="D5189" s="1">
        <f>hyperlink("http://dspace.library.uu.nl/handle/1874/288317","De ontstaansgeschiedenis van het Poortgebouw van Zoudenbalch in de Mariastraat te Utrecht Martin W J de Bruijn 232-233 1983")</f>
        <v>0</v>
      </c>
    </row>
    <row r="5190" spans="2:4">
      <c r="B5190">
        <v>100</v>
      </c>
      <c r="C5190" s="1">
        <f>hyperlink("https://hetutrechtsarchief.nl/collectie/4AAC53BE9B265CEFBA969F335BF16A0D","De Vicus Tastcunt het gebied ten noorden van de Geertekerk Martin W J de Bruijn 244-245 1983")</f>
        <v>0</v>
      </c>
      <c r="D5190" s="1">
        <f>hyperlink("http://dspace.library.uu.nl/handle/1874/288318","De vicus Tastcunt het gebied ten noorden van de Geertekerk Martin W J de Bruijn 244-245 1983")</f>
        <v>0</v>
      </c>
    </row>
    <row r="5191" spans="2:4">
      <c r="B5191">
        <v>97</v>
      </c>
      <c r="C5191" s="1">
        <f>hyperlink("https://hetutrechtsarchief.nl/collectie/2E20A37DD4855A0AA8508AEE0E57A887","Wat aan de verhuizing van het Utrechtse stads-archief naar de Drift voorafging A Graafhuis 213 - 220 ill 1983")</f>
        <v>0</v>
      </c>
      <c r="D5191" s="1">
        <f>hyperlink("http://dspace.library.uu.nl/handle/1874/288319","Wat aan de verhuizing van het Utrechtse Stads-Archief naar de Drift voorafging A Graafhuis 213-220 1983")</f>
        <v>0</v>
      </c>
    </row>
    <row r="5192" spans="2:4">
      <c r="B5192">
        <v>96</v>
      </c>
      <c r="C5192" s="1">
        <f>hyperlink("https://hetutrechtsarchief.nl/collectie/1C676D489EF354C9B58087CF7935BE52","Het portret van aartsbisschop Petrus Meindaerts Dianne Hamer 225 - 227 ill 1983")</f>
        <v>0</v>
      </c>
      <c r="D5192" s="1">
        <f>hyperlink("http://dspace.library.uu.nl/handle/1874/288320","Het portret van aartsbisschop Petrus Meindaerts Dianne Hamer 225-227 1983")</f>
        <v>0</v>
      </c>
    </row>
    <row r="5193" spans="2:4">
      <c r="B5193">
        <v>59</v>
      </c>
      <c r="C5193" s="1">
        <f>hyperlink("https://hetutrechtsarchief.nl/collectie/7E5F4861E1CE5AFDA0E3D897E228517A","Boekdrukkunst in Utrecht L E Bosch 234-243 1862")</f>
        <v>0</v>
      </c>
      <c r="D5193" s="1">
        <f>hyperlink("http://dspace.library.uu.nl/handle/1874/288321","Klokkenkunst te Utrecht tot 1700 boekenschouw A M Koldeweij 240-243 1983")</f>
        <v>0</v>
      </c>
    </row>
    <row r="5194" spans="2:4">
      <c r="B5194">
        <v>95</v>
      </c>
      <c r="C5194" s="1">
        <f>hyperlink("https://hetutrechtsarchief.nl/collectie/715270FFB922523188A8B014EA2D49C6","De Utrechtse Windesheimers A K de Meijer 228 - 230 ill 1983")</f>
        <v>0</v>
      </c>
      <c r="D5194" s="1">
        <f>hyperlink("http://dspace.library.uu.nl/handle/1874/288322","De Utrechtse Windesheimers A K de Meijer 228-230 1983")</f>
        <v>0</v>
      </c>
    </row>
    <row r="5195" spans="2:4">
      <c r="B5195">
        <v>56</v>
      </c>
      <c r="C5195" s="1">
        <f>hyperlink("https://hetutrechtsarchief.nl/collectie/67055AC025115105A51131B082211163","Necrologium van St Salvator A A J van Rossum 1-56 212-258 347-373 1883")</f>
        <v>0</v>
      </c>
      <c r="D5195" s="1">
        <f>hyperlink("http://dspace.library.uu.nl/handle/1874/288323","De Dom sloeg zevenmaal K W J van Rossum 238-239 1983")</f>
        <v>0</v>
      </c>
    </row>
    <row r="5196" spans="2:4">
      <c r="B5196">
        <v>100</v>
      </c>
      <c r="C5196" s="1">
        <f>hyperlink("https://hetutrechtsarchief.nl/collectie/365E36DE163251879FFAA5B0FBCD04B6","Een hoofdstuk uit de Utrechtse journalistiek J van Staveren 13-19 1984")</f>
        <v>0</v>
      </c>
      <c r="D5196" s="1">
        <f>hyperlink("http://dspace.library.uu.nl/handle/1874/288324","Een hoofdstuk uit de Utrechtse journalistiek J van Staveren 13-19 1984")</f>
        <v>0</v>
      </c>
    </row>
    <row r="5197" spans="2:4">
      <c r="B5197">
        <v>65</v>
      </c>
      <c r="C5197" s="1">
        <f>hyperlink("https://hetutrechtsarchief.nl/collectie/983E9354AAC9582FBCEEB0FB2CB2D7F4","Langs Utrechtse geveltekens 3 Stichting Het Utrechts Gevelteken Fonds 45-51 ill 1986")</f>
        <v>0</v>
      </c>
      <c r="D5197" s="1">
        <f>hyperlink("http://dspace.library.uu.nl/handle/1874/288325","Langs Utrechtse geveltekens Het Utrechts Geveltekenfonds 21-24 nr 5 p 45-52 nr 10 p 157-166 jg 59 1986 nr 5 p 45-51 1984-1986")</f>
        <v>0</v>
      </c>
    </row>
    <row r="5198" spans="2:4">
      <c r="B5198">
        <v>98</v>
      </c>
      <c r="C5198" s="1">
        <f>hyperlink("https://hetutrechtsarchief.nl/collectie/092201EAC4FF5BCC81CB134DA84889E0","Crabeth s Egmond s en glazen voor de Catharijnekerk Louise van Tongerloo 1-8 ill 1984")</f>
        <v>0</v>
      </c>
      <c r="D5198" s="1">
        <f>hyperlink("http://dspace.library.uu.nl/handle/1874/288326","Crabeth s Egmond s en glazen voor de Catharijnekerk Louise van Tongerloo 1-8 1984")</f>
        <v>0</v>
      </c>
    </row>
    <row r="5199" spans="2:4">
      <c r="B5199">
        <v>96</v>
      </c>
      <c r="C5199" s="1">
        <f>hyperlink("https://hetutrechtsarchief.nl/collectie/DB9CE7FAE72F5BFE936BCB363E1BEE90","De koorbanken van de Janskerk J A J M Verspaandonk 25-29 ill 1984")</f>
        <v>0</v>
      </c>
      <c r="D5199" s="1">
        <f>hyperlink("http://dspace.library.uu.nl/handle/1874/288327","De koorbanken van de Janskerk J A J M Verspaandonck 25-29 1984")</f>
        <v>0</v>
      </c>
    </row>
    <row r="5200" spans="2:4">
      <c r="B5200">
        <v>100</v>
      </c>
      <c r="C5200" s="1">
        <f>hyperlink("https://hetutrechtsarchief.nl/collectie/3C5D586982335E05A2984A511DC03A8E","Gymnasium en liefde V A M van der Burg 74 1984")</f>
        <v>0</v>
      </c>
      <c r="D5200" s="1">
        <f>hyperlink("http://dspace.library.uu.nl/handle/1874/288338","Gymnasium en liefde V A M van der Burg 74 1984")</f>
        <v>0</v>
      </c>
    </row>
    <row r="5201" spans="2:4">
      <c r="B5201">
        <v>97</v>
      </c>
      <c r="C5201" s="1">
        <f>hyperlink("https://hetutrechtsarchief.nl/collectie/168211D9F69B54F98E5DDBA98D263D6F","Ondergang dreigt voor de 2e Buurkerksteeg Edsard M Kylstra 73-74 ill 1984")</f>
        <v>0</v>
      </c>
      <c r="D5201" s="1">
        <f>hyperlink("http://dspace.library.uu.nl/handle/1874/288339","Ondergang dreigt voor de 2e Buurkerksteeg Edsard M Kylstra 73-74 1984")</f>
        <v>0</v>
      </c>
    </row>
    <row r="5202" spans="2:4">
      <c r="B5202">
        <v>96</v>
      </c>
      <c r="C5202" s="1">
        <f>hyperlink("https://hetutrechtsarchief.nl/collectie/7159F9AF072B54E4A6509544D5FF58F7","De componist Johannes Brahms en zijn muziek in Utrecht Niek Boukema 67-71 ill 1984")</f>
        <v>0</v>
      </c>
      <c r="D5202" s="1">
        <f>hyperlink("http://dspace.library.uu.nl/handle/1874/288340","De componist Johannes Brahms en zijn muziek in Utrecht Niek Boukema 69-71 1984")</f>
        <v>0</v>
      </c>
    </row>
    <row r="5203" spans="2:4">
      <c r="B5203">
        <v>98</v>
      </c>
      <c r="C5203" s="1">
        <f>hyperlink("https://hetutrechtsarchief.nl/collectie/CE9FB6C525C357B89BD056B6B8DFB294","Herplaatsing van het Catharinabeeld in de Catharijnekerk aan de Lange Nieuwstraat C S 59-60 1984")</f>
        <v>0</v>
      </c>
      <c r="D5203" s="1">
        <f>hyperlink("http://dspace.library.uu.nl/handle/1874/288341","Herplaatsing van het Catharinabeeld in de Catharijnekerk aan de Lange Nieuwstraat C Staal 59-60 1984")</f>
        <v>0</v>
      </c>
    </row>
    <row r="5204" spans="2:4">
      <c r="B5204">
        <v>63</v>
      </c>
      <c r="C5204" s="1">
        <f>hyperlink("https://hetutrechtsarchief.nl/collectie/E534FB8CD57E5D62B8A86D290CE4AF71","De kaart van Utrecht in het jaar 690 Y M Donkersloot-de Vrij 105-107 ill 1990")</f>
        <v>0</v>
      </c>
      <c r="D5204" s="1">
        <f>hyperlink("http://dspace.library.uu.nl/handle/1874/288342","Een fortificatieplankaart van de stad Utrecht uit 1629 Marijke Donkersloot-de Vrij 15 1985")</f>
        <v>0</v>
      </c>
    </row>
    <row r="5205" spans="2:4">
      <c r="B5205">
        <v>81</v>
      </c>
      <c r="C5205" s="1">
        <f>hyperlink("https://hetutrechtsarchief.nl/collectie/CED63F37E2E751AFA3EB4EFDDAD92838","Een onbekend werk van Adam van Vianen 5-7 ill 1985")</f>
        <v>0</v>
      </c>
      <c r="D5205" s="1">
        <f>hyperlink("http://dspace.library.uu.nl/handle/1874/288343","Een onbekend werk van Adam van Vianen Alfred M M Dekker 5-7 1985")</f>
        <v>0</v>
      </c>
    </row>
    <row r="5206" spans="2:4">
      <c r="B5206">
        <v>57</v>
      </c>
      <c r="C5206" s="1">
        <f>hyperlink("https://hetutrechtsarchief.nl/collectie/A63DB672F32C560682D5E8F6F4AD2345","Den Hommel binnenste buiten een kijkje bij n van de zwembaden van de USLO 8-11 1987")</f>
        <v>0</v>
      </c>
      <c r="D5206" s="1">
        <f>hyperlink("http://dspace.library.uu.nl/handle/1874/288344","Een schamele Crabeth en een rijke Van Baexen M S F Kemp 8-9 1985")</f>
        <v>0</v>
      </c>
    </row>
    <row r="5207" spans="2:4">
      <c r="B5207">
        <v>68</v>
      </c>
      <c r="C5207" s="1">
        <f>hyperlink("https://hetutrechtsarchief.nl/collectie/7977DB7B1DE5595DACB10CB459E37499","De visitatie van 1593 in het Kromme Rijngebied H Reinders 23-28 ill 1991")</f>
        <v>0</v>
      </c>
      <c r="D5207" s="1">
        <f>hyperlink("http://dspace.library.uu.nl/handle/1874/288345","Klederdracht in het Krommerijngebied Henk Reinders 9-12 1985")</f>
        <v>0</v>
      </c>
    </row>
    <row r="5208" spans="2:4">
      <c r="B5208">
        <v>57</v>
      </c>
      <c r="C5208" s="1">
        <f>hyperlink("https://hetutrechtsarchief.nl/collectie/3405D37414A45B3A86D2070441F801DA","Begint het Utrechtse staten-archief met 1375 A Johanna Maris 47-48 1951")</f>
        <v>0</v>
      </c>
      <c r="D5208" s="1">
        <f>hyperlink("http://dspace.library.uu.nl/handle/1874/288346","Leden van het Rhenense geslacht Lijster een handreiking aan dr H P Deys A Johanna Maris 27-28 1985")</f>
        <v>0</v>
      </c>
    </row>
    <row r="5209" spans="2:4">
      <c r="B5209">
        <v>98</v>
      </c>
      <c r="C5209" s="1">
        <f>hyperlink("https://hetutrechtsarchief.nl/collectie/477682522DD45CD486D899676BC84B09","Tabakspijpen als hulp bij het dateren van oude panden in de Flieruilensteeg Pieter Smiesing 13-14 ill 1985")</f>
        <v>0</v>
      </c>
      <c r="D5209" s="1">
        <f>hyperlink("http://dspace.library.uu.nl/handle/1874/288347","Tabakspijpen als hulp bij het dateren van oude panden in de Flieruilensteeg Pieter Smiesing 13-14 1985")</f>
        <v>0</v>
      </c>
    </row>
    <row r="5210" spans="2:4">
      <c r="B5210">
        <v>95</v>
      </c>
      <c r="C5210" s="1">
        <f>hyperlink("https://hetutrechtsarchief.nl/collectie/2183589A35325B16B1639AAB97958A19","De fundatie Pelt Niek Boukema 177-179 ill 1984")</f>
        <v>0</v>
      </c>
      <c r="D5210" s="1">
        <f>hyperlink("http://dspace.library.uu.nl/handle/1874/288348","De Fundatie Pelt Niek Boukema 177-179 1984")</f>
        <v>0</v>
      </c>
    </row>
    <row r="5211" spans="2:4">
      <c r="B5211">
        <v>98</v>
      </c>
      <c r="C5211" s="1">
        <f>hyperlink("https://hetutrechtsarchief.nl/collectie/662EA49453635EB6A8D7AE3801EF14BF","Lambert van Veldhuyzen en zijn contacten met geleerde tijdgenoten H L Houtzager 28-30 ill 1985")</f>
        <v>0</v>
      </c>
      <c r="D5211" s="1">
        <f>hyperlink("http://dspace.library.uu.nl/handle/1874/288349","Lambert van Veldhuyzen en zijn contacten met geleerde tijdgenoten H L Houtzager 28-30 1985")</f>
        <v>0</v>
      </c>
    </row>
    <row r="5212" spans="2:4">
      <c r="B5212">
        <v>92</v>
      </c>
      <c r="C5212" s="1">
        <f>hyperlink("https://hetutrechtsarchief.nl/collectie/F1E76F29ABA25FE587C1D70A53401D1C","Een wereldvermaarde violist treedt in Utrecht op A B R du Croo de Vries 25-26 ill 1985")</f>
        <v>0</v>
      </c>
      <c r="D5212" s="1">
        <f>hyperlink("http://dspace.library.uu.nl/handle/1874/288350","Een wereldvermaarde violist treedt in Utrecht op A B R du Croo de Vries 25-26 nr 10 p 283 1985")</f>
        <v>0</v>
      </c>
    </row>
    <row r="5213" spans="2:4">
      <c r="B5213">
        <v>97</v>
      </c>
      <c r="C5213" s="1">
        <f>hyperlink("https://hetutrechtsarchief.nl/collectie/1ECD9573729159DD982EB7E9C813C147","Middeleeuwse geldschieters in Utrecht Monic Slingerland 1-4 ill 1985")</f>
        <v>0</v>
      </c>
      <c r="D5213" s="1">
        <f>hyperlink("http://dspace.library.uu.nl/handle/1874/288351","Middeleeuwse geldschieters in Utrecht Monic Slingerland 1-4 1985")</f>
        <v>0</v>
      </c>
    </row>
    <row r="5214" spans="2:4">
      <c r="B5214">
        <v>58</v>
      </c>
      <c r="C5214" s="1">
        <f>hyperlink("https://hetutrechtsarchief.nl/collectie/FACBAD6CD7415C25A16191DB547E869F","Gegevens betreffende het geslacht Strick A G Vosdingh Bessem 124-144 1977")</f>
        <v>0</v>
      </c>
      <c r="D5214" s="1">
        <f>hyperlink("http://dspace.library.uu.nl/handle/1874/288352","Een oud woonhuis te Rhenen en het geslacht Lijster H P Deys 174-177 1984")</f>
        <v>0</v>
      </c>
    </row>
    <row r="5215" spans="2:4">
      <c r="B5215">
        <v>97</v>
      </c>
      <c r="C5215" s="1">
        <f>hyperlink("https://hetutrechtsarchief.nl/collectie/99DCF31EE9E85A3F92F67EC9C0AB5960","Wittevrouwenstraat no 42 Christine Langerhorst 187-188 ill 1984")</f>
        <v>0</v>
      </c>
      <c r="D5215" s="1">
        <f>hyperlink("http://dspace.library.uu.nl/handle/1874/288353","Wittevrouwenstraat no 42 Christine Langerhorst 187-188 1984")</f>
        <v>0</v>
      </c>
    </row>
    <row r="5216" spans="2:4">
      <c r="B5216">
        <v>98</v>
      </c>
      <c r="C5216" s="1">
        <f>hyperlink("https://hetutrechtsarchief.nl/collectie/2B366557BE685812938F39AD4274CFCA","Begijnen op het Heilige Leven in Utrecht in de veertiende eeuw Martin W J de Bruijn 72-73 krt 1984")</f>
        <v>0</v>
      </c>
      <c r="D5216" s="1">
        <f>hyperlink("http://dspace.library.uu.nl/handle/1874/288354","Begijnen op Het Heilige Leven in Utrecht in de veertiende eeuw Martin W J de Bruijn 72-73 1984")</f>
        <v>0</v>
      </c>
    </row>
    <row r="5217" spans="2:4">
      <c r="B5217">
        <v>56</v>
      </c>
      <c r="C5217" s="1">
        <f>hyperlink("https://hetutrechtsarchief.nl/collectie/0DD32C3EDB6C50C3AD71D3F5BA3BBB54","Romeinsche oudheden in het hartje van oud-Utrecht - G v H 81-82 1927")</f>
        <v>0</v>
      </c>
      <c r="D5217" s="1">
        <f>hyperlink("http://dspace.library.uu.nl/handle/1874/288355","Proselietenmakerij in het Groot Rijks Hospitaal in Utrecht 1843 F A M Hennekam 81-82 1984")</f>
        <v>0</v>
      </c>
    </row>
    <row r="5218" spans="2:4">
      <c r="B5218">
        <v>98</v>
      </c>
      <c r="C5218" s="1">
        <f>hyperlink("https://hetutrechtsarchief.nl/collectie/E7AE670ABEFF5F76BE876676BE2353CC","Soli Deo Gloria God alleen de eer de Afscheidingsbeweging in de stad Utrecht A Graafhuis 169-174 ill 1984")</f>
        <v>0</v>
      </c>
      <c r="D5218" s="1">
        <f>hyperlink("http://dspace.library.uu.nl/handle/1874/288356","Soli Deo gloria God alleen de eer de Afscheidingsbeweging in de stad Utrecht A Graafhuis 169-174 1984")</f>
        <v>0</v>
      </c>
    </row>
    <row r="5219" spans="2:4">
      <c r="B5219">
        <v>98</v>
      </c>
      <c r="C5219" s="1">
        <f>hyperlink("https://hetutrechtsarchief.nl/collectie/BE894F587FA75C98845B7D170446D2D8","De huishoudscholen Puntenburg en Zuilenburg te Utrecht 1895-1982 A B R du Croo de Vries 181-186 ill 1984")</f>
        <v>0</v>
      </c>
      <c r="D5219" s="1">
        <f>hyperlink("http://dspace.library.uu.nl/handle/1874/288357","De huishoudscholen Puntenburg en Zuilenburg te Utrecht 1895-1982 A B R du Croo de Vries 181-186 1984")</f>
        <v>0</v>
      </c>
    </row>
    <row r="5220" spans="2:4">
      <c r="B5220">
        <v>100</v>
      </c>
      <c r="C5220" s="1">
        <f>hyperlink("https://hetutrechtsarchief.nl/collectie/75939EB8514F5BA69F48C09188A94B7E","Het korps Landzaten voor Utrecht en Oranje Raymond Uppelschoten 148-153 2013")</f>
        <v>0</v>
      </c>
      <c r="D5220" s="1">
        <f>hyperlink("http://dspace.library.uu.nl/handle/1874/288361","Het korps Landzaten voor Utrecht en Oranje Raymond Uppelschoten 148-153 2013")</f>
        <v>0</v>
      </c>
    </row>
    <row r="5221" spans="2:4">
      <c r="B5221">
        <v>94</v>
      </c>
      <c r="C5221" s="1">
        <f>hyperlink("https://hetutrechtsarchief.nl/collectie/924285B0CBC058FDAE944A810524ED9C","De winkel van Sinkel in Utrecht J N van der Meulen 193-199 ill 1985")</f>
        <v>0</v>
      </c>
      <c r="D5221" s="1">
        <f>hyperlink("http://dspace.library.uu.nl/handle/1874/288362","De winkel van Sinkel in Utrecht N J van der Meulen 193-199 1985")</f>
        <v>0</v>
      </c>
    </row>
    <row r="5222" spans="2:4">
      <c r="B5222">
        <v>59</v>
      </c>
      <c r="C5222" s="1">
        <f>hyperlink("https://hetutrechtsarchief.nl/collectie/A5013858C6E652D18AC5C32D4C0E246F","Het Kromme Rijngebied ontginning en waterstaat Ad van Bemmel 29-35 2017")</f>
        <v>0</v>
      </c>
      <c r="D5222" s="1">
        <f>hyperlink("http://dspace.library.uu.nl/handle/1874/288365","Het Kromme Rijngebied nu kwaliteiten en problemen E N te Boekhorst-Maren 239-244 1985")</f>
        <v>0</v>
      </c>
    </row>
    <row r="5223" spans="2:4">
      <c r="B5223">
        <v>58</v>
      </c>
      <c r="C5223" s="1">
        <f>hyperlink("https://hetutrechtsarchief.nl/collectie/AF6EE7A38F925C2DAE9A283FA1B2B1A3","Leidsche Rijn het ontstaan van een Vinex-wijk Mascha van Damme 132-136 2011")</f>
        <v>0</v>
      </c>
      <c r="D5223" s="1">
        <f>hyperlink("http://dspace.library.uu.nl/handle/1874/288366","Archeologie in het Kromme-Rijngebied het ontstaan van een project W J H Es W A van Verwers 216-227 1985")</f>
        <v>0</v>
      </c>
    </row>
    <row r="5224" spans="2:4">
      <c r="B5224">
        <v>60</v>
      </c>
      <c r="C5224" s="1">
        <f>hyperlink("https://hetutrechtsarchief.nl/collectie/F55CBCB370195DF9A45806E07623BB4D","Janus de Winter C A Schilp 25-27 ill 1986")</f>
        <v>0</v>
      </c>
      <c r="D5224" s="1">
        <f>hyperlink("http://dspace.library.uu.nl/handle/1874/288367","Janus de Winter de schilder - mysticus Ine Gevers 285-286 1985")</f>
        <v>0</v>
      </c>
    </row>
    <row r="5225" spans="2:4">
      <c r="B5225">
        <v>98</v>
      </c>
      <c r="C5225" s="1">
        <f>hyperlink("https://hetutrechtsarchief.nl/collectie/BDEC65AA4F0F5A84A19502F8DD6CDE82","Bommen op het SAZU aantekeningen uit de herfst van 1944 H W J de Boer 265-269 ill 1985")</f>
        <v>0</v>
      </c>
      <c r="D5225" s="1">
        <f>hyperlink("http://dspace.library.uu.nl/handle/1874/288368","Bommen op het SAZU aantekeningen uit de herfst van 1944 H W J de Boer 265-269 1985")</f>
        <v>0</v>
      </c>
    </row>
    <row r="5226" spans="2:4">
      <c r="B5226">
        <v>64</v>
      </c>
      <c r="C5226" s="1">
        <f>hyperlink("https://hetutrechtsarchief.nl/collectie/7977DB7B1DE5595DACB10CB459E37499","De visitatie van 1593 in het Kromme Rijngebied H Reinders 23-28 ill 1991")</f>
        <v>0</v>
      </c>
      <c r="D5226" s="1">
        <f>hyperlink("http://dspace.library.uu.nl/handle/1874/288369","Het ontstaan van het landschap in het Kromme-Rijngebied H J A Berendsen 206-215 1985")</f>
        <v>0</v>
      </c>
    </row>
    <row r="5227" spans="2:4">
      <c r="B5227">
        <v>66</v>
      </c>
      <c r="C5227" s="1">
        <f>hyperlink("https://hetutrechtsarchief.nl/collectie/ED76F8C0066A59F8912842E6B5C69C2B","Boekbespreking C Dekker Het Kromme Rijngebied in de Middeleeuwen P C B Maarschalkerweerd 11 - 23 1983")</f>
        <v>0</v>
      </c>
      <c r="D5227" s="1">
        <f>hyperlink("http://dspace.library.uu.nl/handle/1874/288370","De ontginning van het Kromme Rijngebied in de middeleeuwen C Dekker 228-238 1985")</f>
        <v>0</v>
      </c>
    </row>
    <row r="5228" spans="2:4">
      <c r="B5228">
        <v>60</v>
      </c>
      <c r="C5228" s="1">
        <f>hyperlink("https://hetutrechtsarchief.nl/collectie/C2277282B5E7510CA54AF2EE76336CC6","De Uithof P H Damst 143-161 ill 1968")</f>
        <v>0</v>
      </c>
      <c r="D5228" s="1">
        <f>hyperlink("http://dspace.library.uu.nl/handle/1874/288371","De Ni nhof D Hamer 261-265 1985")</f>
        <v>0</v>
      </c>
    </row>
    <row r="5229" spans="2:4">
      <c r="B5229">
        <v>98</v>
      </c>
      <c r="C5229" s="1">
        <f>hyperlink("https://hetutrechtsarchief.nl/collectie/AE3C6BC0AF9A54EEB2201FAE02FA5948","Gerard Grass re een verhaal over het Utrechtse kunstenaarsmilieu uit de jaren vijftig Niek Boukema 249-251 ill 1985")</f>
        <v>0</v>
      </c>
      <c r="D5229" s="1">
        <f>hyperlink("http://dspace.library.uu.nl/handle/1874/288372","Gerard Grass re een verhaal over het Utrechtse kunstenaarsmilieu uit de jaren vijftig Niek Boukema 249-251 1985")</f>
        <v>0</v>
      </c>
    </row>
    <row r="5230" spans="2:4">
      <c r="B5230">
        <v>98</v>
      </c>
      <c r="C5230" s="1">
        <f>hyperlink("https://hetutrechtsarchief.nl/collectie/2C88F36883E957EDAE45315F09D229F9","De panden Wittevrouwenkade 1 en 6 monumenten uit twee perioden der 19de eeuw P Luykx 252-253 ill 1985")</f>
        <v>0</v>
      </c>
      <c r="D5230" s="1">
        <f>hyperlink("http://dspace.library.uu.nl/handle/1874/288373","De panden Wittevrouwenkade 1 en 6 monumenten uit twee perioden der 19de eeuw P Luykx 252-253 1985")</f>
        <v>0</v>
      </c>
    </row>
    <row r="5231" spans="2:4">
      <c r="B5231">
        <v>97</v>
      </c>
      <c r="C5231" s="1">
        <f>hyperlink("https://hetutrechtsarchief.nl/collectie/F5702AA5BE3C55BE8D84BB30692AA1A0","Nieuwegracht 44 een verdwaald glas in lood raam Casper H Staal 254-256 ill 1985")</f>
        <v>0</v>
      </c>
      <c r="D5231" s="1">
        <f>hyperlink("http://dspace.library.uu.nl/handle/1874/288374","Nieuwegracht 44 een verdwaald glas-in-lood raam Casper H Staal 254-256 1985")</f>
        <v>0</v>
      </c>
    </row>
    <row r="5232" spans="2:4">
      <c r="B5232">
        <v>62</v>
      </c>
      <c r="C5232" s="1">
        <f>hyperlink("https://hetutrechtsarchief.nl/collectie/105ADD787B515F81A4396BF2515DBBAE","Katholiek Zeist te boek V A M van der Burg 112-114 2011")</f>
        <v>0</v>
      </c>
      <c r="D5232" s="1">
        <f>hyperlink("http://dspace.library.uu.nl/handle/1874/288375","Utrechtse katholieke notabelen te Zeist begraven V A M van der Burg 258-259 1985")</f>
        <v>0</v>
      </c>
    </row>
    <row r="5233" spans="2:4">
      <c r="B5233">
        <v>98</v>
      </c>
      <c r="C5233" s="1">
        <f>hyperlink("https://hetutrechtsarchief.nl/collectie/013D841893E85B31B9C1075C7AE3933C","De gemeentelijke H B S voor meisjes te Utrecht A B R du Croo de Vries 273-280 ill 1985")</f>
        <v>0</v>
      </c>
      <c r="D5233" s="1">
        <f>hyperlink("http://dspace.library.uu.nl/handle/1874/288376","De gemeentelijke H B S voor meisjes te Utrecht A B R du Croo de Vries 273-280 1985")</f>
        <v>0</v>
      </c>
    </row>
    <row r="5234" spans="2:4">
      <c r="B5234">
        <v>59</v>
      </c>
      <c r="C5234" s="1">
        <f>hyperlink("https://hetutrechtsarchief.nl/collectie/8BBBCAA2971858B0866097313E5A5BEF","Een keizer aan de Mariaplaats J G van Rossum du Chattel 10-12 1984")</f>
        <v>0</v>
      </c>
      <c r="D5234" s="1">
        <f>hyperlink("http://dspace.library.uu.nl/handle/1874/288451","De bunker op de Mariaplaats in gevaar C J van der Peet 289 1985")</f>
        <v>0</v>
      </c>
    </row>
    <row r="5235" spans="2:4">
      <c r="B5235">
        <v>59</v>
      </c>
      <c r="C5235" s="1">
        <f>hyperlink("https://hetutrechtsarchief.nl/collectie/03A1EC58A7265D22B451D04723CF4BE0","De schilderingen in het koorvak en het transept van de Sint-Pieterskerk te Utrecht E L Hoffman-Klerkx 28-33 ill tek 1994")</f>
        <v>0</v>
      </c>
      <c r="D5235" s="1">
        <f>hyperlink("http://dspace.library.uu.nl/handle/1874/288452","Het crucifix in de grafkelder in de Pieterskerk E L Hoffman-Klerkx 290-292 1985")</f>
        <v>0</v>
      </c>
    </row>
    <row r="5236" spans="2:4">
      <c r="B5236">
        <v>59</v>
      </c>
      <c r="C5236" s="1">
        <f>hyperlink("https://hetutrechtsarchief.nl/collectie/3D483ACBCF3450E991640C8CD4DF200D","Nogmaals het Lijnpad M N Acket 66-69 1951")</f>
        <v>0</v>
      </c>
      <c r="D5236" s="1">
        <f>hyperlink("http://dspace.library.uu.nl/handle/1874/289726","Nogmaals de Ni nhof Dianne Hamer 6-7 1986")</f>
        <v>0</v>
      </c>
    </row>
    <row r="5237" spans="2:4">
      <c r="B5237">
        <v>56</v>
      </c>
      <c r="C5237" s="1">
        <f>hyperlink("https://hetutrechtsarchief.nl/collectie/1C3A156C5B16534499032A5AA233C3FE","Open het Anthoniusdorp Toon Kets 3 7 1982")</f>
        <v>0</v>
      </c>
      <c r="D5237" s="1">
        <f>hyperlink("http://dspace.library.uu.nl/handle/1874/289727","Bunnik en St Anthonis Henk Reinders 2-3 1986")</f>
        <v>0</v>
      </c>
    </row>
    <row r="5238" spans="2:4">
      <c r="B5238">
        <v>58</v>
      </c>
      <c r="C5238" s="1">
        <f>hyperlink("https://hetutrechtsarchief.nl/collectie/FB213ACFB76A5FAA95BB01374D34CB57","Dit ist verbot van de vercopinge ende lecture van de boucken van Martin Luther ende zynen adherenten etc Ende is gepubliceert des manendages nae invocavit A 1529 193-197 1846")</f>
        <v>0</v>
      </c>
      <c r="D5238" s="1">
        <f>hyperlink("http://dspace.library.uu.nl/handle/1874/289728","Dit ist bestant tusschen die Key Maj ende den Coninck van Vranckryck mitten Coninck van Engelant etc duerende twee maenden na de publicatie van de opscrivinge derzelven bestants etc Ende is gepubliceert des manendaechs nae invocavit Anno XVc XXIX Bertant 197 -200 1846")</f>
        <v>0</v>
      </c>
    </row>
    <row r="5239" spans="2:4">
      <c r="B5239">
        <v>100</v>
      </c>
      <c r="C5239" s="1">
        <f>hyperlink("https://hetutrechtsarchief.nl/collectie/8D4EE46042115FFD9AE51AA345565CC9","De hofbeer J H van Bolhuis 6 -32 1842")</f>
        <v>0</v>
      </c>
      <c r="D5239" s="1">
        <f>hyperlink("http://dspace.library.uu.nl/handle/1874/289730","De hofbeer J H van Bolhuis 6 -32 1842")</f>
        <v>0</v>
      </c>
    </row>
    <row r="5240" spans="2:4">
      <c r="B5240">
        <v>90</v>
      </c>
      <c r="C5240" s="1">
        <f>hyperlink("https://hetutrechtsarchief.nl/collectie/8EFA957FC62855D6A17F743496584B46","De pensie J H van Bolhuis 289 -313 1843")</f>
        <v>0</v>
      </c>
      <c r="D5240" s="1">
        <f>hyperlink("http://dspace.library.uu.nl/handle/1874/289731","De pensie J H van Bolhuis 289 -313 342 -343 1843")</f>
        <v>0</v>
      </c>
    </row>
    <row r="5241" spans="2:4">
      <c r="B5241">
        <v>88</v>
      </c>
      <c r="C5241" s="1">
        <f>hyperlink("https://hetutrechtsarchief.nl/collectie/CD20B451C0555A9FBA34F8513BFE6190","Beschrijving van Utrecht met het plan der stad in 1598 door A van Vianen in koper gegraveerd Cornelis Booth 361 -376 1 uitvouwb pl 1842")</f>
        <v>0</v>
      </c>
      <c r="D5241" s="1">
        <f>hyperlink("http://dspace.library.uu.nl/handle/1874/289732","Dr Cornelis Booth beschrijving van Utrecht met het plan der stad in 1598 door A van Vianen in koper gegraveerd Cornelis Booth 361 -376 1842")</f>
        <v>0</v>
      </c>
    </row>
    <row r="5242" spans="2:4">
      <c r="B5242">
        <v>100</v>
      </c>
      <c r="C5242" s="1">
        <f>hyperlink("https://hetutrechtsarchief.nl/collectie/1DD95D0C9575520F9538428D1023F9D8","De togt der Kleefsche hulpbenden naar het Sticht ter ondersteuning der Hoekschen in betrekking beschouwd met den inval van Willem van Aremberg Graaf van der Marck in het bisdom Luik den 30 Augustus 1482 A M C van Asch van Wijck 253 -264 1841")</f>
        <v>0</v>
      </c>
      <c r="D5242" s="1">
        <f>hyperlink("http://dspace.library.uu.nl/handle/1874/289733","De togt der Kleefsche hulpbenden naar het Sticht ter ondersteuning der Hoekschen in betrekking beschouwd met den inval van Willem van Aremberg graaf van der Marck in het bisdom Luik den 30 augustus 1482 A M C van Asch van Wijck 253 -264 1841")</f>
        <v>0</v>
      </c>
    </row>
    <row r="5243" spans="2:4">
      <c r="B5243">
        <v>100</v>
      </c>
      <c r="C5243" s="1">
        <f>hyperlink("https://hetutrechtsarchief.nl/collectie/4D2A07D4F5045F80B8A098717F6E762F","Statuten der Utrechtsche kerk in handschrift in de bibliotheek der Akademie van Wetenschappen te Turin J H Beucker Andreae 157 -160 1842")</f>
        <v>0</v>
      </c>
      <c r="D5243" s="1">
        <f>hyperlink("http://dspace.library.uu.nl/handle/1874/289734","Statuten der Utrechtsche kerk in handschrift in de bibliotheek der Akademie van Wetenschappen te Turin J H Beucker Andreae 157 -160 1842")</f>
        <v>0</v>
      </c>
    </row>
    <row r="5244" spans="2:4">
      <c r="B5244">
        <v>65</v>
      </c>
      <c r="C5244" s="1">
        <f>hyperlink("https://hetutrechtsarchief.nl/collectie/F3DF4D18155F544DB5AD8A8710362FF3","Crimineele vonnissen medeged door J J Dodt van Flensburg 267 -268 1838")</f>
        <v>0</v>
      </c>
      <c r="D5244" s="1">
        <f>hyperlink("http://dspace.library.uu.nl/handle/1874/289735","Cleermaekers van t garnisoen in 1612 medeged door J J Dodt van Flensburg J J Dodt van Flensburg 33 1843")</f>
        <v>0</v>
      </c>
    </row>
    <row r="5245" spans="2:4">
      <c r="B5245">
        <v>91</v>
      </c>
      <c r="C5245" s="1">
        <f>hyperlink("https://hetutrechtsarchief.nl/collectie/D477A2982419537D92820DB1A03A207D","St Nicolaas-Convent later tuchthuis thans algemeen Arrest- en Provoosthuis 397 -416 1841")</f>
        <v>0</v>
      </c>
      <c r="D5245" s="1">
        <f>hyperlink("http://dspace.library.uu.nl/handle/1874/289736","St Nicolaas-Convent later tuchthuis thans algemeen Arrest- en Provoosthuis N van der Monde 397 -413 1841")</f>
        <v>0</v>
      </c>
    </row>
    <row r="5246" spans="2:4">
      <c r="B5246">
        <v>94</v>
      </c>
      <c r="C5246" s="1">
        <f>hyperlink("https://hetutrechtsarchief.nl/collectie/C489D203EB7C50D9A240F98915429F53","Iets aangaande Prins Willem als stadhouder van Utrecht J J Dodt v Fl 174 -175 1843")</f>
        <v>0</v>
      </c>
      <c r="D5246" s="1">
        <f>hyperlink("http://dspace.library.uu.nl/handle/1874/289737","Iets aangaande prins Willem I als stadhouder van Utrecht J J Dodt van Flensburg 174 -175 1843")</f>
        <v>0</v>
      </c>
    </row>
    <row r="5247" spans="2:4">
      <c r="B5247">
        <v>54</v>
      </c>
      <c r="C5247" s="1">
        <f>hyperlink("https://hetutrechtsarchief.nl/collectie/132DEF6C80805D418520104FA2893BA6","Bijdragen tot de geschiedenis van de gemeenten der hervormden in de provincie Utrecht v r 1618 P J Vermeulen 91-193 - ill 1847")</f>
        <v>0</v>
      </c>
      <c r="D5247" s="1">
        <f>hyperlink("http://dspace.library.uu.nl/handle/1874/289738","Tijdschrift voor oudheden statistiek zeden en gewoonten regt genealogie en andere deelen der geschiedenis van het bisdom de provincie en de stad Utrecht uitg door P J Vermeulen P J Vermeulen 1847-1852")</f>
        <v>0</v>
      </c>
    </row>
    <row r="5248" spans="2:4">
      <c r="B5248">
        <v>99</v>
      </c>
      <c r="C5248" s="1">
        <f>hyperlink("https://hetutrechtsarchief.nl/collectie/FB001B589E1F5F2E9463DBDA58CCF801","Clementia Winters tweede vrouw van Prof M Schotanus J J Dodt van Flensburg 237-238 1844")</f>
        <v>0</v>
      </c>
      <c r="D5248" s="1">
        <f>hyperlink("http://dspace.library.uu.nl/handle/1874/289739","Clementia Winters tweede vrouw van Prof M Schotanus J J Dodt van Flensburg 237 -238 1844")</f>
        <v>0</v>
      </c>
    </row>
    <row r="5249" spans="2:4">
      <c r="B5249">
        <v>75</v>
      </c>
      <c r="C5249" s="1">
        <f>hyperlink("https://hetutrechtsarchief.nl/collectie/5776AF371846567AA6FD54178E4647A1","Tooverij in het Sticht 386-389 1842")</f>
        <v>0</v>
      </c>
      <c r="D5249" s="1">
        <f>hyperlink("http://dspace.library.uu.nl/handle/1874/289740","Tooverij in het Sticht J J Dodt van Flensburg 386-389 1842")</f>
        <v>0</v>
      </c>
    </row>
    <row r="5250" spans="2:4">
      <c r="B5250">
        <v>96</v>
      </c>
      <c r="C5250" s="1">
        <f>hyperlink("https://hetutrechtsarchief.nl/collectie/63068AE8D36F55F88874C97131AA1207","Iets over Petrus Vorstius Pauslijk legaat in Nederland in den jare 1537 met bijzondere betrekking tot de Utrechtsche zaken medeged door J J Dodt van Flensburg 277 -284 313 -320 345 -354 1842")</f>
        <v>0</v>
      </c>
      <c r="D5250" s="1">
        <f>hyperlink("http://dspace.library.uu.nl/handle/1874/289741","Iets over Petrus Vorstius pauslijk legaat in Nederland in den jare 1537 met bijzondere betrekking tot de Utrechtsche zaken J J Dodt van Flensburg 277 -284 313 -320 345 -354 1842")</f>
        <v>0</v>
      </c>
    </row>
    <row r="5251" spans="2:4">
      <c r="B5251">
        <v>64</v>
      </c>
      <c r="C5251" s="1">
        <f>hyperlink("https://hetutrechtsarchief.nl/collectie/66C9B1221B7C5EAA9E8487C8B7DCDA32","Pelmolen te Utrecht in 1643 J J Dodt van Flensburg 139 -141 1841")</f>
        <v>0</v>
      </c>
      <c r="D5251" s="1">
        <f>hyperlink("http://dspace.library.uu.nl/handle/1874/289742","Roerende den aenslach op Amersfoort in 1536 J J Dodt van Flensburg 227 -236 1846")</f>
        <v>0</v>
      </c>
    </row>
    <row r="5252" spans="2:4">
      <c r="B5252">
        <v>91</v>
      </c>
      <c r="C5252" s="1">
        <f>hyperlink("https://hetutrechtsarchief.nl/collectie/7A332788DE7959878208687F3BE20EC7","Memorie ende instructie voor myn heere den deeken van St Peters Willem Vuesel commissaris vande vyff ecclesien ende die regeerders etc van Utrecht medegedeeld door N van der Monde 101-111 210-220 1846")</f>
        <v>0</v>
      </c>
      <c r="D5252" s="1">
        <f>hyperlink("http://dspace.library.uu.nl/handle/1874/289743","Memorie ende instructie voor myn heere den deeken van St Peters Willem Vuesel commissaris vande vyff ecclesien ende die regeerders etc van Utrecht J J Dodt van Flensburg 101 -111 210 -220 1846")</f>
        <v>0</v>
      </c>
    </row>
    <row r="5253" spans="2:4">
      <c r="B5253">
        <v>99</v>
      </c>
      <c r="C5253" s="1">
        <f>hyperlink("https://hetutrechtsarchief.nl/collectie/02030340A24452C885D5F39F9926BD2D","Iets aangaande heer Gerrit van Renesse door den troublen raet gevonnisd en te Utrecht onthalds op den 25 April 1568 J J Dodt van Flensburg 35-40 1844")</f>
        <v>0</v>
      </c>
      <c r="D5253" s="1">
        <f>hyperlink("http://dspace.library.uu.nl/handle/1874/289744","Iets aangaande heer Gerrit van Renesse door den troublen raet gevonnisd en te Utrecht onthalsd op den 25 april 1568 J J Dodt van Flensburg 35 -40 1844")</f>
        <v>0</v>
      </c>
    </row>
    <row r="5254" spans="2:4">
      <c r="B5254">
        <v>98</v>
      </c>
      <c r="C5254" s="1">
        <f>hyperlink("https://hetutrechtsarchief.nl/collectie/0C5B8E2F5E75500791DC9AA0B73373F9","Het papegay-schieten en myn Genedighe Heer van Utrecht J J Dodt van Flensburg 383-385 1842")</f>
        <v>0</v>
      </c>
      <c r="D5254" s="1">
        <f>hyperlink("http://dspace.library.uu.nl/handle/1874/289745","Het papegaij-schieten en myn genedighe heer van Utrecht J J Dodt van Flensburg 383-385 1842")</f>
        <v>0</v>
      </c>
    </row>
    <row r="5255" spans="2:4">
      <c r="B5255">
        <v>96</v>
      </c>
      <c r="C5255" s="1">
        <f>hyperlink("https://hetutrechtsarchief.nl/collectie/047FE44A17465B8AABB083BC22166CCE","Franciscus Sonnius met betrekking tot de Utrechtsche zaken J J Dodt v Fl 122 -128 166 -173 192 -195 1843")</f>
        <v>0</v>
      </c>
      <c r="D5255" s="1">
        <f>hyperlink("http://dspace.library.uu.nl/handle/1874/289746","Franciscus Sonnius met betrekking tot de Utrechtsche zaken J J Dodt van Flensburg 122 -128 166 -173 192 -195 1843")</f>
        <v>0</v>
      </c>
    </row>
    <row r="5256" spans="2:4">
      <c r="B5256">
        <v>97</v>
      </c>
      <c r="C5256" s="1">
        <f>hyperlink("https://hetutrechtsarchief.nl/collectie/82ED909B1BC352E2A6C813CEF43FC033","Eenige minder bekende bijzonderheden aangaande Willem Vuesels deken van St Pieter te Utrecht J J Dodt van Flensburg 201-209 1846")</f>
        <v>0</v>
      </c>
      <c r="D5256" s="1">
        <f>hyperlink("http://dspace.library.uu.nl/handle/1874/289747","Eenige minder bekende bijzonderheden aangaande Willem Veusels deken van St Pieter te Utrecht J J Dodt van Flensburg 201 -209 237 1846")</f>
        <v>0</v>
      </c>
    </row>
    <row r="5257" spans="2:4">
      <c r="B5257">
        <v>100</v>
      </c>
      <c r="C5257" s="1">
        <f>hyperlink("https://hetutrechtsarchief.nl/collectie/2E5D621EAFC65CA2A0B5BE592C769C8D","De vrouw en kinderen van Prof Karel de Maets J J Dodt van Flensburg 238-239 1844")</f>
        <v>0</v>
      </c>
      <c r="D5257" s="1">
        <f>hyperlink("http://dspace.library.uu.nl/handle/1874/289748","De vrouw en kinderen van Prof Karel de Maets J J Dodt van Flensburg 238-239 1844")</f>
        <v>0</v>
      </c>
    </row>
    <row r="5258" spans="2:4">
      <c r="B5258">
        <v>99</v>
      </c>
      <c r="C5258" s="1">
        <f>hyperlink("https://hetutrechtsarchief.nl/collectie/26AA85F15F3E5C6096CDF9CF7FD89BBF","Over den Utrechtschen arts Petrus Memmius den Delftschen drukker Herman Schinckel en den aartsbisschop Frederik Schenck van Tautenburch een paar aantekeningen J J Dodt van Flensburg 75-80 1845")</f>
        <v>0</v>
      </c>
      <c r="D5258" s="1">
        <f>hyperlink("http://dspace.library.uu.nl/handle/1874/289749","Over den Utrechtschen arts Petrus Memmius den Delftschen drukker Herman Schinckel en den aartsbisschop Frederik Schenck van Tautenburch een paar aanteekeningen J J Dodt van Flensburg 75 -80 1845")</f>
        <v>0</v>
      </c>
    </row>
    <row r="5259" spans="2:4">
      <c r="B5259">
        <v>100</v>
      </c>
      <c r="C5259" s="1">
        <f>hyperlink("https://hetutrechtsarchief.nl/collectie/19EDB9DAC1EF53ACBEFC13D5C70AF3FC","Iets over het uitgeven van het Utrechtsch Placcaatboek J J Dodt van Flensburg 426 -428 1842")</f>
        <v>0</v>
      </c>
      <c r="D5259" s="1">
        <f>hyperlink("http://dspace.library.uu.nl/handle/1874/289750","Iets over het uitgeven van het Utrechtsch-Placcaatboek J J Dodt van Flensburg 426 -428 1842")</f>
        <v>0</v>
      </c>
    </row>
    <row r="5260" spans="2:4">
      <c r="B5260">
        <v>95</v>
      </c>
      <c r="C5260" s="1">
        <f>hyperlink("https://hetutrechtsarchief.nl/collectie/37D3656CC2D750F5BCF762B7151E8A01","Statuten der broederen en zusteren van t gemeene leven in t Sticht J J Dodt v Fl 90 -98 1843")</f>
        <v>0</v>
      </c>
      <c r="D5260" s="1">
        <f>hyperlink("http://dspace.library.uu.nl/handle/1874/289751","Statuten der Broederen en Zusteren van t gemeene leven in t Sticht J J Dodt van Flensburg 90 -98 1843")</f>
        <v>0</v>
      </c>
    </row>
    <row r="5261" spans="2:4">
      <c r="B5261">
        <v>58</v>
      </c>
      <c r="C5261" s="1">
        <f>hyperlink("https://hetutrechtsarchief.nl/collectie/A699BD85F9435311B1108BDCD94EFD9A","De Plompetoren 41 -42 1 pl 1836")</f>
        <v>0</v>
      </c>
      <c r="D5261" s="1">
        <f>hyperlink("http://dspace.library.uu.nl/handle/1874/289752","Plompetorengracht 5-7 E M Kylstra 3-6 1986")</f>
        <v>0</v>
      </c>
    </row>
    <row r="5262" spans="2:4">
      <c r="B5262">
        <v>85</v>
      </c>
      <c r="C5262" s="1">
        <f>hyperlink("https://hetutrechtsarchief.nl/collectie/57531ED5448758A18B5437C9CEECDEC0","Over de verrigtingen der eerste Jesuiten in de vereenigde gewesten voornamelijk te Utrecht J J Dodt v Fl 236 -245 266 -280 1843")</f>
        <v>0</v>
      </c>
      <c r="D5262" s="1">
        <f>hyperlink("http://dspace.library.uu.nl/handle/1874/289753","Over de verrigtingen der eerste Jesuieten in de vereenigde gewesten J J Dodt van Flensburg 236 -241 266 -280 1843")</f>
        <v>0</v>
      </c>
    </row>
    <row r="5263" spans="2:4">
      <c r="B5263">
        <v>100</v>
      </c>
      <c r="C5263" s="1">
        <f>hyperlink("https://hetutrechtsarchief.nl/collectie/90C847415446504184A860F955308D84","Johan Snevins bekwaam instrumentmaker te Utrecht omstreeks het midden der XVII eeuw J J Dodt van Flensburg 161 -163 1842")</f>
        <v>0</v>
      </c>
      <c r="D5263" s="1">
        <f>hyperlink("http://dspace.library.uu.nl/handle/1874/289754","Johan Snevins bekwaam instrumentmaker te Utrecht omstreeks het midden der XVII eeuw J J Dodt van Flensburg 161 -163 1842")</f>
        <v>0</v>
      </c>
    </row>
    <row r="5264" spans="2:4">
      <c r="B5264">
        <v>58</v>
      </c>
      <c r="C5264" s="1">
        <f>hyperlink("https://hetutrechtsarchief.nl/collectie/752C34F901215C96BD4FE5CBCBD4CBB9","Blijken van mildheid der Utrechtsche regering etc t Klein Seminarium of de Jesusschool t Utrecht omstreeks het midden der XVI eeuw J J Dodt van Flensburg 282-285 1841")</f>
        <v>0</v>
      </c>
      <c r="D5264" s="1">
        <f>hyperlink("http://dspace.library.uu.nl/handle/1874/289755","Berigten aangaand het molen-wezen hier te lande in de XVI en de eerste helft der XVII eeuw J J Dodt van Flensburg 384 -393 425 -429 1841")</f>
        <v>0</v>
      </c>
    </row>
    <row r="5265" spans="2:4">
      <c r="B5265">
        <v>72</v>
      </c>
      <c r="C5265" s="1">
        <f>hyperlink("https://hetutrechtsarchief.nl/collectie/FE34883E201B59F2AE43737229FFC479","Legitimatio per subsequens matrimonium medeged door J J Dodt van Flensburg 30 -32 1841")</f>
        <v>0</v>
      </c>
      <c r="D5265" s="1">
        <f>hyperlink("http://dspace.library.uu.nl/handle/1874/289756","Legitimatio per subsequens matrimonium wettiging door een opvolgend huwelijk medegedeeld door J J Dodt van Flensburg J J Dodt van Flensburg 30 -31 1841")</f>
        <v>0</v>
      </c>
    </row>
    <row r="5266" spans="2:4">
      <c r="B5266">
        <v>85</v>
      </c>
      <c r="C5266" s="1">
        <f>hyperlink("https://hetutrechtsarchief.nl/collectie/611C06D8331551868000BBBF35FD928F","Slaghorologien te Utrecht medeged door J J Dodt van Flensburg 96 -100 1841")</f>
        <v>0</v>
      </c>
      <c r="D5266" s="1">
        <f>hyperlink("http://dspace.library.uu.nl/handle/1874/289757","Slag-horologien te Utrecht in de XIV eeuw J J Dodt van Flensburg 96-100 1841")</f>
        <v>0</v>
      </c>
    </row>
    <row r="5267" spans="2:4">
      <c r="B5267">
        <v>83</v>
      </c>
      <c r="C5267" s="1">
        <f>hyperlink("https://hetutrechtsarchief.nl/collectie/375759A4C0755DB9910C4E771C06335A","Oud bestaan der windmolens te Utrecht J J Dodt van Flensburg 32-33 1841")</f>
        <v>0</v>
      </c>
      <c r="D5267" s="1">
        <f>hyperlink("http://dspace.library.uu.nl/handle/1874/289758","Oud bestaan der windmolens te Utrecht W C Dodt van Flensburg J J Ackersdijck 32-33 169-171 1841")</f>
        <v>0</v>
      </c>
    </row>
    <row r="5268" spans="2:4">
      <c r="B5268">
        <v>100</v>
      </c>
      <c r="C5268" s="1">
        <f>hyperlink("https://hetutrechtsarchief.nl/collectie/66C9B1221B7C5EAA9E8487C8B7DCDA32","Pelmolen te Utrecht in 1643 J J Dodt van Flensburg 139 -141 1841")</f>
        <v>0</v>
      </c>
      <c r="D5268" s="1">
        <f>hyperlink("http://dspace.library.uu.nl/handle/1874/289759","Pelmolen te Utrecht in 1643 J J Dodt van Flensburg 139 -141 1841")</f>
        <v>0</v>
      </c>
    </row>
    <row r="5269" spans="2:4">
      <c r="B5269">
        <v>77</v>
      </c>
      <c r="C5269" s="1">
        <f>hyperlink("https://hetutrechtsarchief.nl/collectie/F3583C63FD4D5BE79A6B7190B685081B","Over de Elseviers Lodewijk den vader en Lodewijk den zoon en Joost Elsevier boekverkooper te Utrecht omstreeks 1600 J J Dodt van Flensburg 303 -312 1841")</f>
        <v>0</v>
      </c>
      <c r="D5269" s="1">
        <f>hyperlink("http://dspace.library.uu.nl/handle/1874/289760","Over de Elzevier s Lodewijk den vader en Lodewijk den zoon en Joost Elzevier boekverkooper te Utrecht omstreeks 1600 J J Dodt van Flensburg 303 -312 Utrecht voorheen en thans tijdschrift N van der Monde 2e serie jg 1 1844 p 19-20 1841-1844")</f>
        <v>0</v>
      </c>
    </row>
    <row r="5270" spans="2:4">
      <c r="B5270">
        <v>100</v>
      </c>
      <c r="C5270" s="1">
        <f>hyperlink("https://hetutrechtsarchief.nl/collectie/CD0F1FD4943A50BE9C2982F40665FE76","Prins Maurits te paard van zilver en nog iets anders J J Dodt van Flensburg 242 -244 1841")</f>
        <v>0</v>
      </c>
      <c r="D5270" s="1">
        <f>hyperlink("http://dspace.library.uu.nl/handle/1874/289761","Prins Maurits te paard van zilver en nog iets anders J J Dodt van Flensburg 242 -244 1841")</f>
        <v>0</v>
      </c>
    </row>
    <row r="5271" spans="2:4">
      <c r="B5271">
        <v>99</v>
      </c>
      <c r="C5271" s="1">
        <f>hyperlink("https://hetutrechtsarchief.nl/collectie/3D61BF208EA552809309AC6963492CB4","s Raets munt-verordeningen uit 1481 en volgende jaren J J Dodt van Flensburg 86-95 112-119 1846")</f>
        <v>0</v>
      </c>
      <c r="D5271" s="1">
        <f>hyperlink("http://dspace.library.uu.nl/handle/1874/289762","s Raets munt-verordeningen uit 1481 en volgende jaren J J Dodt van Flensburg 86 -95 112 -119 1846")</f>
        <v>0</v>
      </c>
    </row>
    <row r="5272" spans="2:4">
      <c r="B5272">
        <v>99</v>
      </c>
      <c r="C5272" s="1">
        <f>hyperlink("https://hetutrechtsarchief.nl/collectie/7F9E4526CE7A58FABA9674D5DD81E8BC","Iets over Thomas Bazijn J J Dodt van Flensburg 180-183 1844")</f>
        <v>0</v>
      </c>
      <c r="D5272" s="1">
        <f>hyperlink("http://dspace.library.uu.nl/handle/1874/289763","Iets over Thomas Bazijn J J Dodt van Flensburg 180 -183 1844")</f>
        <v>0</v>
      </c>
    </row>
    <row r="5273" spans="2:4">
      <c r="B5273">
        <v>100</v>
      </c>
      <c r="C5273" s="1">
        <f>hyperlink("https://hetutrechtsarchief.nl/collectie/3ABD4767897258A3A507B2C432910E20","Dit is een overdrachte om de stat te hoeden ende te bewaren om des aflaets wille dat hier wesen sel 1396 J J Dodt van Flensburg 67 -68 1842")</f>
        <v>0</v>
      </c>
      <c r="D5273" s="1">
        <f>hyperlink("http://dspace.library.uu.nl/handle/1874/289764","Dit is een overdrachte om de stat te hoeden ende te bewaren om des aflaetswille dat hier wesen sel 1396 J J Dodt van Flensburg 67 -68 1842")</f>
        <v>0</v>
      </c>
    </row>
    <row r="5274" spans="2:4">
      <c r="B5274">
        <v>86</v>
      </c>
      <c r="C5274" s="1">
        <f>hyperlink("https://hetutrechtsarchief.nl/collectie/5F30486147105299AC0A6D8D0EEDE22E","Blijken van mildheid der Utrechtsche regering ter aanmoediging van kunsten en wetenschappen enz J J Dodt van Flensburg 208-211 1841")</f>
        <v>0</v>
      </c>
      <c r="D5274" s="1">
        <f>hyperlink("http://dspace.library.uu.nl/handle/1874/289765","Blijken van mildheid der Utrechtsche regering ter aanmoediging van kunsten en wetenschappen enz J J Dodt van Flensburg 208-211 281-285 379 -383 jg 8 1842 p 138 -141 1841-1842")</f>
        <v>0</v>
      </c>
    </row>
    <row r="5275" spans="2:4">
      <c r="B5275">
        <v>77</v>
      </c>
      <c r="C5275" s="1">
        <f>hyperlink("https://hetutrechtsarchief.nl/collectie/C56E4FE249EF5516B61A6A1F8FD9928A","Kleermakers-gild 1580 in de Buurkerk 105 ill 1842")</f>
        <v>0</v>
      </c>
      <c r="D5275" s="1">
        <f>hyperlink("http://dspace.library.uu.nl/handle/1874/289766","Kleermakers-gild 1580 In de Buurkerk J J Dodt van Flensburg 105 1842")</f>
        <v>0</v>
      </c>
    </row>
    <row r="5276" spans="2:4">
      <c r="B5276">
        <v>93</v>
      </c>
      <c r="C5276" s="1">
        <f>hyperlink("https://hetutrechtsarchief.nl/collectie/3F2ACB1597F85E5487EF73F16B9D4924","Ordonnantie bij den raede der stadt Utrecht verleent den boeckprinters boeckbinders ende verlichters op den III decembris 1599 medegedeeld door J J Dodt van Flensburg 138-140 1845")</f>
        <v>0</v>
      </c>
      <c r="D5276" s="1">
        <f>hyperlink("http://dspace.library.uu.nl/handle/1874/289767","Ordonnantie bij den raede der stadt Utrecht verleent den boeckprinters boeckbinders ende verlichters op den III Decembris 1599 medeged door J J Dodt van Flensburg J J Dodt van Flensburg 138 -140 1845")</f>
        <v>0</v>
      </c>
    </row>
    <row r="5277" spans="2:4">
      <c r="B5277">
        <v>100</v>
      </c>
      <c r="C5277" s="1">
        <f>hyperlink("https://hetutrechtsarchief.nl/collectie/C3C0DE9C7BE95151A2D60AC88B834552","De gek van Utrecht en die van den Prins van Oranje J J Dodt van Flensburg 211-213 1841")</f>
        <v>0</v>
      </c>
      <c r="D5277" s="1">
        <f>hyperlink("http://dspace.library.uu.nl/handle/1874/289768","De gek van Utrecht en die van den prins van Oranje J J Dodt van Flensburg 211-213 1841")</f>
        <v>0</v>
      </c>
    </row>
    <row r="5278" spans="2:4">
      <c r="B5278">
        <v>95</v>
      </c>
      <c r="C5278" s="1">
        <f>hyperlink("https://hetutrechtsarchief.nl/collectie/F509E3102597564A8FB77A3BC78FD4DF","Iets bij hetgene Matthaeus vermeld heeft van het Clooster Vredendael J J Dodt v Fl 99 -101 1843")</f>
        <v>0</v>
      </c>
      <c r="D5278" s="1">
        <f>hyperlink("http://dspace.library.uu.nl/handle/1874/289769","Iets bij hetgene Matthaeus vermeld heeft van het Clooster Vredendael J J Dodt van Flensburg 99 -101 1843")</f>
        <v>0</v>
      </c>
    </row>
    <row r="5279" spans="2:4">
      <c r="B5279">
        <v>94</v>
      </c>
      <c r="C5279" s="1">
        <f>hyperlink("https://hetutrechtsarchief.nl/collectie/5A1D3AE75E215551AFDCEBAF4FE74F8B","James Nelthorp chirurgyn te Utrecht daarna opperste-chirurgyn van het Engelsche krijgsvolck hier te lande medeged door J J Dodt van Flensburg 63 -67 1841")</f>
        <v>0</v>
      </c>
      <c r="D5279" s="1">
        <f>hyperlink("http://dspace.library.uu.nl/handle/1874/289770","James Nelthorp chirurgyn te Utrecht daarna opperste-chirurgijn van het Engelsche krygsvolck hier te lande J J Dodt van Flensburg 63 -67 1841")</f>
        <v>0</v>
      </c>
    </row>
    <row r="5280" spans="2:4">
      <c r="B5280">
        <v>64</v>
      </c>
      <c r="C5280" s="1">
        <f>hyperlink("https://hetutrechtsarchief.nl/collectie/66C9B1221B7C5EAA9E8487C8B7DCDA32","Pelmolen te Utrecht in 1643 J J Dodt van Flensburg 139 -141 1841")</f>
        <v>0</v>
      </c>
      <c r="D5280" s="1">
        <f>hyperlink("http://dspace.library.uu.nl/handle/1874/289771","Goederen van Barnevelt In t Sticht van Utrecht 1623 J J Dodt van Flensburg 67-69 171-176 1841")</f>
        <v>0</v>
      </c>
    </row>
    <row r="5281" spans="2:4">
      <c r="B5281">
        <v>99</v>
      </c>
      <c r="C5281" s="1">
        <f>hyperlink("https://hetutrechtsarchief.nl/collectie/A2AAE87D997550E2B38DE13FAD8891FD","Iets over Cornelius Valerius van Audewater van Utrecht Hoogleeraar te Leuven van 1557-1578 J J Dodt van Flensburg 61-70 1846")</f>
        <v>0</v>
      </c>
      <c r="D5281" s="1">
        <f>hyperlink("http://dspace.library.uu.nl/handle/1874/289772","Iets over Cornelius Valerius van Audewater van Utrecht hoogleraar te Leuven van 1557-1578 J J Dodt van Flensburg 61 -70 1846")</f>
        <v>0</v>
      </c>
    </row>
    <row r="5282" spans="2:4">
      <c r="B5282">
        <v>93</v>
      </c>
      <c r="C5282" s="1">
        <f>hyperlink("https://hetutrechtsarchief.nl/collectie/A066DED7163B5A26AA7753A5C394A029","S Brigitte en hare aflaten te Utrecht J J Dodt v Fl 60 -65 1843")</f>
        <v>0</v>
      </c>
      <c r="D5282" s="1">
        <f>hyperlink("http://dspace.library.uu.nl/handle/1874/289773","S Brigitte en hare aflaten te Utrecht J J Dodt van Flensburg 60 -65 1843")</f>
        <v>0</v>
      </c>
    </row>
    <row r="5283" spans="2:4">
      <c r="B5283">
        <v>100</v>
      </c>
      <c r="C5283" s="1">
        <f>hyperlink("https://hetutrechtsarchief.nl/collectie/B9852FAD24155326804DBAE2534F055D","Over de geloofwaardigheid van oude bescheiden P J Vermeulen 420 -425 1842")</f>
        <v>0</v>
      </c>
      <c r="D5283" s="1">
        <f>hyperlink("http://dspace.library.uu.nl/handle/1874/289774","Over de geloofwaardigheid van oude bescheiden P J Vermeulen 420 -425 1842")</f>
        <v>0</v>
      </c>
    </row>
    <row r="5284" spans="2:4">
      <c r="B5284">
        <v>53</v>
      </c>
      <c r="C5284" s="1">
        <f>hyperlink("https://hetutrechtsarchief.nl/collectie/7D253EE73855558E9CD1CEC5BDC36A4A","Over de bisschoppelijke munt J J Dodt v Fl 314 -321 344 -350 386 -393 415 -421 1843")</f>
        <v>0</v>
      </c>
      <c r="D5284" s="1">
        <f>hyperlink("http://dspace.library.uu.nl/handle/1874/289775","Over de bisschoppelijke munt J J Dodt van Flensburg 314 -321 344 -350 386 -393 415 -421 Utrecht voorheen en thans tijdschrift voor geschiedenis oudheden en statistiek van Utrecht N van der Monde 2e serie jg 1 1844 p 16-19 1843-1844")</f>
        <v>0</v>
      </c>
    </row>
    <row r="5285" spans="2:4">
      <c r="B5285">
        <v>96</v>
      </c>
      <c r="C5285" s="1">
        <f>hyperlink("https://hetutrechtsarchief.nl/collectie/147FA42A63EA5E3EB1F41E05EF2BE988","Roerende van die questie van Sinte Anthonis ten Belle in Vlaanderen contra die van den Dom 1533 J J Dodt v Fl 101-104 1843")</f>
        <v>0</v>
      </c>
      <c r="D5285" s="1">
        <f>hyperlink("http://dspace.library.uu.nl/handle/1874/289776","Roerende van die questie van Sinte Anthonis ten Belle in Vlaanderen contra die van den Dom 1533 J J Dodt van Flensburg 101-104 1843")</f>
        <v>0</v>
      </c>
    </row>
    <row r="5286" spans="2:4">
      <c r="B5286">
        <v>96</v>
      </c>
      <c r="C5286" s="1">
        <f>hyperlink("https://hetutrechtsarchief.nl/collectie/78D8F1E75E2B5C458757ADFBCABE415F","Waarom Gerrit van Blochoven bedienaar des woords te Utrecht van zijn e dienst werd verdragen in den jare 1598 J J Dodt v Fl 128-131 1843")</f>
        <v>0</v>
      </c>
      <c r="D5286" s="1">
        <f>hyperlink("http://dspace.library.uu.nl/handle/1874/289777","Waarom Gerrit van Blochoven bedienaar des woords te Utrecht van zijne dienst werd verdragen in den jare 1598 J J Dodt van Flensburg 128-131 1843")</f>
        <v>0</v>
      </c>
    </row>
    <row r="5287" spans="2:4">
      <c r="B5287">
        <v>63</v>
      </c>
      <c r="C5287" s="1">
        <f>hyperlink("https://hetutrechtsarchief.nl/collectie/2E5D621EAFC65CA2A0B5BE592C769C8D","De vrouw en kinderen van Prof Karel de Maets J J Dodt van Flensburg 238-239 1844")</f>
        <v>0</v>
      </c>
      <c r="D5287" s="1">
        <f>hyperlink("http://dspace.library.uu.nl/handle/1874/289778","Ordonnancie opte coeren vande Buerkercketoorn den 1e Maart 1542 J J Dodt van Flensburg 39-40 1846")</f>
        <v>0</v>
      </c>
    </row>
    <row r="5288" spans="2:4">
      <c r="B5288">
        <v>58</v>
      </c>
      <c r="C5288" s="1">
        <f>hyperlink("https://hetutrechtsarchief.nl/collectie/8DC54B1A6FB654F88947E2E43EF644FD","De Dom- of St Maartens kerk L E Bosch 83-124 1864")</f>
        <v>0</v>
      </c>
      <c r="D5288" s="1">
        <f>hyperlink("http://dspace.library.uu.nl/handle/1874/289779","De gemeente Oostveen of St Maartensdijk F Eijck tot Zuilichem 121 -129 1846")</f>
        <v>0</v>
      </c>
    </row>
    <row r="5289" spans="2:4">
      <c r="B5289">
        <v>97</v>
      </c>
      <c r="C5289" s="1">
        <f>hyperlink("https://hetutrechtsarchief.nl/collectie/A52F2128A3395202958111463001F04B","Kort overzicht der middeleeuwsche kerken-bouwkunst in Nederland en inzonderheid in het Sticht van Utrecht F N Eijck tot Zuylichem 81-96 101-119 121-133 1845")</f>
        <v>0</v>
      </c>
      <c r="D5289" s="1">
        <f>hyperlink("http://dspace.library.uu.nl/handle/1874/289780","Kort overzigt der middeleeuwsche kerken-bouwkunst in Nederland en inzonderheid in het Sticht van Utrecht F Eijck tot Zuilichem 81 -96 101 -119 121 -133 1845")</f>
        <v>0</v>
      </c>
    </row>
    <row r="5290" spans="2:4">
      <c r="B5290">
        <v>84</v>
      </c>
      <c r="C5290" s="1">
        <f>hyperlink("https://hetutrechtsarchief.nl/collectie/0DD65CC104E05B2987FCA714DDF26B74","Oudegein en het Gein J J de Geer 1 -24 73 -89 1 uitvouwb pl 1843")</f>
        <v>0</v>
      </c>
      <c r="D5290" s="1">
        <f>hyperlink("http://dspace.library.uu.nl/handle/1874/289781","Oudegein en het Gein J J de Geer 1 -24 37 -59 73 -89 1843")</f>
        <v>0</v>
      </c>
    </row>
    <row r="5291" spans="2:4">
      <c r="B5291">
        <v>90</v>
      </c>
      <c r="C5291" s="1">
        <f>hyperlink("https://hetutrechtsarchief.nl/collectie/5C8D34B441295F93B46927F2A6BEF52E","Schets van het voormalige handelsverkeer door het Gein J J de Geer 361 -385 397 -414 1 uitvouwb pl 1843")</f>
        <v>0</v>
      </c>
      <c r="D5291" s="1">
        <f>hyperlink("http://dspace.library.uu.nl/handle/1874/289782","Eene schets van het voormalige handelsverkeer door het Gein J J de Geer 361 -385 397 -414 1843")</f>
        <v>0</v>
      </c>
    </row>
    <row r="5292" spans="2:4">
      <c r="B5292">
        <v>69</v>
      </c>
      <c r="C5292" s="1">
        <f>hyperlink("https://hetutrechtsarchief.nl/collectie/969E732EB0B95D1BB54C2FC287052AD2","Onuitgegeven oorkonden aangaande het patronaatregt der kerk te Jutphaas medeged door J J de Geer 168 -197 1860")</f>
        <v>0</v>
      </c>
      <c r="D5292" s="1">
        <f>hyperlink("http://dspace.library.uu.nl/handle/1874/289783","Over het patronaat-regt der kerk van Jutphaas J J de Geer 1 -16 1845")</f>
        <v>0</v>
      </c>
    </row>
    <row r="5293" spans="2:4">
      <c r="B5293">
        <v>89</v>
      </c>
      <c r="C5293" s="1">
        <f>hyperlink("https://hetutrechtsarchief.nl/collectie/CDA82F7101F25174863C8D9D48BFE14D","Adelbold bisschop van Utrecht 1008-1027 200 -205 1841")</f>
        <v>0</v>
      </c>
      <c r="D5293" s="1">
        <f>hyperlink("http://dspace.library.uu.nl/handle/1874/289784","Adelbold bisschop van Utrecht 1008-1027 F V Goethals 200 -205 1841")</f>
        <v>0</v>
      </c>
    </row>
    <row r="5294" spans="2:4">
      <c r="B5294">
        <v>75</v>
      </c>
      <c r="C5294" s="1">
        <f>hyperlink("https://hetutrechtsarchief.nl/collectie/9E5F39F793445DB0B392F651FB6EF1BB","Chronyck van Utrecht door J F van der Goude N van der Monde 21-33 41-52 61-74 141-154 1845")</f>
        <v>0</v>
      </c>
      <c r="D5294" s="1">
        <f>hyperlink("http://dspace.library.uu.nl/handle/1874/289785","Chronyck van Utrecht door J F van der Goude medeged door N -M N van der Goude J F van der J F van Cortgeen Monde 21 -33 41 -52 61 -74 141 -156 1845")</f>
        <v>0</v>
      </c>
    </row>
    <row r="5295" spans="2:4">
      <c r="B5295">
        <v>53</v>
      </c>
      <c r="C5295" s="1">
        <f>hyperlink("https://hetutrechtsarchief.nl/collectie/19E7D8D10A595A07A1016014B39274BB","Bijdrage tot de geschiedenis der Hervormingsberoerte in Utrecht en omstreken in 1566 en 1567 J van Vloten 235-288 1858")</f>
        <v>0</v>
      </c>
      <c r="D5295" s="1">
        <f>hyperlink("http://dspace.library.uu.nl/handle/1874/289786","Een abt tegen ambtenaren benoemingsperikelen in het klooster Oostbroek 1561-1566 R H Vermij 33-38 1986")</f>
        <v>0</v>
      </c>
    </row>
    <row r="5296" spans="2:4">
      <c r="B5296">
        <v>94</v>
      </c>
      <c r="C5296" s="1">
        <f>hyperlink("https://hetutrechtsarchief.nl/collectie/777CE8AA26475CA6BCE51414D7D8D22A","Jonkhr Mr H M A J van Asch van Wijck in betrekking tot dit tijdschrift - N M 426 -429 1843")</f>
        <v>0</v>
      </c>
      <c r="D5296" s="1">
        <f>hyperlink("http://dspace.library.uu.nl/handle/1874/289787","Jonkhr mr H M A J van Asch van Wijck in betrekking tot dit tijdschrift N van der Monde 426 -429 1843")</f>
        <v>0</v>
      </c>
    </row>
    <row r="5297" spans="2:4">
      <c r="B5297">
        <v>94</v>
      </c>
      <c r="C5297" s="1">
        <f>hyperlink("https://hetutrechtsarchief.nl/collectie/3C203696BE525B68BF189B3B884C78B2","Pardoen Anthonis van Doeyenburch 1559 J J Dodt v Fl 196 -201 1843")</f>
        <v>0</v>
      </c>
      <c r="D5297" s="1">
        <f>hyperlink("http://dspace.library.uu.nl/handle/1874/289788","Pardoen Anthonis van Doeyenburch 1559 J J Dodt van Flensburg 196 -201 1843")</f>
        <v>0</v>
      </c>
    </row>
    <row r="5298" spans="2:4">
      <c r="B5298">
        <v>93</v>
      </c>
      <c r="C5298" s="1">
        <f>hyperlink("https://hetutrechtsarchief.nl/collectie/BEFA568D51F5558E91D8F2076A400F2E","De boom van Jesse eene muurschilderij uit de xv eeuw in de Buurkerk te Utrecht beschreven en opgehelderd door L J F Janssen 140-159 ill 1846")</f>
        <v>0</v>
      </c>
      <c r="D5298" s="1">
        <f>hyperlink("http://dspace.library.uu.nl/handle/1874/289789","De boom van Jesse eene muurschilderij uit de XV eeuw in de Buurkerk te Utrecht beschreven en opgehelderd door L J F Janssen L J F Janssen 141 -159 1846")</f>
        <v>0</v>
      </c>
    </row>
    <row r="5299" spans="2:4">
      <c r="B5299">
        <v>54</v>
      </c>
      <c r="C5299" s="1">
        <f>hyperlink("https://hetutrechtsarchief.nl/collectie/BEFA568D51F5558E91D8F2076A400F2E","De boom van Jesse eene muurschilderij uit de xv eeuw in de Buurkerk te Utrecht beschreven en opgehelderd door L J F Janssen 140-159 ill 1846")</f>
        <v>0</v>
      </c>
      <c r="D5299" s="1">
        <f>hyperlink("http://dspace.library.uu.nl/handle/1874/289790","Over een Romeinschen steen in het jaar 1839 te Werkhoven opgegraven L J F Janssen 109 -113 1843")</f>
        <v>0</v>
      </c>
    </row>
    <row r="5300" spans="2:4">
      <c r="B5300">
        <v>99</v>
      </c>
      <c r="C5300" s="1">
        <f>hyperlink("https://hetutrechtsarchief.nl/collectie/FB213ACFB76A5FAA95BB01374D34CB57","Dit ist verbot van de vercopinge ende lecture van de boucken van Martin Luther ende zynen adherenten etc Ende is gepubliceert des manendages nae invocavit A 1529 193-197 1846")</f>
        <v>0</v>
      </c>
      <c r="D5300" s="1">
        <f>hyperlink("http://dspace.library.uu.nl/handle/1874/289791","Dit ist verbot van de vercopinge ende lecture van de boucken van Marthin Luther ende zynen adherenten etc Ende is gepubliceert des manendages nae invocavit anno 1529 193 -197 1846")</f>
        <v>0</v>
      </c>
    </row>
    <row r="5301" spans="2:4">
      <c r="B5301">
        <v>61</v>
      </c>
      <c r="C5301" s="1">
        <f>hyperlink("https://hetutrechtsarchief.nl/collectie/EF01E1DB0C2F53298C8081D73E8C2CC3","Doctor Putius pestmeester te Utrecht J J Dodt van Flensburg 206 -208 1841")</f>
        <v>0</v>
      </c>
      <c r="D5301" s="1">
        <f>hyperlink("http://dspace.library.uu.nl/handle/1874/289792","Jo Oridryus schoolmeester te Amersfoort geinfecteert van heresie 1550 J J Dodt van Flensburg 241-245 1843")</f>
        <v>0</v>
      </c>
    </row>
    <row r="5302" spans="2:4">
      <c r="B5302">
        <v>55</v>
      </c>
      <c r="C5302" s="1">
        <f>hyperlink("https://hetutrechtsarchief.nl/collectie/C1E616CF399158C683E547946174FAAF","Mislukte vredesonderhandelingen tusschen den bisschop David van Bourgondien en de stad Utrecht 181 -191 217 -235 1843")</f>
        <v>0</v>
      </c>
      <c r="D5302" s="1">
        <f>hyperlink("http://dspace.library.uu.nl/handle/1874/289793","Statistieke aanteekeningen behoorende bij het Tijdschrift voor oudheden enz van het bisdom de provincie en de stad Utrecht 1847-1850")</f>
        <v>0</v>
      </c>
    </row>
    <row r="5303" spans="2:4">
      <c r="B5303">
        <v>65</v>
      </c>
      <c r="C5303" s="1">
        <f>hyperlink("https://hetutrechtsarchief.nl/collectie/FC276587FE2854A58D771161CC9830DF","Verbod van uitvoer van koorn 1530 N van der Monde 174-178 1845")</f>
        <v>0</v>
      </c>
      <c r="D5303" s="1">
        <f>hyperlink("http://dspace.library.uu.nl/handle/1874/289794","Tooverij in 1651 N van der Monde 196-197 1845")</f>
        <v>0</v>
      </c>
    </row>
    <row r="5304" spans="2:4">
      <c r="B5304">
        <v>56</v>
      </c>
      <c r="C5304" s="1">
        <f>hyperlink("https://hetutrechtsarchief.nl/collectie/4C168ACF49EE5504A05C6767DD734446","De identificatie van een foto het college van collectanten van de Gereformeerde Kerk J N van der Meulen 84-86 ill 1986")</f>
        <v>0</v>
      </c>
      <c r="D5304" s="1">
        <f>hyperlink("http://dspace.library.uu.nl/handle/1874/289795","Royeeringe van een notel in de acten van de kerkenraad rakende de professor Ro l N van der Monde 195 -196 1845")</f>
        <v>0</v>
      </c>
    </row>
    <row r="5305" spans="2:4">
      <c r="B5305">
        <v>97</v>
      </c>
      <c r="C5305" s="1">
        <f>hyperlink("https://hetutrechtsarchief.nl/collectie/2B2EA9031A6553C6AC161B44F9E5FEB1","De rivieren de Vecht Anxtel Dregt Geuzesloot de Zudde Weer en Nieuwe Wetering N van der Monde 165-183 195-200 205-216 230-236 1844")</f>
        <v>0</v>
      </c>
      <c r="D5305" s="1">
        <f>hyperlink("http://dspace.library.uu.nl/handle/1874/289796","De rivieren de Vecht Anxtel Dregt Geuzesloot de Zudde Weer en Nieuwe Wetering N van der Monde 165 -179 195 -200 205 -216 230 -236 1844")</f>
        <v>0</v>
      </c>
    </row>
    <row r="5306" spans="2:4">
      <c r="B5306">
        <v>95</v>
      </c>
      <c r="C5306" s="1">
        <f>hyperlink("https://hetutrechtsarchief.nl/collectie/C844FC4620015EF1B9E095A28266D5CE","Over Theodorus Cornelius Bergius die voor 1527 rector van de Hieronymusschool te Utrecht zou zijn geweest J J Dodt v Fl 25 -31 1843")</f>
        <v>0</v>
      </c>
      <c r="D5306" s="1">
        <f>hyperlink("http://dspace.library.uu.nl/handle/1874/289797","Over Theodorus Cornelius Bergius die v r 1527 rector van de Hieronymus-school te Utrecht zou zijn geweest J J Dodt van Flensburg 25 -31 1843")</f>
        <v>0</v>
      </c>
    </row>
    <row r="5307" spans="2:4">
      <c r="B5307">
        <v>89</v>
      </c>
      <c r="C5307" s="1">
        <f>hyperlink("https://hetutrechtsarchief.nl/collectie/F9B7CA20E5455F5285278CA650791CF3","Prins Maurits te Utrecht 25 Julij-13 Augustus 1618 37 -60 73 -95 109 -129 1842")</f>
        <v>0</v>
      </c>
      <c r="D5307" s="1">
        <f>hyperlink("http://dspace.library.uu.nl/handle/1874/289798","Prins Maurits te Utrecht 25 Julij - 13 Augustus 1618 N van der Monde 37 -60 73 -95 109 -123 1842")</f>
        <v>0</v>
      </c>
    </row>
    <row r="5308" spans="2:4">
      <c r="B5308">
        <v>97</v>
      </c>
      <c r="C5308" s="1">
        <f>hyperlink("https://hetutrechtsarchief.nl/collectie/7359940F54BC555F8C24DD5F5CADF2C8","Ridderlijke Duitsche Orde land-commandeurs der Utrechtsche balie 1260-1620 73 -81 1 pl 1841")</f>
        <v>0</v>
      </c>
      <c r="D5308" s="1">
        <f>hyperlink("http://dspace.library.uu.nl/handle/1874/289799","Ridderlijke Duitsche Orde landcommandeurs der Utrechtsche balie 1260-1620 73 -81 1841")</f>
        <v>0</v>
      </c>
    </row>
    <row r="5309" spans="2:4">
      <c r="B5309">
        <v>88</v>
      </c>
      <c r="C5309" s="1">
        <f>hyperlink("https://hetutrechtsarchief.nl/collectie/70AA2A8627D855D8ACC2D603E2D1DE41","Mr Gillis chirurgijn te Utrecht geneest Prins Willem I in 1582 J J Dodt van Flensburg 377 -379 1842")</f>
        <v>0</v>
      </c>
      <c r="D5309" s="1">
        <f>hyperlink("http://dspace.library.uu.nl/handle/1874/289801","Mr Gillis chirurgijn te Utrecht geneest Prins Willem I in 1582 N van der Monde 377 -379 1842")</f>
        <v>0</v>
      </c>
    </row>
    <row r="5310" spans="2:4">
      <c r="B5310">
        <v>73</v>
      </c>
      <c r="C5310" s="1">
        <f>hyperlink("https://hetutrechtsarchief.nl/collectie/5B2AC68F170851B69A6ADB60E0CC286E","Het Sint Jansveld 109 -124 181 -199 2 uitvouwb pl 1841")</f>
        <v>0</v>
      </c>
      <c r="D5310" s="1">
        <f>hyperlink("http://dspace.library.uu.nl/handle/1874/289802","Het Sint Jansveld N van der Monde 109 -124 181 -199 1841")</f>
        <v>0</v>
      </c>
    </row>
    <row r="5311" spans="2:4">
      <c r="B5311">
        <v>100</v>
      </c>
      <c r="C5311" s="1">
        <f>hyperlink("https://hetutrechtsarchief.nl/collectie/EF01E1DB0C2F53298C8081D73E8C2CC3","Doctor Putius pestmeester te Utrecht J J Dodt van Flensburg 206 -208 1841")</f>
        <v>0</v>
      </c>
      <c r="D5311" s="1">
        <f>hyperlink("http://dspace.library.uu.nl/handle/1874/289803","Doctor Putius pestmeester te Utrecht J J Dodt van Flensburg 206 -208 1841")</f>
        <v>0</v>
      </c>
    </row>
    <row r="5312" spans="2:4">
      <c r="B5312">
        <v>95</v>
      </c>
      <c r="C5312" s="1">
        <f>hyperlink("https://hetutrechtsarchief.nl/collectie/8FB5114050B9547EBE35FD5A2ECE6BB8","Feestvieringen te houden bij de plegtige intrede van Prins Willem V binnen Utrecht vastgesteld den 2 junij 1766 1 - N -M 21-31 1846")</f>
        <v>0</v>
      </c>
      <c r="D5312" s="1">
        <f>hyperlink("http://dspace.library.uu.nl/handle/1874/289804","Feestvieringen te houden bij de plegtige intrede van prins Willem V binnen Utrecht vastgesteld den 2 junij 1766 N van der Monde 21 -31 1846")</f>
        <v>0</v>
      </c>
    </row>
    <row r="5313" spans="2:4">
      <c r="B5313">
        <v>84</v>
      </c>
      <c r="C5313" s="1">
        <f>hyperlink("https://hetutrechtsarchief.nl/collectie/330A30626E20560A88B8871086405FDD","Onderstand aan de Waldensen door Nederland verleend bepaaldelijk te Utrecht 1658 N van der Monde 221-238 1845")</f>
        <v>0</v>
      </c>
      <c r="D5313" s="1">
        <f>hyperlink("http://dspace.library.uu.nl/handle/1874/289805","Onderstand aan de Waldensen door Nederland verleend N van der Monde 221 -238 1845")</f>
        <v>0</v>
      </c>
    </row>
    <row r="5314" spans="2:4">
      <c r="B5314">
        <v>94</v>
      </c>
      <c r="C5314" s="1">
        <f>hyperlink("https://hetutrechtsarchief.nl/collectie/11478FAC30815A258BE5B380E675DC39","Vonnis van keizer Karel V tegen den heer Reinout van Brederode in 1531 - N -M 32-39 1846")</f>
        <v>0</v>
      </c>
      <c r="D5314" s="1">
        <f>hyperlink("http://dspace.library.uu.nl/handle/1874/289806","Vonnis van Keizer Karel V tegen den Heer Reinout van Brederode in 1531 N van der Monde 32 -39 1846")</f>
        <v>0</v>
      </c>
    </row>
    <row r="5315" spans="2:4">
      <c r="B5315">
        <v>52</v>
      </c>
      <c r="C5315" s="1">
        <f>hyperlink("https://hetutrechtsarchief.nl/collectie/1A251873A7F259D4B0BE6AE9B69DBBBE","Studenten en nationaal gevoel in Nederland einde achttiende eeuw tot en met de twintigste eeuw onder red van W van den Broeke en P van Hees 3 -75 ill 1998")</f>
        <v>0</v>
      </c>
      <c r="D5315" s="1">
        <f>hyperlink("http://dspace.library.uu.nl/handle/1874/289807","Erfwapenen en kwartieren in Nederland discours vande erfwapenen ende quartieren ende omtrent welcken tijt die begonnen hebben ad d o m a n de Oudeghein N van der Buchel Arnodlus van Monde 161 -166 1845")</f>
        <v>0</v>
      </c>
    </row>
    <row r="5316" spans="2:4">
      <c r="B5316">
        <v>76</v>
      </c>
      <c r="C5316" s="1">
        <f>hyperlink("https://hetutrechtsarchief.nl/collectie/D0BF825913A55592A5F4D7E849A4AF51","De gilden te Utrecht 1455 en 1456 N van der Monde 1 -5 1 pl 1842")</f>
        <v>0</v>
      </c>
      <c r="D5316" s="1">
        <f>hyperlink("http://dspace.library.uu.nl/handle/1874/289808","De gilden te Utrecht 1455 en 1456 Met de afbeelding hunner zegelen N van der Monde 1 -5 1842")</f>
        <v>0</v>
      </c>
    </row>
    <row r="5317" spans="2:4">
      <c r="B5317">
        <v>100</v>
      </c>
      <c r="C5317" s="1">
        <f>hyperlink("https://hetutrechtsarchief.nl/collectie/26DDE00A81D45B238DCF9D22762DA5DB","Goederen de abdij van Oostbroek toebehoord hebbende en welke gelegen waren in den verdronken Zuidhollandschen Waard 66 -69 1843")</f>
        <v>0</v>
      </c>
      <c r="D5317" s="1">
        <f>hyperlink("http://dspace.library.uu.nl/handle/1874/289810","Goederen de abdij van Oostbroek toebehoord hebbende en welke gelegen waren in den verdronken Zuidhollandschen Waard 66 -69 1843")</f>
        <v>0</v>
      </c>
    </row>
    <row r="5318" spans="2:4">
      <c r="B5318">
        <v>94</v>
      </c>
      <c r="C5318" s="1">
        <f>hyperlink("https://hetutrechtsarchief.nl/collectie/4588C0424FDB59D4A56F2366386AE368","Planten van meijen bijdrage tot de zeden en gewoonten der Utrechtenaren - N M 136 -140 1843")</f>
        <v>0</v>
      </c>
      <c r="D5318" s="1">
        <f>hyperlink("http://dspace.library.uu.nl/handle/1874/289811","Planten van meijen bijdrage tot de zeden en gewoonten der Utrechtenaren N van der Monde 136 -140 1843")</f>
        <v>0</v>
      </c>
    </row>
    <row r="5319" spans="2:4">
      <c r="B5319">
        <v>92</v>
      </c>
      <c r="C5319" s="1">
        <f>hyperlink("https://hetutrechtsarchief.nl/collectie/75FDC2FB36CD5F1394C5C31CB13F1AF2","Maria de Medicis Koningin van Frankrijk doet aanzoek om te Utrecht te wonen medegedeeld door N van der Monde 50-59 1846")</f>
        <v>0</v>
      </c>
      <c r="D5319" s="1">
        <f>hyperlink("http://dspace.library.uu.nl/handle/1874/289812","Maria de Medicis Koningin van Frankrijk doet aanzoek om te Utrecht te wonen medeged door N van der Monde N van der Monde 50 -59 1846")</f>
        <v>0</v>
      </c>
    </row>
    <row r="5320" spans="2:4">
      <c r="B5320">
        <v>96</v>
      </c>
      <c r="C5320" s="1">
        <f>hyperlink("https://hetutrechtsarchief.nl/collectie/C93031C3018E5ED5A11A28DAC6DE4146","Kees Groeneveld 1897-1986 C L Temminck Groll 28-29 ill 1986")</f>
        <v>0</v>
      </c>
      <c r="D5320" s="1">
        <f>hyperlink("http://dspace.library.uu.nl/handle/1874/289813","Kees Groeneveld 1897-1986 C L Temminck Groll 28-29 1986")</f>
        <v>0</v>
      </c>
    </row>
    <row r="5321" spans="2:4">
      <c r="B5321">
        <v>54</v>
      </c>
      <c r="C5321" s="1">
        <f>hyperlink("https://hetutrechtsarchief.nl/collectie/9B424663A52E5F7885F2B2C5F689EF8A","Rekeningen van kerkelijke en wereldlijke besturen J J Dodt van Flensburg 312-317 1841")</f>
        <v>0</v>
      </c>
      <c r="D5321" s="1">
        <f>hyperlink("http://dspace.library.uu.nl/handle/1874/289814","Rekeningen van kerkelijke en wereldlijke besturen I Uit de rekeninghe van Taeko van Montzima als bailliu van den proest van St Jan te Utrecht Bucho van Montzima zijnen broeder 1569 en volg jaren J J Dodt van Flensburg 312-317 1841")</f>
        <v>0</v>
      </c>
    </row>
    <row r="5322" spans="2:4">
      <c r="B5322">
        <v>100</v>
      </c>
      <c r="C5322" s="1">
        <f>hyperlink("https://hetutrechtsarchief.nl/collectie/96D93FA97DA652B8B4DD08321CAB111F","Aert van Eyck lector quartae classis bij de Hieronymus-school te Utrecht J J Dodt van Flensburg 145-154 1844")</f>
        <v>0</v>
      </c>
      <c r="D5322" s="1">
        <f>hyperlink("http://dspace.library.uu.nl/handle/1874/289815","Aert van Eyck lector quartae classis bij de Hieronymus-school te Utrecht J J Dodt van Flensburg 145 -154 1844")</f>
        <v>0</v>
      </c>
    </row>
    <row r="5323" spans="2:4">
      <c r="B5323">
        <v>87</v>
      </c>
      <c r="C5323" s="1">
        <f>hyperlink("https://hetutrechtsarchief.nl/collectie/DF96A2F2E6DE59669D787B30595C4F49","De prinsen Joan Willem Friso en deszelfs zoon Willem Karel Hendrik Friso in 1701 en 1727 studenten aan de Utrechtsche Hoogeschool 318-321 1841")</f>
        <v>0</v>
      </c>
      <c r="D5323" s="1">
        <f>hyperlink("http://dspace.library.uu.nl/handle/1874/289816","De prinsen Joan Willem Friso en deszelfs zoon Willem Karel Hendrik Friso in 1701 en 1727 studenten aan de Utrechtsche Hoogeschool geextraheert uit de Vroetschaps resolutien 318 -321 1841")</f>
        <v>0</v>
      </c>
    </row>
    <row r="5324" spans="2:4">
      <c r="B5324">
        <v>93</v>
      </c>
      <c r="C5324" s="1">
        <f>hyperlink("https://hetutrechtsarchief.nl/collectie/70A69B8877175A8FA239FA30C35C15B3","Declaratie ende specificatie van tghene dat gheordineert is nopende het servitio dat men geven moet den Spaenschen volcke van orloghe die synder Ma dienen in dese syne Nederlanden medeged door G D J Schotel 176 -177 1843")</f>
        <v>0</v>
      </c>
      <c r="D5324" s="1">
        <f>hyperlink("http://dspace.library.uu.nl/handle/1874/289817","Declaratie ende Specificatie van tghene dat gheordineert is nopende het servitio dat men geven moet den Spaenschen volcke van orloghe die synder Ma dienen in dese syne Nederlanden Utrecht aug 1569 medeged door G D J Schotel G D J Schotel 176 -177 1843")</f>
        <v>0</v>
      </c>
    </row>
    <row r="5325" spans="2:4">
      <c r="B5325">
        <v>71</v>
      </c>
      <c r="C5325" s="1">
        <f>hyperlink("https://hetutrechtsarchief.nl/collectie/3DE5678E71C05D229CC2E829EDA791D4","Verhael van t gene is voorgevalle tot Utrecht in de maent van Novemb des jaers 1673 aengaende t teyckenen van t fameuse request t welck by eenige borgers der stadt Utrecht doenmaels aen den Graaff Willem van Hoorn is gepresenteert medeged door G D J Schotel 145 -165 1843")</f>
        <v>0</v>
      </c>
      <c r="D5325" s="1">
        <f>hyperlink("http://dspace.library.uu.nl/handle/1874/289818","Verhael van t gene is voorgevallen tot Utrecht in de maent van Novemb des jaers 1673 aangaende t teyckenen van t fameuse Req G D J Schotel 145 -165 1843")</f>
        <v>0</v>
      </c>
    </row>
    <row r="5326" spans="2:4">
      <c r="B5326">
        <v>88</v>
      </c>
      <c r="C5326" s="1">
        <f>hyperlink("https://hetutrechtsarchief.nl/collectie/AE3980FD33A35051847CA3CFDB7764FF","Hoofdschouten in de steden der provincie Utrecht onder Keizer Karel V en Philips II met den zakelijken inhoud hunner instructien 374 -378 1841")</f>
        <v>0</v>
      </c>
      <c r="D5326" s="1">
        <f>hyperlink("http://dspace.library.uu.nl/handle/1874/289819","Hoofdschouten in de steden der provincie Utrecht onder keizer Karel V en Philips II met den zakelijken inhoud hunner instructien naar een H S geschreven omstreeks 1630 374 -378 1841")</f>
        <v>0</v>
      </c>
    </row>
    <row r="5327" spans="2:4">
      <c r="B5327">
        <v>89</v>
      </c>
      <c r="C5327" s="1">
        <f>hyperlink("https://hetutrechtsarchief.nl/collectie/6E749329F704504BA8D3322D6F0BA4B9","De Heerlijkheid en het Huis Amerongen regtskundig advies in het proces over het bezit dezer heerlijkheid gevoerd tusschen de twee zonen van de heer Goort Govert van Reede ridder heer van Sasvelt Amerongen enz omtrent het jaar 1608 65-78 85-103 1844")</f>
        <v>0</v>
      </c>
      <c r="D5327" s="1">
        <f>hyperlink("http://dspace.library.uu.nl/handle/1874/289820","De heerlijkheid en het Huis Amerongen regtskundig advies in het proces over het bezit dezer heerlijkheid gevoerd tusschen de twee zonen van den heer Goort Govert van Reede ridder heer van Saesvelt Amerongen enz omtrent het jaar 1608 volgens het handschrift van A van Buchell A van Buchell 65 -78 85 -103 1844")</f>
        <v>0</v>
      </c>
    </row>
    <row r="5328" spans="2:4">
      <c r="B5328">
        <v>61</v>
      </c>
      <c r="C5328" s="1">
        <f>hyperlink("https://hetutrechtsarchief.nl/collectie/1000560B491B542CBD8345FC19B9D658","Sommier rapport van t gene die heren Jonckheer Johan van Duvenvoirde Domdeecken Mr Floris Heermale Thesaurier t Oude Munster gebesoigneert hebben in de commissie van de voorsz Staten op hen luyden gedepecheert den vijfden dach Decembris anno LXXXV stilo vetri ende dat om te voltrecken die handelinge met de Co Mat van Engelant in Engelant begost ende gesloten Ende mede om t ontfangen den Heere Grave van Leycester voor Gouverneur J J Dodt van Flensburg 105-119 1844")</f>
        <v>0</v>
      </c>
      <c r="D5328" s="1">
        <f>hyperlink("http://dspace.library.uu.nl/handle/1874/289821","Sommier rapport van t gene die Heeren Jonckheer Johan van Duvenvoirde Domdeecken gebesoigneert hebben in de Commissie van den voorsz Staten den vyfden dach Decembris anno LXXXV J J Dodt van Flensburg 105 -119 1844")</f>
        <v>0</v>
      </c>
    </row>
    <row r="5329" spans="2:4">
      <c r="B5329">
        <v>90</v>
      </c>
      <c r="C5329" s="1">
        <f>hyperlink("https://hetutrechtsarchief.nl/collectie/0185C2D2FF6451B583846EDC1E4B7B43","Hoe Bisschop Dierck van Wtrecht aflyvigh worde en van eenen dispensier ofte Rentmeester des voorseyden Bisschop 162-164 1844")</f>
        <v>0</v>
      </c>
      <c r="D5329" s="1">
        <f>hyperlink("http://dspace.library.uu.nl/handle/1874/289822","Hoe bisschop Dierck van Utrecht aflyvigh worde en van eenen dispensier ofte rentmeester des voorseyden bisschop uit eene oude chronijk 162 -164 1844")</f>
        <v>0</v>
      </c>
    </row>
    <row r="5330" spans="2:4">
      <c r="B5330">
        <v>98</v>
      </c>
      <c r="C5330" s="1">
        <f>hyperlink("https://hetutrechtsarchief.nl/collectie/97EE6EC1E24D5D5EA0BD006EE2DCB069","Johannes Luntius rector van de Hieronymus-school te Utrecht 1597-1607 J J Dodt van Flensburg 34-39 53-59 1845")</f>
        <v>0</v>
      </c>
      <c r="D5330" s="1">
        <f>hyperlink("http://dspace.library.uu.nl/handle/1874/289823","Johannes Luntius rector van het Hieronymus-school te Utrecht 1597-1607 J J Dodt van Flensburg 34 -39 53 -59 1845")</f>
        <v>0</v>
      </c>
    </row>
    <row r="5331" spans="2:4">
      <c r="B5331">
        <v>100</v>
      </c>
      <c r="C5331" s="1">
        <f>hyperlink("https://hetutrechtsarchief.nl/collectie/CBC88E4C713653509E17DC8CCD1CB23B","Prachtig vuurwerk bij de viering van het sluiten van den Akensche vrede in 1749 binnen Utrecht afgebrand 166-168 1841")</f>
        <v>0</v>
      </c>
      <c r="D5331" s="1">
        <f>hyperlink("http://dspace.library.uu.nl/handle/1874/289824","Prachtig vuurwerk bij de viering van het sluiten van den Akenschen vrede in 1749 binnen Utrecht afgebrand 166-168 1841")</f>
        <v>0</v>
      </c>
    </row>
    <row r="5332" spans="2:4">
      <c r="B5332">
        <v>80</v>
      </c>
      <c r="C5332" s="1">
        <f>hyperlink("https://hetutrechtsarchief.nl/collectie/4967BDF252C5593B8DED6E52D6A494BD","Extracten uit het diversorium van bisschop David van Bourgondien 162-165 1841")</f>
        <v>0</v>
      </c>
      <c r="D5332" s="1">
        <f>hyperlink("http://dspace.library.uu.nl/handle/1874/289825","Extracten uit het Diversorium van Bisschop David van Bourgondien in het Provinciaal Archief te Utrecht 162-165 1841")</f>
        <v>0</v>
      </c>
    </row>
    <row r="5333" spans="2:4">
      <c r="B5333">
        <v>56</v>
      </c>
      <c r="C5333" s="1">
        <f>hyperlink("https://hetutrechtsarchief.nl/collectie/AD3F6AB6DD88583F95F28B5ABD60444E","Over de nieuwe kaart van den lande van Utrecht door Bernard du Roy uitgegeven tot Amsterdam door Johannes Covens en Cornelis Mortier P J Vermeulen 197 -201 1842")</f>
        <v>0</v>
      </c>
      <c r="D5333" s="1">
        <f>hyperlink("http://dspace.library.uu.nl/handle/1874/289826","Over de nieuwe kaart van den Lande van Utrecht volgens ordre van d Ed Mog Heeren Staten van welgemelden Lande doen meten en in kaart brengen door Bernard du Roy ingenieur uitgegeven tot Amsterdam door Johannes Covens en Cornelis Mortier met privilegie van de Hoogmog Heeren Staten Gener l der vereenigde Nederlanden en speci l van d Ed Mog Heeren Staten van den Lande van Utrecht P J Vermeulen 197 -201 1842")</f>
        <v>0</v>
      </c>
    </row>
    <row r="5334" spans="2:4">
      <c r="B5334">
        <v>100</v>
      </c>
      <c r="C5334" s="1">
        <f>hyperlink("https://hetutrechtsarchief.nl/collectie/2320203A0A2959BF8B945E0FCBD5BBFA","Manuaal der conventualen van St Caecilia binnen Utrecht L G Visscher 397 -419 1842")</f>
        <v>0</v>
      </c>
      <c r="D5334" s="1">
        <f>hyperlink("http://dspace.library.uu.nl/handle/1874/289828","Manuaal der Conventualen van St Caecilia binnen Utrecht L G Visscher 397 -419 1842")</f>
        <v>0</v>
      </c>
    </row>
    <row r="5335" spans="2:4">
      <c r="B5335">
        <v>100</v>
      </c>
      <c r="C5335" s="1">
        <f>hyperlink("https://hetutrechtsarchief.nl/collectie/D8787AF78496505DBE6A14212A016220","Smits-gildenbord in de Buurkerk te Utrecht S de Vries 141 1843")</f>
        <v>0</v>
      </c>
      <c r="D5335" s="1">
        <f>hyperlink("http://dspace.library.uu.nl/handle/1874/289829","Smits-gildenbord in de Buurkerk te Utrecht S de Vries 141 1843")</f>
        <v>0</v>
      </c>
    </row>
    <row r="5336" spans="2:4">
      <c r="B5336">
        <v>60</v>
      </c>
      <c r="C5336" s="1">
        <f>hyperlink("https://hetutrechtsarchief.nl/collectie/0D120FFC63E75131ACBA730A57F242B6","Bij het overlijden van den heer Dirck van Velthuysen medeged door J J Dodt van Flensburg 289 -292 1840")</f>
        <v>0</v>
      </c>
      <c r="D5336" s="1">
        <f>hyperlink("http://dspace.library.uu.nl/handle/1874/289830","Separatie van de snyders ende borduerwerckers in 1609 medeged door J J Dodt van Flensburg J J Dodt van Flensburg 32 1843")</f>
        <v>0</v>
      </c>
    </row>
    <row r="5337" spans="2:4">
      <c r="B5337">
        <v>81</v>
      </c>
      <c r="C5337" s="1">
        <f>hyperlink("https://hetutrechtsarchief.nl/collectie/820638FA21F451F1BA36815412116F9C","Over de steenboeten te Utrecht 325 -337 1842")</f>
        <v>0</v>
      </c>
      <c r="D5337" s="1">
        <f>hyperlink("http://dspace.library.uu.nl/handle/1874/289831","Over de steenboeten te Utrecht C A van Wachendorff 325 -337 1842")</f>
        <v>0</v>
      </c>
    </row>
    <row r="5338" spans="2:4">
      <c r="B5338">
        <v>99</v>
      </c>
      <c r="C5338" s="1">
        <f>hyperlink("https://hetutrechtsarchief.nl/collectie/ADA758B9541A55DA9911FEDE584A8A18","Lobesteeg te Utrecht Steven Lobe het geslacht Lob W J C van Hasselt 97-100 1845")</f>
        <v>0</v>
      </c>
      <c r="D5338" s="1">
        <f>hyperlink("http://dspace.library.uu.nl/handle/1874/289832","Lobesteeg te Utrecht Steven Lobe Het geslacht Lob W J C van Hasselt 97 -100 1845")</f>
        <v>0</v>
      </c>
    </row>
    <row r="5339" spans="2:4">
      <c r="B5339">
        <v>90</v>
      </c>
      <c r="C5339" s="1">
        <f>hyperlink("https://hetutrechtsarchief.nl/collectie/EE833652CBE550C88FD1BC7DAEFB462C","Bernard Zwaerdecroon voornaamlijk in deszelfs betrekking tot de Utrechtsche School J J Dodt van Flensburg 167-173 181-191 1845")</f>
        <v>0</v>
      </c>
      <c r="D5339" s="1">
        <f>hyperlink("http://dspace.library.uu.nl/handle/1874/289833","Bernard Zwaerdecroon voornamelijk in deszelfs betrekking tot de Utrechtsche School J J Dodt van Flensburg 167 -173 181 -191 jg 3 1846 p 71 -75 1845-1846")</f>
        <v>0</v>
      </c>
    </row>
    <row r="5340" spans="2:4">
      <c r="B5340">
        <v>67</v>
      </c>
      <c r="C5340" s="1">
        <f>hyperlink("https://hetutrechtsarchief.nl/collectie/C3C0DE9C7BE95151A2D60AC88B834552","De gek van Utrecht en die van den Prins van Oranje J J Dodt van Flensburg 211-213 1841")</f>
        <v>0</v>
      </c>
      <c r="D5340" s="1">
        <f>hyperlink("http://dspace.library.uu.nl/handle/1874/289834","Makinghe van Jac van Dam raet inden Hove van Utrecht J J Dodt van Flensburg 217 -218 1845")</f>
        <v>0</v>
      </c>
    </row>
    <row r="5341" spans="2:4">
      <c r="B5341">
        <v>87</v>
      </c>
      <c r="C5341" s="1">
        <f>hyperlink("https://hetutrechtsarchief.nl/collectie/353C9137E04751CA9D86D31372DCECB9","Beeldenstorm te Utrecht in 1566 124 -129 1842")</f>
        <v>0</v>
      </c>
      <c r="D5341" s="1">
        <f>hyperlink("http://dspace.library.uu.nl/handle/1874/289835","Beeldenstorm te Utrecht in 1566 P J Vermeulen 124 -129 1842")</f>
        <v>0</v>
      </c>
    </row>
    <row r="5342" spans="2:4">
      <c r="B5342">
        <v>76</v>
      </c>
      <c r="C5342" s="1">
        <f>hyperlink("https://hetutrechtsarchief.nl/collectie/D8787AF78496505DBE6A14212A016220","Smits-gildenbord in de Buurkerk te Utrecht S de Vries 141 1843")</f>
        <v>0</v>
      </c>
      <c r="D5342" s="1">
        <f>hyperlink("http://dspace.library.uu.nl/handle/1874/289836","Passementwerkers-gildenbord in de Buurkerk te Utrecht 160 1846")</f>
        <v>0</v>
      </c>
    </row>
    <row r="5343" spans="2:4">
      <c r="B5343">
        <v>57</v>
      </c>
      <c r="C5343" s="1">
        <f>hyperlink("https://hetutrechtsarchief.nl/collectie/4E22DEC26E075B8382C7A4AD1FC68E01","Iets over de kruizen te Utrecht L E Bosch 259-265 1864")</f>
        <v>0</v>
      </c>
      <c r="D5343" s="1">
        <f>hyperlink("http://dspace.library.uu.nl/handle/1874/289837","Nijverheid over de kalkbranderijen en het cement P W Lothes 265 -274 1841")</f>
        <v>0</v>
      </c>
    </row>
    <row r="5344" spans="2:4">
      <c r="B5344">
        <v>91</v>
      </c>
      <c r="C5344" s="1">
        <f>hyperlink("https://hetutrechtsarchief.nl/collectie/B4EDCEE1E22F5CAEB25F94FF81C6762D","De Tolsteeg- of Roode Torenpoorten te Utrecht - N M 114 -121 1843")</f>
        <v>0</v>
      </c>
      <c r="D5344" s="1">
        <f>hyperlink("http://dspace.library.uu.nl/handle/1874/289838","De Tolsteeg- of roode-torenpoorten te Utrecht N van der Monde 114 -121 1843")</f>
        <v>0</v>
      </c>
    </row>
    <row r="5345" spans="2:4">
      <c r="B5345">
        <v>97</v>
      </c>
      <c r="C5345" s="1">
        <f>hyperlink("https://hetutrechtsarchief.nl/collectie/7A0BF7E2A75957749C1F32AAFA1DD26B","De vijf aarden bolwerken op last van prins Willem I 1577-1579 om Utrecht aangelegd geschiedkundig beschouwd N van der Monde 125-137 225-229 - ill 1844")</f>
        <v>0</v>
      </c>
      <c r="D5345" s="1">
        <f>hyperlink("http://dspace.library.uu.nl/handle/1874/289839","De vijf aarden bolwerken op last van Prins Willem I 1577-1579 om Utrecht aangelegd geschiedkundig beschouwd N van der Monde 125 -137 225 -229 1844")</f>
        <v>0</v>
      </c>
    </row>
    <row r="5346" spans="2:4">
      <c r="B5346">
        <v>88</v>
      </c>
      <c r="C5346" s="1">
        <f>hyperlink("https://hetutrechtsarchief.nl/collectie/9E44B243009F59B6964710B77C598ED6","Correctie van David van den Hengel predicant tot Utrecht ter oorzake van odieuse expressien tegen de magistraat in zyn predicatie gebruykt 192-194 239 1845")</f>
        <v>0</v>
      </c>
      <c r="D5346" s="1">
        <f>hyperlink("http://dspace.library.uu.nl/handle/1874/289840","Correctie van David van den Hengel predicant tot Utrecht ter oorzake van odieuse expressien tegen de magistraat in zyn predicatie gebruykt medeged door N van Monde N van der Monde 192 -194 239 1845")</f>
        <v>0</v>
      </c>
    </row>
    <row r="5347" spans="2:4">
      <c r="B5347">
        <v>59</v>
      </c>
      <c r="C5347" s="1">
        <f>hyperlink("https://hetutrechtsarchief.nl/collectie/8E503942A5FA507EA87948C0245B8F79","Rectificatie bij het artikel Nieuwe gegevens over Gerard van Honthorst s beschilderd plafond uit 1622 van J A L de Meyere 17 ill 1977")</f>
        <v>0</v>
      </c>
      <c r="D5347" s="1">
        <f>hyperlink("http://dspace.library.uu.nl/handle/1874/289841","Schilderes aan haar ezel nieuwe gegevens over het schilderij van Gerard van Honthorst Jos de Bok Marten Jan Meyere 298-303 1985")</f>
        <v>0</v>
      </c>
    </row>
    <row r="5348" spans="2:4">
      <c r="B5348">
        <v>63</v>
      </c>
      <c r="C5348" s="1">
        <f>hyperlink("https://hetutrechtsarchief.nl/collectie/E10846E4231956A6AC02910871B44C36","Etha Fles 1857-1948 J W C van Campen 110-122 ill 1957")</f>
        <v>0</v>
      </c>
      <c r="D5348" s="1">
        <f>hyperlink("http://dspace.library.uu.nl/handle/1874/289842","Mr P H Damst 1902-1985 J W C van Campen 2 1986")</f>
        <v>0</v>
      </c>
    </row>
    <row r="5349" spans="2:4">
      <c r="B5349">
        <v>95</v>
      </c>
      <c r="C5349" s="1">
        <f>hyperlink("https://hetutrechtsarchief.nl/collectie/F55CBCB370195DF9A45806E07623BB4D","Janus de Winter C A Schilp 25-27 ill 1986")</f>
        <v>0</v>
      </c>
      <c r="D5349" s="1">
        <f>hyperlink("http://dspace.library.uu.nl/handle/1874/289843","Janus de Winter C A Schilp 25-27 1986")</f>
        <v>0</v>
      </c>
    </row>
    <row r="5350" spans="2:4">
      <c r="B5350">
        <v>61</v>
      </c>
      <c r="C5350" s="1">
        <f>hyperlink("https://hetutrechtsarchief.nl/collectie/C7A18F0D125D500C80144D7CCBD34A96","Aanteekening op het stuk getiteld Hendrick de Keyser geplaatst in het Tijdschrift voor geschiedenis oudheden en statistiek van Utrecht 1836 blz 305 J J Dodt van Flensburg 356 1836")</f>
        <v>0</v>
      </c>
      <c r="D5350" s="1">
        <f>hyperlink("http://dspace.library.uu.nl/handle/1874/289844","Utrecht voorheen en thans tijdschrift voor geschiedenis oudheden en statistiek van Utrecht 1844-1846")</f>
        <v>0</v>
      </c>
    </row>
    <row r="5351" spans="2:4">
      <c r="B5351">
        <v>58</v>
      </c>
      <c r="C5351" s="1">
        <f>hyperlink("https://hetutrechtsarchief.nl/collectie/8789FC3D22EE58518194D2E0D4D57C2C","Herinneringen van een verkeersagent Het waren er zes 2 1984")</f>
        <v>0</v>
      </c>
      <c r="D5351" s="1">
        <f>hyperlink("http://dspace.library.uu.nl/handle/1874/289845","De Ni nhoff aanvullingen en verbeteringen Henk Reinders 304-306 1985")</f>
        <v>0</v>
      </c>
    </row>
    <row r="5352" spans="2:4">
      <c r="B5352">
        <v>99</v>
      </c>
      <c r="C5352" s="1">
        <f>hyperlink("https://hetutrechtsarchief.nl/collectie/6D04291D4DA054168BE8BFB5BBEEE194","Iets over de couranten en dagbladen in het algemeen en die van Utrecht in het bijzonder de laatste uit onuitgegeven stukken in de archieven alhier berustende te zamengesteld 161-167 181-192 1846")</f>
        <v>0</v>
      </c>
      <c r="D5352" s="1">
        <f>hyperlink("http://dspace.library.uu.nl/handle/1874/289846","Iets over de couranten en dagbladen in het algemeen en die van Utrecht in het bijzonder de laatste uit onuitgegeven stukken in de archieven alhier berustende te zamengesteld 161 -167 181 -192 1846")</f>
        <v>0</v>
      </c>
    </row>
    <row r="5353" spans="2:4">
      <c r="B5353">
        <v>89</v>
      </c>
      <c r="C5353" s="1">
        <f>hyperlink("https://hetutrechtsarchief.nl/collectie/6F39424CE31C585CAD9A5DA866BB3DF8","Het huis Wulven ook in betrekking tot deszelfs bezitters 1-15 ill 1844")</f>
        <v>0</v>
      </c>
      <c r="D5353" s="1">
        <f>hyperlink("http://dspace.library.uu.nl/handle/1874/289847","Het Huis Wulven ook in betrekking tot deszelfs bezitters 1 -15 140 aanhangsel 1844")</f>
        <v>0</v>
      </c>
    </row>
    <row r="5354" spans="2:4">
      <c r="B5354">
        <v>91</v>
      </c>
      <c r="C5354" s="1">
        <f>hyperlink("https://hetutrechtsarchief.nl/collectie/3424D6FD351F50FD975DB8EFAE12EFDC","Onderzoek wegens de oudheid en stichting der stad Utrecht gevolgd van een betoog dat die stad van oude tijden eene vrije rijkstad geweest is A van Buchell 289 -304 1 uitvouwb krt 1842")</f>
        <v>0</v>
      </c>
      <c r="D5354" s="1">
        <f>hyperlink("http://dspace.library.uu.nl/handle/1874/289848","Onderzoek wegens de oudheid en stichting der stad Utrecht door A van Buchell gevolgd van een betoog dat die stad van oude tijden eene vrije rijkstad geweest is A van Buchell 289 -304 1842")</f>
        <v>0</v>
      </c>
    </row>
    <row r="5355" spans="2:4">
      <c r="B5355">
        <v>99</v>
      </c>
      <c r="C5355" s="1">
        <f>hyperlink("https://hetutrechtsarchief.nl/collectie/D660D2A1679B509390277F3753C40D0C","Bijdragen tot de zeden en gewoonten der Utrechtenaren 168-179 1846")</f>
        <v>0</v>
      </c>
      <c r="D5355" s="1">
        <f>hyperlink("http://dspace.library.uu.nl/handle/1874/289849","Bijdragen tot de zeden en gewoonten der Utrechtenaren 168 -179 1846")</f>
        <v>0</v>
      </c>
    </row>
    <row r="5356" spans="2:4">
      <c r="B5356">
        <v>96</v>
      </c>
      <c r="C5356" s="1">
        <f>hyperlink("https://hetutrechtsarchief.nl/collectie/28B3F592CD4552C199D8E062155ABD64","Die belegering der stadt Amersfort belangende ende d actien tusschen die gecommiteerde van de stadt van Utrecht ende die regeerders derselviger stadt gehouden 130-140 1846")</f>
        <v>0</v>
      </c>
      <c r="D5356" s="1">
        <f>hyperlink("http://dspace.library.uu.nl/handle/1874/289850","Die belegering der stadt Amersfort belangende ende d actien tusschen die gecommitteerde van de stadt van Utrecht ende die regeerders derselviger stadt gehouden A van Buchel 130 -140 1846")</f>
        <v>0</v>
      </c>
    </row>
    <row r="5357" spans="2:4">
      <c r="B5357">
        <v>99</v>
      </c>
      <c r="C5357" s="1">
        <f>hyperlink("https://hetutrechtsarchief.nl/collectie/6DAB530452935E65BB2114256EC2453A","Laurens van Nijendale een geacht Latijnsch dichter te Utrecht geboren en aldaar hebbende gewoond W C Ackersdijck 369 -373 1841")</f>
        <v>0</v>
      </c>
      <c r="D5357" s="1">
        <f>hyperlink("http://dspace.library.uu.nl/handle/1874/289851","Laurens van Nijedale een geacht Latijnsch dichter te Utrecht geboren en aldaar hebbende gewoond W C Ackersdijk 369 -373 1841")</f>
        <v>0</v>
      </c>
    </row>
    <row r="5358" spans="2:4">
      <c r="B5358">
        <v>65</v>
      </c>
      <c r="C5358" s="1">
        <f>hyperlink("https://hetutrechtsarchief.nl/collectie/E534FB8CD57E5D62B8A86D290CE4AF71","De kaart van Utrecht in het jaar 690 Y M Donkersloot-de Vrij 105-107 ill 1990")</f>
        <v>0</v>
      </c>
      <c r="D5358" s="1">
        <f>hyperlink("http://dspace.library.uu.nl/handle/1874/289852","Oude kaarten in Utrechtse gemeentehuizen Marijke Donkersloot-de Vrij 13-22 1986")</f>
        <v>0</v>
      </c>
    </row>
    <row r="5359" spans="2:4">
      <c r="B5359">
        <v>100</v>
      </c>
      <c r="C5359" s="1">
        <f>hyperlink("https://hetutrechtsarchief.nl/collectie/79EA792508BD587483D17B214D8D5073","Herstelling van David van Bourgondien in zijn wereldlijk en geestelijk gezag als bisschop van Utrecht den 21 april 1483 A M C van Asch van Wijck 21-34 1844")</f>
        <v>0</v>
      </c>
      <c r="D5359" s="1">
        <f>hyperlink("http://dspace.library.uu.nl/handle/1874/289853","Herstelling van David van Bourgondien in zijn wereldlijk en geestelijk gezag als bisschop van Utrecht den 21 april 1483 A M C van Asch van Wijck 21 -34 1844")</f>
        <v>0</v>
      </c>
    </row>
    <row r="5360" spans="2:4">
      <c r="B5360">
        <v>99</v>
      </c>
      <c r="C5360" s="1">
        <f>hyperlink("https://hetutrechtsarchief.nl/collectie/DEE87B9CE78A5916A41966E6BE33C5F9","Belegering en vernieling van het blokhuis Gildenburg aan de vaart door het Hollandsch leger onder aanvoering van Lalaing stadhouder in de maand september 1482 A M C van Asch van Wijck 361 -368 1 pl 1841")</f>
        <v>0</v>
      </c>
      <c r="D5360" s="1">
        <f>hyperlink("http://dspace.library.uu.nl/handle/1874/289854","Belegering en vernieling van het blokhuis Gildenburg aan de Vaart door het Hollandsch leger onder aanvoering van Lalaing stadhouder in de maand September 1482 A M C van Asch van Wijck 361 -368 1841")</f>
        <v>0</v>
      </c>
    </row>
    <row r="5361" spans="2:4">
      <c r="B5361">
        <v>90</v>
      </c>
      <c r="C5361" s="1">
        <f>hyperlink("https://hetutrechtsarchief.nl/collectie/C1E616CF399158C683E547946174FAAF","Mislukte vredesonderhandelingen tusschen den bisschop David van Bourgondien en de stad Utrecht 181 -191 217 -235 1843")</f>
        <v>0</v>
      </c>
      <c r="D5361" s="1">
        <f>hyperlink("http://dspace.library.uu.nl/handle/1874/289855","Mislukte vredensonderhandelingen tusschen de bisschop David van Bourgondien en de stad Utrecht A M C van Asch van Wijck 181 -191 217 -235 1843")</f>
        <v>0</v>
      </c>
    </row>
    <row r="5362" spans="2:4">
      <c r="B5362">
        <v>98</v>
      </c>
      <c r="C5362" s="1">
        <f>hyperlink("https://hetutrechtsarchief.nl/collectie/C5B6C85075BD53A9B3699DD2D2968DCB","Overzigt van de strenge wijze waarop de burggraaf van Montfoort zijn gezag in het Sticht in de maanden julij en augustus 1482 handhaafde A M C van Asch van Wijck 289 -302 1841")</f>
        <v>0</v>
      </c>
      <c r="D5362" s="1">
        <f>hyperlink("http://dspace.library.uu.nl/handle/1874/289856","Overzicht van de strenge wijze waarop de burggraaf van Montfoort zijn gezag in het Sticht in de maanden July en Augustus 1482 handhaafde A M C van Asch van Wijck 289 -302 1841")</f>
        <v>0</v>
      </c>
    </row>
    <row r="5363" spans="2:4">
      <c r="B5363">
        <v>100</v>
      </c>
      <c r="C5363" s="1">
        <f>hyperlink("https://hetutrechtsarchief.nl/collectie/AFBBD1804F5D5417AFEA619A7D7E345C","Stoutmoedige daad en roemrijk sneven van Henrick van Zuijlen van Nijevelt binnen de stad Utrecht den 8 mei 1483 A M C van Asch van Wijck 41-57 1844")</f>
        <v>0</v>
      </c>
      <c r="D5363" s="1">
        <f>hyperlink("http://dspace.library.uu.nl/handle/1874/289857","Stoutmoedige daad en roemrijk sneven van Henrick van Zuijlen van Nijevelt binnen de stad Utrecht den 8 mei 1483 A M C van Asch van Wijck 41 -57 1844")</f>
        <v>0</v>
      </c>
    </row>
    <row r="5364" spans="2:4">
      <c r="B5364">
        <v>100</v>
      </c>
      <c r="C5364" s="1">
        <f>hyperlink("https://hetutrechtsarchief.nl/collectie/08B11D369A285572A3CB6BCE1FABF861","De stad IJsselstein door het Utrechtsch-Kleefsch leger belegerd in de maand Augustus 1482 A M C van Asch van Wijck 325 -340 1841")</f>
        <v>0</v>
      </c>
      <c r="D5364" s="1">
        <f>hyperlink("http://dspace.library.uu.nl/handle/1874/289858","De stad IJsselstein door het Utrechtsch-Kleefsch leger belegerd in de maand augustus 1482 A M C van Asch van Wijck 325 -340 1841")</f>
        <v>0</v>
      </c>
    </row>
    <row r="5365" spans="2:4">
      <c r="B5365">
        <v>99</v>
      </c>
      <c r="C5365" s="1">
        <f>hyperlink("https://hetutrechtsarchief.nl/collectie/FC064F432EDA560D9395E7F94E4FF667","Plegtige intrede van Willem II als Koning der Nederlanden in de stad Utrecht den 18den Mei 1841 A M C van Asch van Wijck 217 -241 1841")</f>
        <v>0</v>
      </c>
      <c r="D5365" s="1">
        <f>hyperlink("http://dspace.library.uu.nl/handle/1874/289859","Plegtige intrede van Willem II als koning der Nederlanden in de stad Utrecht den 18den mei 1841 A M C van Asch van Wijck 217 -141 1841")</f>
        <v>0</v>
      </c>
    </row>
    <row r="5366" spans="2:4">
      <c r="B5366">
        <v>98</v>
      </c>
      <c r="C5366" s="1">
        <f>hyperlink("https://hetutrechtsarchief.nl/collectie/FDC62931604A5046B5185752A61A12B4","Utrechtsche brieven Stedelijke-kopij-boeken J J Dodt van Flensburg 210-204 1844")</f>
        <v>0</v>
      </c>
      <c r="D5366" s="1">
        <f>hyperlink("http://dspace.library.uu.nl/handle/1874/289860","Utrechtsche brieven Stedelijke-kopij-boeken J J Dodt van Flensburg 201 -204 1844")</f>
        <v>0</v>
      </c>
    </row>
    <row r="5367" spans="2:4">
      <c r="B5367">
        <v>50</v>
      </c>
      <c r="C5367" s="1">
        <f>hyperlink("https://hetutrechtsarchief.nl/collectie/C7A18F0D125D500C80144D7CCBD34A96","Aanteekening op het stuk getiteld Hendrick de Keyser geplaatst in het Tijdschrift voor geschiedenis oudheden en statistiek van Utrecht 1836 blz 305 J J Dodt van Flensburg 356 1836")</f>
        <v>0</v>
      </c>
      <c r="D5367" s="1">
        <f>hyperlink("http://dspace.library.uu.nl/handle/1874/289861","Bijdrage betreffende het slot de Horst onder Rhenen gelegen voornamelijk ontleend uit onuitgegeven oirkonden H M A J van Asch van Wijck 217 -235 253 -268 Utrecht voorheen en thans tijdschrift voor geschiedenis oudheden en statistiek van Utrecht N van der Monde 2e serie jg 1 1844 p 138 -139 1842-1844")</f>
        <v>0</v>
      </c>
    </row>
    <row r="5368" spans="2:4">
      <c r="B5368">
        <v>71</v>
      </c>
      <c r="C5368" s="1">
        <f>hyperlink("https://hetutrechtsarchief.nl/collectie/1493A075212F540DAA2E8426729DD5BF","Eenige Utrechtsche bisschoppelijke munten niet voorkomende in de beschrijving der bisschoppelijke munten en zegelen van Utrecht in het bijzonder door Frans van Mieris J H Balfoort 253 -265 1 pl 1843")</f>
        <v>0</v>
      </c>
      <c r="D5368" s="1">
        <f>hyperlink("http://dspace.library.uu.nl/handle/1874/289862","Eenige Utrechtsche bisschoppelijke munten niet voorkomende in de Beschrijving der bisschoppelijke munten en zegelen van Utrecht in het bijzonder door Frans van Mieris J H Balfoort 253 -265 Utrecht voorheen en thans tijdschrift voor geschiedenis oudheden en statistiek van Utrecht N van der Monde 2e serie jg 1 1844 p 185 -194 jg 3 1846 p 41 -49 1843-1846")</f>
        <v>0</v>
      </c>
    </row>
    <row r="5369" spans="2:4">
      <c r="B5369">
        <v>54</v>
      </c>
      <c r="C5369" s="1">
        <f>hyperlink("https://hetutrechtsarchief.nl/collectie/18BDE9907A0D5396816CFE5D770885D2","Korte geschiedenis van een geslacht Brouwer in Eemnes en Hilversum Henk van Hees 230-255 ill portr tab 1998")</f>
        <v>0</v>
      </c>
      <c r="D5369" s="1">
        <f>hyperlink("http://dspace.library.uu.nl/handle/1874/289863","Hardenbroek geschied- en geslachtkundig overzigt van die ridderhofstad en van het stamhuis V P 325 -341 1843")</f>
        <v>0</v>
      </c>
    </row>
    <row r="5370" spans="2:4">
      <c r="B5370">
        <v>84</v>
      </c>
      <c r="C5370" s="1">
        <f>hyperlink("https://hetutrechtsarchief.nl/collectie/B65667BEDB0E563890C7163CED1921EB","Over de oudheid van de Munt te Utrecht 35-63 1847")</f>
        <v>0</v>
      </c>
      <c r="D5370" s="1">
        <f>hyperlink("http://dspace.library.uu.nl/handle/1874/289895","Over de oudheid van De Munt te Utrecht Bonifacius Munier 35-63 1847")</f>
        <v>0</v>
      </c>
    </row>
    <row r="5371" spans="2:4">
      <c r="B5371">
        <v>71</v>
      </c>
      <c r="C5371" s="1">
        <f>hyperlink("https://hetutrechtsarchief.nl/collectie/9E25513C84DE516EA063C4A97638178B","Zegels der bisschoppen van Utrecht P J Vermeulen 194-197 - ill 1847")</f>
        <v>0</v>
      </c>
      <c r="D5371" s="1">
        <f>hyperlink("http://dspace.library.uu.nl/handle/1874/289896","Zegels der bisschoppen van Utrecht I Zegel van Koenraad bisschop van 1076-1100 P J Vermeulen 194-197 1847")</f>
        <v>0</v>
      </c>
    </row>
    <row r="5372" spans="2:4">
      <c r="B5372">
        <v>98</v>
      </c>
      <c r="C5372" s="1">
        <f>hyperlink("https://hetutrechtsarchief.nl/collectie/132DEF6C80805D418520104FA2893BA6","Bijdragen tot de geschiedenis van de gemeenten der hervormden in de provincie Utrecht v r 1618 P J Vermeulen 91-193 - ill 1847")</f>
        <v>0</v>
      </c>
      <c r="D5372" s="1">
        <f>hyperlink("http://dspace.library.uu.nl/handle/1874/289897","Bijdragen tot de geschiedenis van de gemeenten der hervormden in de provincie Utrecht v r 1618 P J Vermeulen 91-193 1847")</f>
        <v>0</v>
      </c>
    </row>
    <row r="5373" spans="2:4">
      <c r="B5373">
        <v>100</v>
      </c>
      <c r="C5373" s="1">
        <f>hyperlink("https://hetutrechtsarchief.nl/collectie/BB9FFD10AA615C5CB9978BADE19C1CF1","Eenige Utrechtsche paskwillen uit den tijd van Leycester P J Vermeulen 64-90 1847")</f>
        <v>0</v>
      </c>
      <c r="D5373" s="1">
        <f>hyperlink("http://dspace.library.uu.nl/handle/1874/289898","Eenige Utrechtsche paskwillen uit den tijd van Leycester P J Vermeulen 64-90 1847")</f>
        <v>0</v>
      </c>
    </row>
    <row r="5374" spans="2:4">
      <c r="B5374">
        <v>100</v>
      </c>
      <c r="C5374" s="1">
        <f>hyperlink("https://hetutrechtsarchief.nl/collectie/7D54BE540C0254368A69FDF87D3AE6F9","Iets over de openbare verzamelingen van oudheden te Leiden en te Utrecht 25-34 1847")</f>
        <v>0</v>
      </c>
      <c r="D5374" s="1">
        <f>hyperlink("http://dspace.library.uu.nl/handle/1874/289899","Iets over de openbare verzamelingen van oudheden te Leiden en te Utrecht 25-34 1847")</f>
        <v>0</v>
      </c>
    </row>
    <row r="5375" spans="2:4">
      <c r="B5375">
        <v>100</v>
      </c>
      <c r="C5375" s="1">
        <f>hyperlink("https://hetutrechtsarchief.nl/collectie/F9D5B648004E5C338E019EB025131EB5","Everard van Weede heer van Dijkveld G W Vreede 13-24 1847")</f>
        <v>0</v>
      </c>
      <c r="D5375" s="1">
        <f>hyperlink("http://dspace.library.uu.nl/handle/1874/289900","Everard van Weede heer van Dijkveld G W Vreede 13-24 1847")</f>
        <v>0</v>
      </c>
    </row>
    <row r="5376" spans="2:4">
      <c r="B5376">
        <v>100</v>
      </c>
      <c r="C5376" s="1">
        <f>hyperlink("https://hetutrechtsarchief.nl/collectie/D77D65E86E035B5EA3BE7AFBF97D9A6E","Bevolking van het platte land der provincie Utrecht in 1632 198-208 1847")</f>
        <v>0</v>
      </c>
      <c r="D5376" s="1">
        <f>hyperlink("http://dspace.library.uu.nl/handle/1874/289901","Bevolking van het platte land der provincie Utrecht in 1632 198-208 1847")</f>
        <v>0</v>
      </c>
    </row>
    <row r="5377" spans="2:4">
      <c r="B5377">
        <v>100</v>
      </c>
      <c r="C5377" s="1">
        <f>hyperlink("https://hetutrechtsarchief.nl/collectie/B1C2310E751E5D8C87FC123FC2A8FB10","Begrafenissen te Utrecht 212-217 1847")</f>
        <v>0</v>
      </c>
      <c r="D5377" s="1">
        <f>hyperlink("http://dspace.library.uu.nl/handle/1874/289902","Begrafenissen te Utrecht 212-217 1847")</f>
        <v>0</v>
      </c>
    </row>
    <row r="5378" spans="2:4">
      <c r="B5378">
        <v>92</v>
      </c>
      <c r="C5378" s="1">
        <f>hyperlink("https://hetutrechtsarchief.nl/collectie/2723A20867425A37BFEAC9C9B7966327","Twyestraat of Tweestraat te Utrecht - P J V 209-211 1847")</f>
        <v>0</v>
      </c>
      <c r="D5378" s="1">
        <f>hyperlink("http://dspace.library.uu.nl/handle/1874/289903","Twyestraat of Tweestraat te Utrecht P J Vermeulen 209-211 1847")</f>
        <v>0</v>
      </c>
    </row>
    <row r="5379" spans="2:4">
      <c r="B5379">
        <v>53</v>
      </c>
      <c r="C5379" s="1">
        <f>hyperlink("https://hetutrechtsarchief.nl/collectie/94234283C69055B7B9391FB85D504F96","De oudere generaties van het geslacht Noppen te Woerden J P Noppen 535-543 2016")</f>
        <v>0</v>
      </c>
      <c r="D5379" s="1">
        <f>hyperlink("http://dspace.library.uu.nl/handle/1874/289914","Glazen op de vroedschapskamer van t stadhuis te Woerden P Bondam 30-31 1849")</f>
        <v>0</v>
      </c>
    </row>
    <row r="5380" spans="2:4">
      <c r="B5380">
        <v>89</v>
      </c>
      <c r="C5380" s="1">
        <f>hyperlink("https://hetutrechtsarchief.nl/collectie/E2C900A17E565122982659E9EDA01451","De voormalige St Marie kerk te Utrecht F N Eijck tot Zuylichem 19-35 2 uitv pl 1848")</f>
        <v>0</v>
      </c>
      <c r="D5380" s="1">
        <f>hyperlink("http://dspace.library.uu.nl/handle/1874/289915","De voormalige St Mariekerk te Utrecht F Eyck tot Zuylichem 19-35 1848")</f>
        <v>0</v>
      </c>
    </row>
    <row r="5381" spans="2:4">
      <c r="B5381">
        <v>100</v>
      </c>
      <c r="C5381" s="1">
        <f>hyperlink("https://hetutrechtsarchief.nl/collectie/436DE9F99C9B56019FAA7117F5AA66A4","Getuigenissen aangaande het Sticht en de Stichtenaren 65-94 1848")</f>
        <v>0</v>
      </c>
      <c r="D5381" s="1">
        <f>hyperlink("http://dspace.library.uu.nl/handle/1874/289916","Getuigenissen aangaande het Sticht en de Stichtenaren 65-94 1848")</f>
        <v>0</v>
      </c>
    </row>
    <row r="5382" spans="2:4">
      <c r="B5382">
        <v>100</v>
      </c>
      <c r="C5382" s="1">
        <f>hyperlink("https://hetutrechtsarchief.nl/collectie/C961E89F54C854AC8B19A72F7847B9AB","Over eene beschrijving van Utrecht P J Vermeulen 1-18 1848")</f>
        <v>0</v>
      </c>
      <c r="D5382" s="1">
        <f>hyperlink("http://dspace.library.uu.nl/handle/1874/289917","Over eene beschrijving van Utrecht P J Vermeulen 1-18 1848")</f>
        <v>0</v>
      </c>
    </row>
    <row r="5383" spans="2:4">
      <c r="B5383">
        <v>98</v>
      </c>
      <c r="C5383" s="1">
        <f>hyperlink("https://hetutrechtsarchief.nl/collectie/DE0969BB1BD056E1AC8BA649F3AB665F","Bijdragen tot de geschiedenis van de gemeenten der hervormden in de provincie Utrecht in 1618 P J Vermeulen 102-105 1848")</f>
        <v>0</v>
      </c>
      <c r="D5383" s="1">
        <f>hyperlink("http://dspace.library.uu.nl/handle/1874/289918","Bijdragen tot de geschiedenis van de gemeenten der hervormden in de provincie Utrecht in 1618 P J Vermeulen 102-226 1848")</f>
        <v>0</v>
      </c>
    </row>
    <row r="5384" spans="2:4">
      <c r="B5384">
        <v>100</v>
      </c>
      <c r="C5384" s="1">
        <f>hyperlink("https://hetutrechtsarchief.nl/collectie/D7AB7EB471AE5AA6B15560A154FAE49D","De Utrechtsche onlusten in 1610 P J Vermeulen 1-66 1849")</f>
        <v>0</v>
      </c>
      <c r="D5384" s="1">
        <f>hyperlink("http://dspace.library.uu.nl/handle/1874/289919","De Utrechtsche onlusten in 1610 P J Vermeulen 1-66 1849")</f>
        <v>0</v>
      </c>
    </row>
    <row r="5385" spans="2:4">
      <c r="B5385">
        <v>97</v>
      </c>
      <c r="C5385" s="1">
        <f>hyperlink("https://hetutrechtsarchief.nl/collectie/D8904E878BC35C6E829C7FC649708FD7","Legitimatie van Arnold van Buchel P J Vermeulen 67-95 1949")</f>
        <v>0</v>
      </c>
      <c r="D5385" s="1">
        <f>hyperlink("http://dspace.library.uu.nl/handle/1874/289920","Legitimatie van Arnold van Buchell P J Vermeulen 67-95 1849")</f>
        <v>0</v>
      </c>
    </row>
    <row r="5386" spans="2:4">
      <c r="B5386">
        <v>97</v>
      </c>
      <c r="C5386" s="1">
        <f>hyperlink("https://hetutrechtsarchief.nl/collectie/271DF93BC55A5EEC9EF07604E4330D6B","Eenige statistieke opgaven het departement Utrecht betreffende tijdens de regering van koning Lodewijk Napoleon 36-64 1848")</f>
        <v>0</v>
      </c>
      <c r="D5386" s="1">
        <f>hyperlink("http://dspace.library.uu.nl/handle/1874/289921","Eenige statistieke opgaven het departement Utrecht betreffende tijdens de regering van Lodewijk Napoleon 36-64 1848")</f>
        <v>0</v>
      </c>
    </row>
    <row r="5387" spans="2:4">
      <c r="B5387">
        <v>100</v>
      </c>
      <c r="C5387" s="1">
        <f>hyperlink("https://hetutrechtsarchief.nl/collectie/BD1E255A23DC56AAB2E48951B0EAC475","Illuminatie te Utrecht den 28 october - 7 november 1674 97-101 1848")</f>
        <v>0</v>
      </c>
      <c r="D5387" s="1">
        <f>hyperlink("http://dspace.library.uu.nl/handle/1874/289922","Illuminatie te Utrecht den 28 October - 7 November 1674 97-101 1848")</f>
        <v>0</v>
      </c>
    </row>
    <row r="5388" spans="2:4">
      <c r="B5388">
        <v>70</v>
      </c>
      <c r="C5388" s="1">
        <f>hyperlink("https://hetutrechtsarchief.nl/collectie/A41DEC01CA24584BB981DB8EE2D5FB3D","Benoeming van den Utrechtenaar Reinier van Velthuysen tot doctor der theologie notaris en prothonotaris van den H Stoel dd 11 Julij 1708 en 5 Mei 1710 101-106 1849")</f>
        <v>0</v>
      </c>
      <c r="D5388" s="1">
        <f>hyperlink("http://dspace.library.uu.nl/handle/1874/289923","Philosophische stellingen door den Utrechtenaar Willem van Schaick aan de hoogeschool te Leuven den 12 en 13 Julij 1688 verdedigd Benoeming van den Utrechtenaar Reinier van Velthuysen tot doctor der theologie notaris en prothonotaris van den H stoel d d 11 Julij 1708 en 5 Mei 1710 98-106 1849")</f>
        <v>0</v>
      </c>
    </row>
    <row r="5389" spans="2:4">
      <c r="B5389">
        <v>100</v>
      </c>
      <c r="C5389" s="1">
        <f>hyperlink("https://hetutrechtsarchief.nl/collectie/FC47B3E005365B7589410F4D95E6717A","Bijdrage tot de geschiedenis der stichting van het kasteel Vredenburg te Utrecht 1536 101-112 1852")</f>
        <v>0</v>
      </c>
      <c r="D5389" s="1">
        <f>hyperlink("http://dspace.library.uu.nl/handle/1874/289934","Bijdrage tot de geschiedenis der stichting van het kasteel Vredenburg te Utrecht 1536 101-112 1852")</f>
        <v>0</v>
      </c>
    </row>
    <row r="5390" spans="2:4">
      <c r="B5390">
        <v>100</v>
      </c>
      <c r="C5390" s="1">
        <f>hyperlink("https://hetutrechtsarchief.nl/collectie/ABCA087A34C45209A2FDB1C2A112C5F8","Advies der edelen en ridderschap s Lands van Utrecht aangaanden de acte van seclusie 18 julij 1654 o s 166-193 1852")</f>
        <v>0</v>
      </c>
      <c r="D5390" s="1">
        <f>hyperlink("http://dspace.library.uu.nl/handle/1874/289935","Advies der edelen en ridderschap s lands van Utrecht aangaande de Acte van Seclusie 18 Julij 1654 o s 166-193 1852")</f>
        <v>0</v>
      </c>
    </row>
    <row r="5391" spans="2:4">
      <c r="B5391">
        <v>91</v>
      </c>
      <c r="C5391" s="1">
        <f>hyperlink("https://hetutrechtsarchief.nl/collectie/5B1CC7229E2F5B26A58A401EF2CF0FB8","Soci teit PHRM Cor Schilp 51-53 ill 1986")</f>
        <v>0</v>
      </c>
      <c r="D5391" s="1">
        <f>hyperlink("http://dspace.library.uu.nl/handle/1874/289936","Soci teit P H R M Cor Schilp 51-53 1986")</f>
        <v>0</v>
      </c>
    </row>
    <row r="5392" spans="2:4">
      <c r="B5392">
        <v>85</v>
      </c>
      <c r="C5392" s="1">
        <f>hyperlink("https://hetutrechtsarchief.nl/collectie/67456E3D3C3F5AEC81A593F6E1CA2D5E","Besogne tusschen gecommiteerden der stad Utrecht en Z D H op den 22 januarij 1794 193-199 1852")</f>
        <v>0</v>
      </c>
      <c r="D5392" s="1">
        <f>hyperlink("http://dspace.library.uu.nl/handle/1874/289937","Besogne tusschen gecommitteerden der stad Utrecht en Z D H op den 22 Januarij 1794 vervat in het volgend rapport 194-199 1852")</f>
        <v>0</v>
      </c>
    </row>
    <row r="5393" spans="2:4">
      <c r="B5393">
        <v>95</v>
      </c>
      <c r="C5393" s="1">
        <f>hyperlink("https://hetutrechtsarchief.nl/collectie/6A6010A28D6C5A81A59E32B9019E3C60","Dagverhaal der voornaamste gebeurtenissen binnen Utrecht te rekenen van den aanvang des franschen oorlogs tot aan de verheffing van Willem den Zesden Prins van Oranje tot Koning der Nederlanden Hendrik Keetell uitgeg door P J Vermeulen 1-48 113-165 273-361 1852")</f>
        <v>0</v>
      </c>
      <c r="D5393" s="1">
        <f>hyperlink("http://dspace.library.uu.nl/handle/1874/289938","Dagverhaal der voornaamste gebeurtenissen binnen Utrecht te rekenen van den aanvang des Franschen oorlogs tot aan de verheffing van Willem den Zesden prins van Oranje tot koning der Nederlanden Hendrik Keetell 1-48 113-165 273-361 1852")</f>
        <v>0</v>
      </c>
    </row>
    <row r="5394" spans="2:4">
      <c r="B5394">
        <v>90</v>
      </c>
      <c r="C5394" s="1">
        <f>hyperlink("https://hetutrechtsarchief.nl/collectie/49A0809436FB5801844867379B7E5F35","Over een muntje denarie van Deventer 1267-1270 O Keer 49-70 1852")</f>
        <v>0</v>
      </c>
      <c r="D5394" s="1">
        <f>hyperlink("http://dspace.library.uu.nl/handle/1874/289939","Over een muntje denarie van Deventer 1267-1270 weegt W o 588 O Keer 49-70 1852")</f>
        <v>0</v>
      </c>
    </row>
    <row r="5395" spans="2:4">
      <c r="B5395">
        <v>100</v>
      </c>
      <c r="C5395" s="1">
        <f>hyperlink("https://hetutrechtsarchief.nl/collectie/A9AC491A111159FF859242120CFD81AF","Opgave van eenige onkosten gemaakt bij het overlijden van H K H de Prinsesse Gouvernante 1759 235-245 1849")</f>
        <v>0</v>
      </c>
      <c r="D5395" s="1">
        <f>hyperlink("http://dspace.library.uu.nl/handle/1874/289940","Opgave van eenige onkosten gemaakt bij het overlijden van H K H de prinsesse gouvernante 1759 235-245 1849")</f>
        <v>0</v>
      </c>
    </row>
    <row r="5396" spans="2:4">
      <c r="B5396">
        <v>97</v>
      </c>
      <c r="C5396" s="1">
        <f>hyperlink("https://hetutrechtsarchief.nl/collectie/ACEB8DB1CBF252F2A4F2DC59327F7FF1","Album amicorum van Arnold van Buchell Petrus van Musschenbroek 200-208 1852")</f>
        <v>0</v>
      </c>
      <c r="D5396" s="1">
        <f>hyperlink("http://dspace.library.uu.nl/handle/1874/289941","Album amicorum van Arnold van Buchell P van Musschenbroek 200-208 1852")</f>
        <v>0</v>
      </c>
    </row>
    <row r="5397" spans="2:4">
      <c r="B5397">
        <v>99</v>
      </c>
      <c r="C5397" s="1">
        <f>hyperlink("https://hetutrechtsarchief.nl/collectie/647DCA048F6B5196ABC35C87BACD42B9","Bijdragen tot de geschiedenis van de gemeenten der hervormden in de provincie Utrecht 1619 P J Vermeulen 209-272 1852")</f>
        <v>0</v>
      </c>
      <c r="D5397" s="1">
        <f>hyperlink("http://dspace.library.uu.nl/handle/1874/289942","Bijdragen tot de geschiedenis van de gemeenten der hervormden in de provincie Utrecht in 1619 P J Vermeulen 209-272 1852")</f>
        <v>0</v>
      </c>
    </row>
    <row r="5398" spans="2:4">
      <c r="B5398">
        <v>74</v>
      </c>
      <c r="C5398" s="1">
        <f>hyperlink("https://hetutrechtsarchief.nl/collectie/6425D3EA4F2D55FC81127AD24ABE4E5E","Verscheidenheden uit den tijd van de overdragt der temporaliteit van Utrecht 1527 Uit den tijd van den opstand tegen Spanje 1576 De Germanis militibus quos Belgae MOFMAFFEN vocant Italous in Germanos Responsio Germanorum Copie van droom door A B C 222-231 1849")</f>
        <v>0</v>
      </c>
      <c r="D5398" s="1">
        <f>hyperlink("http://dspace.library.uu.nl/handle/1874/289943","Verscheidenheden Uit den tijd van de overdragt der temporaliteit van Utrecht 1527 Uit den tijd van den opstand tegen Spanje anno 1576 Uit den tijd van Leycester P J Vermeulen 222-234 1849")</f>
        <v>0</v>
      </c>
    </row>
    <row r="5399" spans="2:4">
      <c r="B5399">
        <v>99</v>
      </c>
      <c r="C5399" s="1">
        <f>hyperlink("https://hetutrechtsarchief.nl/collectie/BFA82F6DB69753A69388523E87770AD6","Kronijk van het S Nikolaas-klooster te Utrecht P J Vermeulen 71-100 1852")</f>
        <v>0</v>
      </c>
      <c r="D5399" s="1">
        <f>hyperlink("http://dspace.library.uu.nl/handle/1874/289944","Kronijk van het S Nicolaas-klooster te Utrecht P J Vermeulen 71-100 1852")</f>
        <v>0</v>
      </c>
    </row>
    <row r="5400" spans="2:4">
      <c r="B5400">
        <v>90</v>
      </c>
      <c r="C5400" s="1">
        <f>hyperlink("https://hetutrechtsarchief.nl/collectie/3CEF7E0CDB0E52D29FC939FCFB7CE9DF","Kerkelijke twisten en vervolgingen in Utrecht 1655 1740 1812 246-277 1849")</f>
        <v>0</v>
      </c>
      <c r="D5400" s="1">
        <f>hyperlink("http://dspace.library.uu.nl/handle/1874/289945","Kerkelijke twisten en vervolgingen in Utrecht in 1655 1740 1812 P J Vermeulen 246-277 1849")</f>
        <v>0</v>
      </c>
    </row>
    <row r="5401" spans="2:4">
      <c r="B5401">
        <v>100</v>
      </c>
      <c r="C5401" s="1">
        <f>hyperlink("https://hetutrechtsarchief.nl/collectie/60BDE2B91D355B02A8A0B41C7C6CE2BC","Redenen waarom tot gemeene welvaart en onderhoud der groote school van S Hieronymus alle andere priv latijnsche scholen behoorden verboden te zijn 366-371 1852")</f>
        <v>0</v>
      </c>
      <c r="D5401" s="1">
        <f>hyperlink("http://dspace.library.uu.nl/handle/1874/289946","Redenen waarom tot gemeene welvaart en onderhoud der groote school van S Hieronymus alle andere priv Latijnsche scholen behoorden verboden te zijn 366-371 1852")</f>
        <v>0</v>
      </c>
    </row>
    <row r="5402" spans="2:4">
      <c r="B5402">
        <v>98</v>
      </c>
      <c r="C5402" s="1">
        <f>hyperlink("https://hetutrechtsarchief.nl/collectie/88084F225F3055AC9B28507B31425998","Brieven van Everard van Weede heer van Dijkveld aan de Staten van Utrecht eene bijdrage tot de kennis der oorzaken van den spaanschen successie-oorlog uit het provinciaal Utrechtsch archief medegedeeld door G W Vreede 107-214 1849")</f>
        <v>0</v>
      </c>
      <c r="D5402" s="1">
        <f>hyperlink("http://dspace.library.uu.nl/handle/1874/289947","Brieven van Everard van Weede Heer van Dijkveld aan de Staten van Utrecht eene bijdrage tot de kennis der oorzaken van den Spaanschen successie-oorlog uit het provinciaal Utrechtsch archief medegedeeld door G W Vreede G W Vreede 107-214 1849")</f>
        <v>0</v>
      </c>
    </row>
    <row r="5403" spans="2:4">
      <c r="B5403">
        <v>100</v>
      </c>
      <c r="C5403" s="1">
        <f>hyperlink("https://hetutrechtsarchief.nl/collectie/856B77605CEF5B519914341294D6D940","Generale lijst der stads ambtenaren te Utrecht 215-221 1849")</f>
        <v>0</v>
      </c>
      <c r="D5403" s="1">
        <f>hyperlink("http://dspace.library.uu.nl/handle/1874/289948","Generale lijst der stads ambtenaren te Utrecht 215-221 1849")</f>
        <v>0</v>
      </c>
    </row>
    <row r="5404" spans="2:4">
      <c r="B5404">
        <v>52</v>
      </c>
      <c r="C5404" s="1">
        <f>hyperlink("https://hetutrechtsarchief.nl/collectie/EBCC53EE182A5403BC9614A4457833DB","De chalets van koningin Wilhelmina in de paleisparken van Het Loo 1881-1882 en Soestdijk 1892 Paul Rem 49-58 2011")</f>
        <v>0</v>
      </c>
      <c r="D5404" s="1">
        <f>hyperlink("http://dspace.library.uu.nl/handle/1874/289953","Van jachthuis naar lustslot moeilijkheden tijdens de verbouwing van paleis Soestdijk 1815-1821 Paul Rem 63-66 1986")</f>
        <v>0</v>
      </c>
    </row>
    <row r="5405" spans="2:4">
      <c r="B5405">
        <v>59</v>
      </c>
      <c r="C5405" s="1">
        <f>hyperlink("https://hetutrechtsarchief.nl/collectie/0850FA0BFA255587AC3EEED44AECE6FD","Restauratie en renovatie van Het Botenhuys L G van Aken en W M van den Hoven 105-108 2008")</f>
        <v>0</v>
      </c>
      <c r="D5405" s="1">
        <f>hyperlink("http://dspace.library.uu.nl/handle/1874/289954","De restauratie van Slot Zuylen A T Bosch van Drakenstein R G Folmer-von Oven 54-55 1986")</f>
        <v>0</v>
      </c>
    </row>
    <row r="5406" spans="2:4">
      <c r="B5406">
        <v>96</v>
      </c>
      <c r="C5406" s="1">
        <f>hyperlink("https://hetutrechtsarchief.nl/collectie/092198D58A005C4EB4C4781616AB5505","De Zuiderkerk 1925-1986 H J Ph G Kaajan 57-63 ill 1986")</f>
        <v>0</v>
      </c>
      <c r="D5406" s="1">
        <f>hyperlink("http://dspace.library.uu.nl/handle/1874/289955","De Zuiderkerk 1925-1986 H J Ph G Kaajan 57-63 1986")</f>
        <v>0</v>
      </c>
    </row>
    <row r="5407" spans="2:4">
      <c r="B5407">
        <v>84</v>
      </c>
      <c r="C5407" s="1">
        <f>hyperlink("https://hetutrechtsarchief.nl/collectie/E61C8757464E5C52BAE9AB311BBAF512","S Muller Fz als geschiedschrijver in zijn v r-Utrechtse periode P W Sijnke 69-71 ill 1986")</f>
        <v>0</v>
      </c>
      <c r="D5407" s="1">
        <f>hyperlink("http://dspace.library.uu.nl/handle/1874/289992","Maritiem-historische werken S Muller Fz als geschiedschrijver in zijn v r-Utrechtse periode P W Sijnke 69-71 1986")</f>
        <v>0</v>
      </c>
    </row>
    <row r="5408" spans="2:4">
      <c r="B5408">
        <v>77</v>
      </c>
      <c r="C5408" s="1">
        <f>hyperlink("https://hetutrechtsarchief.nl/collectie/0AA185CA2CD75111A2858F8CBD4EE092","Een middeleeuwse hofstede bij de Bilt J W H Meijer 64-66 ill 1987")</f>
        <v>0</v>
      </c>
      <c r="D5408" s="1">
        <f>hyperlink("http://dspace.library.uu.nl/handle/1874/290026","Een middeleeuwse hofstede bij De Bilt Hans L gers 73-75 1986")</f>
        <v>0</v>
      </c>
    </row>
    <row r="5409" spans="2:4">
      <c r="B5409">
        <v>96</v>
      </c>
      <c r="C5409" s="1">
        <f>hyperlink("https://hetutrechtsarchief.nl/collectie/E920DE30C6FC5B40887D971C7F285510","Brigittenstraat 20 J A C Mathijssen 93-95 ill 1986")</f>
        <v>0</v>
      </c>
      <c r="D5409" s="1">
        <f>hyperlink("http://dspace.library.uu.nl/handle/1874/290027","Brigittenstraat 20 J A C Mathijssen 93-95 1986")</f>
        <v>0</v>
      </c>
    </row>
    <row r="5410" spans="2:4">
      <c r="B5410">
        <v>98</v>
      </c>
      <c r="C5410" s="1">
        <f>hyperlink("https://hetutrechtsarchief.nl/collectie/ABA92A8647365E058579B1958292BA26","Theunes Haakma Wagenaar architect Utrecht 5 mei 1908-2 september 1986 C L Temminck Groll 96-97 ill 1986")</f>
        <v>0</v>
      </c>
      <c r="D5410" s="1">
        <f>hyperlink("http://dspace.library.uu.nl/handle/1874/290028","Theunes Haakma Wagenaar architect Utrecht 5 mei 1908-2 september 1986 C L Temminck Groll 96-97 1986")</f>
        <v>0</v>
      </c>
    </row>
    <row r="5411" spans="2:4">
      <c r="B5411">
        <v>50</v>
      </c>
      <c r="C5411" s="1">
        <f>hyperlink("https://hetutrechtsarchief.nl/collectie/4D96BE2DC2815607A8DD9EA31E0CA91E","Een toren van achteren en van voren over de Domtoren en Aart Mekkings Spel met toren en kapel A J van den Hoven van Genderen 150-171 ill 1992")</f>
        <v>0</v>
      </c>
      <c r="D5411" s="1">
        <f>hyperlink("http://dspace.library.uu.nl/handle/1874/290029","Lijst van grafsteden in de kerk van Zeist door kerkmeesters opgemaakt 1 mei 1751 voorzien van aantekeningen door de bewerker V A M van den Burg V A M van der Burg 86-88 1986")</f>
        <v>0</v>
      </c>
    </row>
    <row r="5412" spans="2:4">
      <c r="B5412">
        <v>98</v>
      </c>
      <c r="C5412" s="1">
        <f>hyperlink("https://hetutrechtsarchief.nl/collectie/4A923DA90FCE5F8BB422E08081430440","De primaat in het Franse Huis of een bisschopswapen met allure Ton H M van Schaik 81-84 ill 1986")</f>
        <v>0</v>
      </c>
      <c r="D5412" s="1">
        <f>hyperlink("http://dspace.library.uu.nl/handle/1874/290030","De primaat in het Franse Huis of een bisschopswapen met allure Ton H M van Schaik 81-84 1986")</f>
        <v>0</v>
      </c>
    </row>
    <row r="5413" spans="2:4">
      <c r="B5413">
        <v>98</v>
      </c>
      <c r="C5413" s="1">
        <f>hyperlink("https://hetutrechtsarchief.nl/collectie/4C168ACF49EE5504A05C6767DD734446","De identificatie van een foto het college van collectanten van de Gereformeerde Kerk J N van der Meulen 84-86 ill 1986")</f>
        <v>0</v>
      </c>
      <c r="D5413" s="1">
        <f>hyperlink("http://dspace.library.uu.nl/handle/1874/290031","De identificatie van een foto het College van Collectanten van de Gereformeerde Kerk J N van der Meulen 84-86 1986")</f>
        <v>0</v>
      </c>
    </row>
    <row r="5414" spans="2:4">
      <c r="B5414">
        <v>98</v>
      </c>
      <c r="C5414" s="1">
        <f>hyperlink("https://hetutrechtsarchief.nl/collectie/BB09E1BA1459529299E0DD8C60F5BD20","De graaf van Megen een regeringsgetrouwe edelman en zijn rol in Utrecht 1567 A van Hulzen 71-73 ill 1986")</f>
        <v>0</v>
      </c>
      <c r="D5414" s="1">
        <f>hyperlink("http://dspace.library.uu.nl/handle/1874/290032","De graaf van Megen een regeringsgetrouwe edelman en zijn rol in Utrecht 1567 A van Hulzen 71-73 1986")</f>
        <v>0</v>
      </c>
    </row>
    <row r="5415" spans="2:4">
      <c r="B5415">
        <v>98</v>
      </c>
      <c r="C5415" s="1">
        <f>hyperlink("https://hetutrechtsarchief.nl/collectie/83DE064D90D85E458DF71AD78A1121A9","Sara Sibilla Verdion uit Batavia of Indische welstand in Utrecht A B R du Croo de Vries 236-239 ill 1986")</f>
        <v>0</v>
      </c>
      <c r="D5415" s="1">
        <f>hyperlink("http://dspace.library.uu.nl/handle/1874/290060","Sara Sibilla Verdion uit Batavia of Indische welstand in Utrecht A B R du Croo de Vries 236-239 1986")</f>
        <v>0</v>
      </c>
    </row>
    <row r="5416" spans="2:4">
      <c r="B5416">
        <v>97</v>
      </c>
      <c r="C5416" s="1">
        <f>hyperlink("https://hetutrechtsarchief.nl/collectie/0AA185CA2CD75111A2858F8CBD4EE092","Een middeleeuwse hofstede bij de Bilt J W H Meijer 64-66 ill 1987")</f>
        <v>0</v>
      </c>
      <c r="D5416" s="1">
        <f>hyperlink("http://dspace.library.uu.nl/handle/1874/290061","Een middeleeuwse hofstede bij De Bilt J W H Meijer 64-66 1987")</f>
        <v>0</v>
      </c>
    </row>
    <row r="5417" spans="2:4">
      <c r="B5417">
        <v>98</v>
      </c>
      <c r="C5417" s="1">
        <f>hyperlink("https://hetutrechtsarchief.nl/collectie/1A03842312F856DEA0344702EAE097AC","Het familiestuk van de Utrechtse kunstschilder Nicolaus Knupfer in de Gem ldegalerie te Dresden G Brinkhuis 16-18 ill 1987")</f>
        <v>0</v>
      </c>
      <c r="D5417" s="1">
        <f>hyperlink("http://dspace.library.uu.nl/handle/1874/290062","Het familiestuk van de Utrechtse kunstschilder Nicolaus Knupfer in de Gem ldegalerie te Dresden G Brinkhuis 16-18 1987")</f>
        <v>0</v>
      </c>
    </row>
    <row r="5418" spans="2:4">
      <c r="B5418">
        <v>96</v>
      </c>
      <c r="C5418" s="1">
        <f>hyperlink("https://hetutrechtsarchief.nl/collectie/EA2974226188509CBDCC3EAFDD2C1DA6","Wanneer werd het huis Jeruzalemstraat 8-10 in Utrecht gebouwd M J W de Bruijn 13-16 ill 1987")</f>
        <v>0</v>
      </c>
      <c r="D5418" s="1">
        <f>hyperlink("http://dspace.library.uu.nl/handle/1874/290063","Wanneer werd het huis Jeruzalemstraat 8-10 in Utrecht gebouwd M W J de Bruijn 13-16 1987")</f>
        <v>0</v>
      </c>
    </row>
    <row r="5419" spans="2:4">
      <c r="B5419">
        <v>84</v>
      </c>
      <c r="C5419" s="1">
        <f>hyperlink("https://hetutrechtsarchief.nl/collectie/B3F6A8173CF059649CE94429CDFECC00","Rietveld Schr derhuis Wim Crouwel 52-56 ill 1987")</f>
        <v>0</v>
      </c>
      <c r="D5419" s="1">
        <f>hyperlink("http://dspace.library.uu.nl/handle/1874/290064","Rietveld Schr derhuis Wim Janssens A M Crouwel 52-56 1987")</f>
        <v>0</v>
      </c>
    </row>
    <row r="5420" spans="2:4">
      <c r="B5420">
        <v>98</v>
      </c>
      <c r="C5420" s="1">
        <f>hyperlink("https://hetutrechtsarchief.nl/collectie/AD1B3F4C08F355F994AB39225D467D97","Kanttekeningen bij twee wanddekoraties van Albert Hahn jr uit het NV-Huis te Utrecht J A L de Meyere 2-5 ill 1987")</f>
        <v>0</v>
      </c>
      <c r="D5420" s="1">
        <f>hyperlink("http://dspace.library.uu.nl/handle/1874/290065","Kanttekeningen bij twee wanddekoraties van Albert Hahn Jr uit het NV-huis te Utrecht J A L de Meyere 2-5 1987")</f>
        <v>0</v>
      </c>
    </row>
    <row r="5421" spans="2:4">
      <c r="B5421">
        <v>94</v>
      </c>
      <c r="C5421" s="1">
        <f>hyperlink("https://hetutrechtsarchief.nl/collectie/A308B72808A0551791D0A680473B182E","Oog in Al het huis en zijn bewoners Jos Pijl-Marsman 25-30 ill 1987")</f>
        <v>0</v>
      </c>
      <c r="D5421" s="1">
        <f>hyperlink("http://dspace.library.uu.nl/handle/1874/290066","Oog in al het huis en zijn bewoners Jos H M Pijl-Marsman 25-30 1987")</f>
        <v>0</v>
      </c>
    </row>
    <row r="5422" spans="2:4">
      <c r="B5422">
        <v>100</v>
      </c>
      <c r="C5422" s="1">
        <f>hyperlink("https://hetutrechtsarchief.nl/collectie/0DDE5E5A9CE75C7D8932B2E2A7E7BA31","Had Utrecht een ozendrop van drie voet M W J de Bruijn 6-9 1987")</f>
        <v>0</v>
      </c>
      <c r="D5422" s="1">
        <f>hyperlink("http://dspace.library.uu.nl/handle/1874/290067","Had Utrecht een ozendrop van drie voet M W J de Bruijn 6-9 1987")</f>
        <v>0</v>
      </c>
    </row>
    <row r="5423" spans="2:4">
      <c r="B5423">
        <v>97</v>
      </c>
      <c r="C5423" s="1">
        <f>hyperlink("https://hetutrechtsarchief.nl/collectie/A1903276088F53E0B9890B58056CC070","Paus Pius VII en de kerk van Rijsenburg in 1808 V A M van der Burg 63-64 ill 1987")</f>
        <v>0</v>
      </c>
      <c r="D5423" s="1">
        <f>hyperlink("http://dspace.library.uu.nl/handle/1874/290068","Paus Pius VII en de kerk van Rijsenburg in 1808 V A M van der Burg 63-64 1987")</f>
        <v>0</v>
      </c>
    </row>
    <row r="5424" spans="2:4">
      <c r="B5424">
        <v>98</v>
      </c>
      <c r="C5424" s="1">
        <f>hyperlink("https://hetutrechtsarchief.nl/collectie/DC3767FD62475C568F0B525C072C4547","De regulierenbijbel van Utrecht vondsten en uitzicht M P van Buijtenen 57-63 ill 1987")</f>
        <v>0</v>
      </c>
      <c r="D5424" s="1">
        <f>hyperlink("http://dspace.library.uu.nl/handle/1874/290069","De Regulierenbijbel van Utrecht vondsten en uitzicht M P van Buijtenen 57-63 1987")</f>
        <v>0</v>
      </c>
    </row>
    <row r="5425" spans="2:4">
      <c r="B5425">
        <v>97</v>
      </c>
      <c r="C5425" s="1">
        <f>hyperlink("https://hetutrechtsarchief.nl/collectie/608D886C0AFE52078861A2A5031A3FA5","De tekst van de romaanse reli fs in de Pieterskerk C G M Smit 33-35 ill 1987")</f>
        <v>0</v>
      </c>
      <c r="D5425" s="1">
        <f>hyperlink("http://dspace.library.uu.nl/handle/1874/290070","De tekst van de Romaanse reli fs in de Pieterskerk C G M Smit 33-35 1987")</f>
        <v>0</v>
      </c>
    </row>
    <row r="5426" spans="2:4">
      <c r="B5426">
        <v>91</v>
      </c>
      <c r="C5426" s="1">
        <f>hyperlink("https://hetutrechtsarchief.nl/collectie/BED792E40A3B57A2AB9B2EB070BB9010","Vijftig jaar Tuindorpkerk 1937-1987 H J Ph G Kaajan 45-52 ill 1987")</f>
        <v>0</v>
      </c>
      <c r="D5426" s="1">
        <f>hyperlink("http://dspace.library.uu.nl/handle/1874/290071","Vijftig jaar Tuindorpkerk 1937-1987 H J Ph G Kaajan 123-125 1987")</f>
        <v>0</v>
      </c>
    </row>
    <row r="5427" spans="2:4">
      <c r="B5427">
        <v>61</v>
      </c>
      <c r="C5427" s="1">
        <f>hyperlink("https://hetutrechtsarchief.nl/collectie/2CA45A0F1ABD520DBB0F10ABD560E91C","Boerderijen en erven in Zeist e o 71-98 2003")</f>
        <v>0</v>
      </c>
      <c r="D5427" s="1">
        <f>hyperlink("http://dspace.library.uu.nl/handle/1874/290072","Boerderij De Boeije N Maes 240 1986")</f>
        <v>0</v>
      </c>
    </row>
    <row r="5428" spans="2:4">
      <c r="B5428">
        <v>64</v>
      </c>
      <c r="C5428" s="1">
        <f>hyperlink("https://hetutrechtsarchief.nl/collectie/9967771E90BB5E7BB54ECFDA2CA7F4AD","De Rosi re van Utrecht J W C van Campen 135-140 1967")</f>
        <v>0</v>
      </c>
      <c r="D5428" s="1">
        <f>hyperlink("http://dspace.library.uu.nl/handle/1874/290073","Volksverhalen uit Vreeswijk J W C van Campen 37-38 1987")</f>
        <v>0</v>
      </c>
    </row>
    <row r="5429" spans="2:4">
      <c r="B5429">
        <v>96</v>
      </c>
      <c r="C5429" s="1">
        <f>hyperlink("https://hetutrechtsarchief.nl/collectie/E0775A725E255B7F9D6AC52CDFDF5EE9","Een wandeling over Soestbergen Wim Smit 231-236 ill 1986")</f>
        <v>0</v>
      </c>
      <c r="D5429" s="1">
        <f>hyperlink("http://dspace.library.uu.nl/handle/1874/290074","Een wandeling over Soestbergen Wim Smit 231-236 1986")</f>
        <v>0</v>
      </c>
    </row>
    <row r="5430" spans="2:4">
      <c r="B5430">
        <v>59</v>
      </c>
      <c r="C5430" s="1">
        <f>hyperlink("https://hetutrechtsarchief.nl/collectie/7E472DE047185BA5ABD5F25FD2B05DE7","Schapendriften een canon uit de geschiedenis van het dorp Zeist V A M van der Burg 101-105 2012")</f>
        <v>0</v>
      </c>
      <c r="D5430" s="1">
        <f>hyperlink("http://dspace.library.uu.nl/handle/1874/290075","Om de goede naam en eer van een minderjarig meisje V A M van der Burg 106-107 1986")</f>
        <v>0</v>
      </c>
    </row>
    <row r="5431" spans="2:4">
      <c r="B5431">
        <v>58</v>
      </c>
      <c r="C5431" s="1">
        <f>hyperlink("https://hetutrechtsarchief.nl/collectie/571B22ECC2AC5F178490FD8AFCF35532","Het lief en leed van Antonius 8 -9 1985")</f>
        <v>0</v>
      </c>
      <c r="D5431" s="1">
        <f>hyperlink("http://dspace.library.uu.nl/handle/1874/290076","Een lijk per expresse D van Manen 66 1987")</f>
        <v>0</v>
      </c>
    </row>
    <row r="5432" spans="2:4">
      <c r="B5432">
        <v>100</v>
      </c>
      <c r="C5432" s="1">
        <f>hyperlink("https://hetutrechtsarchief.nl/collectie/2B5131E792665E1ABA32558D8AE520A6","Hoe Utrechts Balije expectanten wierf J Belonje 95-96 1987")</f>
        <v>0</v>
      </c>
      <c r="D5432" s="1">
        <f>hyperlink("http://dspace.library.uu.nl/handle/1874/290112","Hoe Utrechts Balije expectanten wierf J Belonje 95-96 1987")</f>
        <v>0</v>
      </c>
    </row>
    <row r="5433" spans="2:4">
      <c r="B5433">
        <v>86</v>
      </c>
      <c r="C5433" s="1">
        <f>hyperlink("https://hetutrechtsarchief.nl/collectie/012ABF7AEE285DBA9FC6207D941751B1","De Domtoren eigendom van de gemeente Utrecht W B Heins en C A van Kalveen 93-95 ill 1987")</f>
        <v>0</v>
      </c>
      <c r="D5433" s="1">
        <f>hyperlink("http://dspace.library.uu.nl/handle/1874/290113","De Domtoren eigendom van de gemeente Utrecht C A van Heins W B Kalveen 93-95 1987")</f>
        <v>0</v>
      </c>
    </row>
    <row r="5434" spans="2:4">
      <c r="B5434">
        <v>94</v>
      </c>
      <c r="C5434" s="1">
        <f>hyperlink("https://hetutrechtsarchief.nl/collectie/ABE2A0F3CBD75447A60882D886A2EDC5","Het nieuwe theatrum physicum 1768 de orangerie aan de Eligensteeg H Spaamer-Buursink en L Terken 69-75 ill 1987")</f>
        <v>0</v>
      </c>
      <c r="D5434" s="1">
        <f>hyperlink("http://dspace.library.uu.nl/handle/1874/290114","Het nieuwe Theatrum Physicum 1768 de Oranjerie aan de Eligensteeg L Spaamer-Buursink H Terken 69-75 1987")</f>
        <v>0</v>
      </c>
    </row>
    <row r="5435" spans="2:4">
      <c r="B5435">
        <v>96</v>
      </c>
      <c r="C5435" s="1">
        <f>hyperlink("https://hetutrechtsarchief.nl/collectie/A7A888585ABD5920910E1FB49E9C093F","Het Cunerafeest in Rhenen in 1571 H P Deys 75-79 ill 1987")</f>
        <v>0</v>
      </c>
      <c r="D5435" s="1">
        <f>hyperlink("http://dspace.library.uu.nl/handle/1874/290115","Het Cunerafeest in Rhenen in 1571 H P Deys 75-79 1987")</f>
        <v>0</v>
      </c>
    </row>
    <row r="5436" spans="2:4">
      <c r="B5436">
        <v>95</v>
      </c>
      <c r="C5436" s="1">
        <f>hyperlink("https://hetutrechtsarchief.nl/collectie/D0EEA0ABB9DA5C89B5189BF02A9F6B8A","Zestig jaar Maandblad Oud-Utrecht J van Staveren 81-81 ill 1987")</f>
        <v>0</v>
      </c>
      <c r="D5436" s="1">
        <f>hyperlink("http://dspace.library.uu.nl/handle/1874/290116","Zestig jaar Maandblad Oud-Utrecht J van Staveren 81-82 1987")</f>
        <v>0</v>
      </c>
    </row>
    <row r="5437" spans="2:4">
      <c r="B5437">
        <v>55</v>
      </c>
      <c r="C5437" s="1">
        <f>hyperlink("https://hetutrechtsarchief.nl/collectie/E0775A725E255B7F9D6AC52CDFDF5EE9","Een wandeling over Soestbergen Wim Smit 231-236 ill 1986")</f>
        <v>0</v>
      </c>
      <c r="D5437" s="1">
        <f>hyperlink("http://dspace.library.uu.nl/handle/1874/290117","Het familiegraf Boellaard op Soestbergen C Staal 90 1987")</f>
        <v>0</v>
      </c>
    </row>
    <row r="5438" spans="2:4">
      <c r="B5438">
        <v>98</v>
      </c>
      <c r="C5438" s="1">
        <f>hyperlink("https://hetutrechtsarchief.nl/collectie/218E1EA853445958B731C86A4549C997","Een Utrechts stadsgezicht door Folpert van Ouwen Allen J A L de Meyere 253-255 ill 1987")</f>
        <v>0</v>
      </c>
      <c r="D5438" s="1">
        <f>hyperlink("http://dspace.library.uu.nl/handle/1874/290149","Een Utrechts stadsgezicht door Folpert van Ouwen Allen J A L de Meyere 253-255 1987")</f>
        <v>0</v>
      </c>
    </row>
    <row r="5439" spans="2:4">
      <c r="B5439">
        <v>98</v>
      </c>
      <c r="C5439" s="1">
        <f>hyperlink("https://hetutrechtsarchief.nl/collectie/8EEE7B69B1745C3C8A77181F24D2ABFE","D W van Rennes een Utrechtse werktuigkundige uitvinder en machinefabrikant Giel van Hooff 256-260 ill 1987")</f>
        <v>0</v>
      </c>
      <c r="D5439" s="1">
        <f>hyperlink("http://dspace.library.uu.nl/handle/1874/290150","D W van Rennes een Utrechtse werktuigkundige uitvinder en machinefabrikant Giel van Hooff 256-260 1987")</f>
        <v>0</v>
      </c>
    </row>
    <row r="5440" spans="2:4">
      <c r="B5440">
        <v>98</v>
      </c>
      <c r="C5440" s="1">
        <f>hyperlink("https://hetutrechtsarchief.nl/collectie/66A48AFEA7CB5FE887BB2BDB10D44725","Utrecht als doorgangsplaats voor pelgrims uit IJsland en Noorwegen G A van der Toorn-Piebenga 260-262 ill 1987")</f>
        <v>0</v>
      </c>
      <c r="D5440" s="1">
        <f>hyperlink("http://dspace.library.uu.nl/handle/1874/290151","Utrecht als doorgangsplaats voor pelgrims uit IJsland en Noorwegen G A van der Toorn-Piebenga 260-262 1987")</f>
        <v>0</v>
      </c>
    </row>
    <row r="5441" spans="2:4">
      <c r="B5441">
        <v>59</v>
      </c>
      <c r="C5441" s="1">
        <f>hyperlink("https://hetutrechtsarchief.nl/collectie/48A65874DDA75794952FFAEADA7F726D","De pelgrimsinsignes van Sinte Cunera te Rhenen H P Deys 34-54 ill tab 1994")</f>
        <v>0</v>
      </c>
      <c r="D5441" s="1">
        <f>hyperlink("http://dspace.library.uu.nl/handle/1874/290152","Een nieuw type pelgriminsigne van Sinte Kunera H J E van Beuningen 105-106 1987")</f>
        <v>0</v>
      </c>
    </row>
    <row r="5442" spans="2:4">
      <c r="B5442">
        <v>56</v>
      </c>
      <c r="C5442" s="1">
        <f>hyperlink("https://hetutrechtsarchief.nl/collectie/F596C9E1A8345E99990A1EC8A317C42C","Nalezingen op de proeve eener geschiedenis van het geslacht van Nyenrode J J de Geer 138 -226 1853")</f>
        <v>0</v>
      </c>
      <c r="D5442" s="1">
        <f>hyperlink("http://dspace.library.uu.nl/handle/1874/290153","Aen t ende van den lande enkele opmerkingen over de vroegste geschiedenis van het Stichts-Hollands grensgebied langs de Oude Rijn P C Beunder 12-16 1988")</f>
        <v>0</v>
      </c>
    </row>
    <row r="5443" spans="2:4">
      <c r="B5443">
        <v>55</v>
      </c>
      <c r="C5443" s="1">
        <f>hyperlink("https://hetutrechtsarchief.nl/collectie/EB48792CA45E5901B96C139ACE31F902","De Tuindorp beweging historische sociale en stedenbouwkundige context Arien Heering 25-27 2009")</f>
        <v>0</v>
      </c>
      <c r="D5443" s="1">
        <f>hyperlink("http://dspace.library.uu.nl/handle/1874/290154","Omgaan met historische stedebouwkundige structuren Rudger A F Smook 24-26 1988")</f>
        <v>0</v>
      </c>
    </row>
    <row r="5444" spans="2:4">
      <c r="B5444">
        <v>96</v>
      </c>
      <c r="C5444" s="1">
        <f>hyperlink("https://hetutrechtsarchief.nl/collectie/AB291382FC48525EA9AA6ADDE909EE42","Het huis Lepelenburg J W J Burgers 37-42 ill 1988")</f>
        <v>0</v>
      </c>
      <c r="D5444" s="1">
        <f>hyperlink("http://dspace.library.uu.nl/handle/1874/290155","Het huis Lepelenburg J W J Burgers 37-42 1988")</f>
        <v>0</v>
      </c>
    </row>
    <row r="5445" spans="2:4">
      <c r="B5445">
        <v>51</v>
      </c>
      <c r="C5445" s="1">
        <f>hyperlink("https://hetutrechtsarchief.nl/collectie/43EB60F9C1275547A36729821FB1A04F","Smeltend ijs in Breukelen het einde van de Griffioen A A Manten 4 tek 1998")</f>
        <v>0</v>
      </c>
      <c r="D5445" s="1">
        <f>hyperlink("http://dspace.library.uu.nl/handle/1874/290156","Plattelandsbouwen in de zuidwesthoek architectuur en stedebouw in de cope-ontginningen D A Haan 16-24 1988")</f>
        <v>0</v>
      </c>
    </row>
    <row r="5446" spans="2:4">
      <c r="B5446">
        <v>53</v>
      </c>
      <c r="C5446" s="1">
        <f>hyperlink("https://hetutrechtsarchief.nl/collectie/9E209AAF542D5761A672DAFB480C1328","De ligging van Eiteren R J Ooyevaar 18-30 2017")</f>
        <v>0</v>
      </c>
      <c r="D5446" s="1">
        <f>hyperlink("http://dspace.library.uu.nl/handle/1874/290157","De Windotter als naam voor de IJsselsteinse korenmolen R J Ooyevaar 45-46 1988")</f>
        <v>0</v>
      </c>
    </row>
    <row r="5447" spans="2:4">
      <c r="B5447">
        <v>89</v>
      </c>
      <c r="C5447" s="1">
        <f>hyperlink("https://hetutrechtsarchief.nl/collectie/7977DB7B1DE5595DACB10CB459E37499","De visitatie van 1593 in het Kromme Rijngebied H Reinders 23-28 ill 1991")</f>
        <v>0</v>
      </c>
      <c r="D5447" s="1">
        <f>hyperlink("http://dspace.library.uu.nl/handle/1874/290158","De visitatie van 1593 in het Krommerijngebied H Reinders 33-35 1988")</f>
        <v>0</v>
      </c>
    </row>
    <row r="5448" spans="2:4">
      <c r="B5448">
        <v>97</v>
      </c>
      <c r="C5448" s="1">
        <f>hyperlink("https://hetutrechtsarchief.nl/collectie/0C17CF8105D75627A0A4CE120FED5C13","Kardinaal Bernard Alfrink 1900-1987 en Utrecht Ton H M van Schaik 29-30 ill 1988")</f>
        <v>0</v>
      </c>
      <c r="D5448" s="1">
        <f>hyperlink("http://dspace.library.uu.nl/handle/1874/290159","Kardinaal Bernard Alfrink 1900-1987 en Utrecht Ton H M van Schaik 29-30 1988")</f>
        <v>0</v>
      </c>
    </row>
    <row r="5449" spans="2:4">
      <c r="B5449">
        <v>57</v>
      </c>
      <c r="C5449" s="1">
        <f>hyperlink("https://hetutrechtsarchief.nl/collectie/BEC071B806545DB489D3651C8ED7006D","Franciscus Cohu eerste R K pastoor van Zeist sedert de Hervorming V A M van der Burg 26-27 1991")</f>
        <v>0</v>
      </c>
      <c r="D5449" s="1">
        <f>hyperlink("http://dspace.library.uu.nl/handle/1874/290160","Cornelis Anthonisz van Hoornhove Hornhovius pastoor en predikant te Zeist alsmede kartograaf in 1599 V A M van der Burg 42-43 1988")</f>
        <v>0</v>
      </c>
    </row>
    <row r="5450" spans="2:4">
      <c r="B5450">
        <v>57</v>
      </c>
      <c r="C5450" s="1">
        <f>hyperlink("https://hetutrechtsarchief.nl/collectie/84776EDD4B815985A655AABCDA589597","De kloostergang van St Catharina te Utrecht A E Rientjes 142-143 ill 1924")</f>
        <v>0</v>
      </c>
      <c r="D5450" s="1">
        <f>hyperlink("http://dspace.library.uu.nl/handle/1874/290161","De geologische ontwikkeling van het landschap in zuidwest-Utrecht H J A Berendsen 1-12 1988")</f>
        <v>0</v>
      </c>
    </row>
    <row r="5451" spans="2:4">
      <c r="B5451">
        <v>58</v>
      </c>
      <c r="C5451" s="1">
        <f>hyperlink("https://hetutrechtsarchief.nl/collectie/95A05F1300385E1F9E60831513A768D8","Lambalgen J Belonje 83-95 1967")</f>
        <v>0</v>
      </c>
      <c r="D5451" s="1">
        <f>hyperlink("http://dspace.library.uu.nl/handle/1874/290494","Emmikhuizen J Belonje 65-67 1988")</f>
        <v>0</v>
      </c>
    </row>
    <row r="5452" spans="2:4">
      <c r="B5452">
        <v>100</v>
      </c>
      <c r="C5452" s="1">
        <f>hyperlink("https://hetutrechtsarchief.nl/collectie/A69D020AB96152918CF285B03D776995","Fragment van een leven dagboekje van mevrouw H S van Dielen-Alewijn uit 1870 J N van der Meulen 50-57 1988")</f>
        <v>0</v>
      </c>
      <c r="D5452" s="1">
        <f>hyperlink("http://dspace.library.uu.nl/handle/1874/290495","Fragment van een leven Dagboekje van mevrouw H S van Dielen-Alewijn uit 1870 J N van der Meulen 50-57 1988")</f>
        <v>0</v>
      </c>
    </row>
    <row r="5453" spans="2:4">
      <c r="B5453">
        <v>64</v>
      </c>
      <c r="C5453" s="1">
        <f>hyperlink("https://hetutrechtsarchief.nl/collectie/61DAF23F9F2158059D9DE9FCEA4035FC","De geschiedenis van het Huis de Geer en zijn bewoners - deel III Ben Remie 60-66 2015")</f>
        <v>0</v>
      </c>
      <c r="D5453" s="1">
        <f>hyperlink("http://dspace.library.uu.nl/handle/1874/290496","Uit de oudste geschiedenis van het huis Geerestein te Woudenberg W H M Nieuwenhuis 67-69 1988")</f>
        <v>0</v>
      </c>
    </row>
    <row r="5454" spans="2:4">
      <c r="B5454">
        <v>97</v>
      </c>
      <c r="C5454" s="1">
        <f>hyperlink("https://hetutrechtsarchief.nl/collectie/F7B615142FEC5AB285680DE8669024E1","Filips van Leiden in Utrecht nieuwe gegevens C A van Kalveen 61-65 ill 1988")</f>
        <v>0</v>
      </c>
      <c r="D5454" s="1">
        <f>hyperlink("http://dspace.library.uu.nl/handle/1874/290497","Filips van Leiden in Utrecht nieuwe gegevens C A van Kalveen 61-65 1988")</f>
        <v>0</v>
      </c>
    </row>
    <row r="5455" spans="2:4">
      <c r="B5455">
        <v>64</v>
      </c>
      <c r="C5455" s="1">
        <f>hyperlink("https://hetutrechtsarchief.nl/collectie/FDD700D25B375FA4A0B6D70A88EC64F6","Afscheid van een oude bekende J E A L Struick 8-10 ill 1969")</f>
        <v>0</v>
      </c>
      <c r="D5455" s="1">
        <f>hyperlink("http://dspace.library.uu.nl/handle/1874/290498","Afscheid van dr J E A L Struick G J R hner 69-70 1988")</f>
        <v>0</v>
      </c>
    </row>
    <row r="5456" spans="2:4">
      <c r="B5456">
        <v>97</v>
      </c>
      <c r="C5456" s="1">
        <f>hyperlink("https://hetutrechtsarchief.nl/collectie/0C5834E0B6CB5594B7D043F8B1C75B50","Het Centraal Museum te Utrecht het oudste stedelijk museum van Nederland J A L de Meyere 97-104 ill 1988")</f>
        <v>0</v>
      </c>
      <c r="D5456" s="1">
        <f>hyperlink("http://dspace.library.uu.nl/handle/1874/290913","Het Centraal Museum te Utrecht het oudste stedelijk museum van Nederland J A L de Meyere 97-105 1988")</f>
        <v>0</v>
      </c>
    </row>
    <row r="5457" spans="2:4">
      <c r="B5457">
        <v>97</v>
      </c>
      <c r="C5457" s="1">
        <f>hyperlink("https://hetutrechtsarchief.nl/collectie/B2243B8881BC5FD6A33347C49320E2E7","Lepelenburg en Bruntenhof 3-4 M W J de Bruijn 73-81 ill 1988")</f>
        <v>0</v>
      </c>
      <c r="D5457" s="1">
        <f>hyperlink("http://dspace.library.uu.nl/handle/1874/290914","Lepelenburg en Bruntenhof 3-4 M W J de Bruijn 73-81 1988")</f>
        <v>0</v>
      </c>
    </row>
    <row r="5458" spans="2:4">
      <c r="B5458">
        <v>61</v>
      </c>
      <c r="C5458" s="1">
        <f>hyperlink("https://hetutrechtsarchief.nl/collectie/5350862C4EAA52CC99B970C4E79ADE12","Het Utrechtse kerkenkruis in discussie Aug van Berkum 81-85 ill 1989")</f>
        <v>0</v>
      </c>
      <c r="D5458" s="1">
        <f>hyperlink("http://dspace.library.uu.nl/handle/1874/290915","Het Utrechtse Kinderziekenhuis van 1888-1898 Paul Werner 85-90 1988")</f>
        <v>0</v>
      </c>
    </row>
    <row r="5459" spans="2:4">
      <c r="B5459">
        <v>97</v>
      </c>
      <c r="C5459" s="1">
        <f>hyperlink("https://hetutrechtsarchief.nl/collectie/3907D4378E8E58B8A033239CF8C8E790","Het pelgrimsteken van de Strosteeg C H Staal 105-106 ill 1988")</f>
        <v>0</v>
      </c>
      <c r="D5459" s="1">
        <f>hyperlink("http://dspace.library.uu.nl/handle/1874/290916","Het pelgrimsteken van de Strosteeg C H Staal 105-106 1988")</f>
        <v>0</v>
      </c>
    </row>
    <row r="5460" spans="2:4">
      <c r="B5460">
        <v>81</v>
      </c>
      <c r="C5460" s="1">
        <f>hyperlink("https://hetutrechtsarchief.nl/collectie/C1C01609796252B9A25BB597E1229D19","Egilboldus verschijning en verdwijning van een bisschop H Bruch 113-116 ill 1988")</f>
        <v>0</v>
      </c>
      <c r="D5460" s="1">
        <f>hyperlink("http://dspace.library.uu.nl/handle/1874/290917","Egilboldus verschijning en verdwijning van een bisschop een historiografische studie H Bruch 113-118 1988")</f>
        <v>0</v>
      </c>
    </row>
    <row r="5461" spans="2:4">
      <c r="B5461">
        <v>93</v>
      </c>
      <c r="C5461" s="1">
        <f>hyperlink("https://hetutrechtsarchief.nl/collectie/17CBD3905F74550D82B9E53A4D077DF2","De schenking van de Domramen F G M Broeyer 124-129 ill 1988")</f>
        <v>0</v>
      </c>
      <c r="D5461" s="1">
        <f>hyperlink("http://dspace.library.uu.nl/handle/1874/290918","De schenking van de Domramen F G M Broeyer 124-130 1988")</f>
        <v>0</v>
      </c>
    </row>
    <row r="5462" spans="2:4">
      <c r="B5462">
        <v>97</v>
      </c>
      <c r="C5462" s="1">
        <f>hyperlink("https://hetutrechtsarchief.nl/collectie/ABC2EABFD7035F2CA3117ADA98AEF878","De rouwkas van Geertruyd Johanna Coenen J L Flipse 131-132 ill 1988")</f>
        <v>0</v>
      </c>
      <c r="D5462" s="1">
        <f>hyperlink("http://dspace.library.uu.nl/handle/1874/290919","De rouwkas van Geertruyd Johanna Coenen J L Flipse 131-132 1988")</f>
        <v>0</v>
      </c>
    </row>
    <row r="5463" spans="2:4">
      <c r="B5463">
        <v>98</v>
      </c>
      <c r="C5463" s="1">
        <f>hyperlink("https://hetutrechtsarchief.nl/collectie/4B1A68D333225880BF4B29F5656C4C9B","Utrechtse bijbel als restant van bloeiend gereformeerd leven W Smit 109-113 ill 1988")</f>
        <v>0</v>
      </c>
      <c r="D5463" s="1">
        <f>hyperlink("http://dspace.library.uu.nl/handle/1874/290920","Utrechtse bijbel als restant van bloeiend gereformeerd leven W Smit 109-113 1988")</f>
        <v>0</v>
      </c>
    </row>
    <row r="5464" spans="2:4">
      <c r="B5464">
        <v>77</v>
      </c>
      <c r="C5464" s="1">
        <f>hyperlink("https://hetutrechtsarchief.nl/collectie/69937193262852D39D0A3A68C3918B39","Een tijdsbestendig paspoort Paus Adriaan terug in zijn geboortestad Ton H M van Schaik 121-123 ill 1988")</f>
        <v>0</v>
      </c>
      <c r="D5464" s="1">
        <f>hyperlink("http://dspace.library.uu.nl/handle/1874/290921","Een tijdbestendig paspoort Paus Adriaan terug in zijn geboortestad voor Henk van Ulsen bij zijn 40-jarig toneeljubileum Ton H M van Schaik 121-123 1988")</f>
        <v>0</v>
      </c>
    </row>
    <row r="5465" spans="2:4">
      <c r="B5465">
        <v>98</v>
      </c>
      <c r="C5465" s="1">
        <f>hyperlink("https://hetutrechtsarchief.nl/collectie/942FA1866EEA5D24B7FFA10F8924F266","De Staten van het Nedersticht problemen rond samenstelling en bevoegdheden in de bisschoppelijke periode C A van Kalveen 13-18 ill 1989")</f>
        <v>0</v>
      </c>
      <c r="D5465" s="1">
        <f>hyperlink("http://dspace.library.uu.nl/handle/1874/291016","De Staten van het Nedersticht problemen rond samenstelling en bevoegdheden in de bisschoppelijke periode C A van Kalveen 13-18 1989")</f>
        <v>0</v>
      </c>
    </row>
    <row r="5466" spans="2:4">
      <c r="B5466">
        <v>99</v>
      </c>
      <c r="C5466" s="1">
        <f>hyperlink("https://hetutrechtsarchief.nl/collectie/1FFFE296FA75530F9587CC74922C7D9F","Het Utrechtse kerkenkruis vooropgezet plan of interpretatie achteraf A van Berkum 1-2 1989")</f>
        <v>0</v>
      </c>
      <c r="D5466" s="1">
        <f>hyperlink("http://dspace.library.uu.nl/handle/1874/291017","Het Utrechtse kerkenkruis vooropgezet plan of interpretatie achteraf A van Berkum 1-3 1989")</f>
        <v>0</v>
      </c>
    </row>
    <row r="5467" spans="2:4">
      <c r="B5467">
        <v>97</v>
      </c>
      <c r="C5467" s="1">
        <f>hyperlink("https://hetutrechtsarchief.nl/collectie/511BE7852C4354A78E5C4382EC4FDB30","De kunstschilder Lambert Simon 1909-1987 de jongste uit de jongerenclub van de Gemeenschap Ton van Schaik 21-27 ill 1989")</f>
        <v>0</v>
      </c>
      <c r="D5467" s="1">
        <f>hyperlink("http://dspace.library.uu.nl/handle/1874/291018","De kunstschilder Lambert Simon 1909-1987 de jongste uit de jongerenclub van de gemeenschap Ton H M van Schaik 21-27 1989")</f>
        <v>0</v>
      </c>
    </row>
    <row r="5468" spans="2:4">
      <c r="B5468">
        <v>96</v>
      </c>
      <c r="C5468" s="1">
        <f>hyperlink("https://hetutrechtsarchief.nl/collectie/28C889B934795F3F89EAC6EE90EC4C56","Militaire zorgen voor Utrecht J Belonje 30-32 ill 1989")</f>
        <v>0</v>
      </c>
      <c r="D5468" s="1">
        <f>hyperlink("http://dspace.library.uu.nl/handle/1874/291019","Militaire zorgen voor Utrecht J Belonje 30-32 1989")</f>
        <v>0</v>
      </c>
    </row>
    <row r="5469" spans="2:4">
      <c r="B5469">
        <v>94</v>
      </c>
      <c r="C5469" s="1">
        <f>hyperlink("https://hetutrechtsarchief.nl/collectie/A64CCF4FBB2053D0905556CE9081C9BF","De oorsprong van de Sint-Maartenvereniging in Utrecht Martin W J de Bruijn 33-39 ill 1989")</f>
        <v>0</v>
      </c>
      <c r="D5469" s="1">
        <f>hyperlink("http://dspace.library.uu.nl/handle/1874/291020","De oorsprong van de Sint Maartensverering in Utrecht Martin W de Bruijn 33-39 1989")</f>
        <v>0</v>
      </c>
    </row>
    <row r="5470" spans="2:4">
      <c r="B5470">
        <v>57</v>
      </c>
      <c r="C5470" s="1">
        <f>hyperlink("https://hetutrechtsarchief.nl/collectie/E4B0DED427685C37B64036E125133D61","Een vertekend beeld van Gerrit van Oldenbarnevelt H J Ph G Kaajan 59-75 2001")</f>
        <v>0</v>
      </c>
      <c r="D5470" s="1">
        <f>hyperlink("http://dspace.library.uu.nl/handle/1874/291021","De Noorderkerk van modern gebouw tot monument H J Ph G Kaajan 45-52 1989")</f>
        <v>0</v>
      </c>
    </row>
    <row r="5471" spans="2:4">
      <c r="B5471">
        <v>73</v>
      </c>
      <c r="C5471" s="1">
        <f>hyperlink("https://hetutrechtsarchief.nl/collectie/3190550237AB5E39AABBD95DFCB9401F","Het kerkenkruis voor de rechter Aart J J Mekking 52-56 ill 1989")</f>
        <v>0</v>
      </c>
      <c r="D5471" s="1">
        <f>hyperlink("http://dspace.library.uu.nl/handle/1874/291022","Het kerkenkruis voor de rechter Aug van Mekking Aart J J Berkum 52-56 nr 9 p 81-86 1989")</f>
        <v>0</v>
      </c>
    </row>
    <row r="5472" spans="2:4">
      <c r="B5472">
        <v>100</v>
      </c>
      <c r="C5472" s="1">
        <f>hyperlink("https://hetutrechtsarchief.nl/collectie/60BF9B1124025A7C94219604B3CEBE8F","Weer een theorie over het ontstaan van de werven langs de Utrechtse grachten M E H Schouten 59-61 1989")</f>
        <v>0</v>
      </c>
      <c r="D5472" s="1">
        <f>hyperlink("http://dspace.library.uu.nl/handle/1874/291023","Weer een theorie over het ontstaan van de werven langs de Utrechtse grachten M E H Schouten 59-61 1989")</f>
        <v>0</v>
      </c>
    </row>
    <row r="5473" spans="2:4">
      <c r="B5473">
        <v>94</v>
      </c>
      <c r="C5473" s="1">
        <f>hyperlink("https://hetutrechtsarchief.nl/collectie/476170B1D198594B90BC3A193D08FFC2","De theekoepel aan de Vaartse Rijn A M Reuver 61-63 ill 1989")</f>
        <v>0</v>
      </c>
      <c r="D5473" s="1">
        <f>hyperlink("http://dspace.library.uu.nl/handle/1874/291024","De theekoepel aan de Vaartse Rijn A M de Reuver 61-63 1989")</f>
        <v>0</v>
      </c>
    </row>
    <row r="5474" spans="2:4">
      <c r="B5474">
        <v>94</v>
      </c>
      <c r="C5474" s="1">
        <f>hyperlink("https://hetutrechtsarchief.nl/collectie/2DCDDC53133B54BA9BAC87305517E2E0","Het portret van Jan Practiseer door Johan Maurits Quinckhardt M J Bok 69-79 ill 1989")</f>
        <v>0</v>
      </c>
      <c r="D5474" s="1">
        <f>hyperlink("http://dspace.library.uu.nl/handle/1874/291025","Het portret van Jan Practiseer door Johan Maurits Quinckhardt Marten Jan Bok 69-79 1989")</f>
        <v>0</v>
      </c>
    </row>
    <row r="5475" spans="2:4">
      <c r="B5475">
        <v>59</v>
      </c>
      <c r="C5475" s="1">
        <f>hyperlink("https://hetutrechtsarchief.nl/collectie/9257B9ACED282725E0534701000A1F1B","De vergeten woontoren Jagenstein in Nederlangbroek Ad van Bemmel 1-10 2019")</f>
        <v>0</v>
      </c>
      <c r="D5475" s="1">
        <f>hyperlink("http://dspace.library.uu.nl/handle/1874/291026","Antonis Hermans van Bemmel - koster en schoolmeester te Nederlangbroek A A B van Bemmel 4-6 1989")</f>
        <v>0</v>
      </c>
    </row>
    <row r="5476" spans="2:4">
      <c r="B5476">
        <v>60</v>
      </c>
      <c r="C5476" s="1">
        <f>hyperlink("https://hetutrechtsarchief.nl/collectie/A1903276088F53E0B9890B58056CC070","Paus Pius VII en de kerk van Rijsenburg in 1808 V A M van der Burg 63-64 ill 1987")</f>
        <v>0</v>
      </c>
      <c r="D5476" s="1">
        <f>hyperlink("http://dspace.library.uu.nl/handle/1874/291027","De grafkapel van Vessem op het R K kerkhof te Driebergen-Rijsenburg V A M van der Burg 43-44 1989")</f>
        <v>0</v>
      </c>
    </row>
    <row r="5477" spans="2:4">
      <c r="B5477">
        <v>97</v>
      </c>
      <c r="C5477" s="1">
        <f>hyperlink("https://hetutrechtsarchief.nl/collectie/5ED91CF1CB625E48AB2F8AB15D63A6FC","Schilderijen uit bezit van Louis de Malapert 1782 J A L de Meyere 27-29 1989")</f>
        <v>0</v>
      </c>
      <c r="D5477" s="1">
        <f>hyperlink("http://dspace.library.uu.nl/handle/1874/291028","Schilderijen uit bezit van Louis de Malapert 1782 J A L de Meyere 27-30 1989")</f>
        <v>0</v>
      </c>
    </row>
    <row r="5478" spans="2:4">
      <c r="B5478">
        <v>98</v>
      </c>
      <c r="C5478" s="1">
        <f>hyperlink("https://hetutrechtsarchief.nl/collectie/65BEEC13F27A5A3483C3C25C89F82079","Een monogram op het schilderij Granida en Daifilo van Gerard van Honthorst ge dentificeerd Jos de Meyere 93-96 ill 1989")</f>
        <v>0</v>
      </c>
      <c r="D5478" s="1">
        <f>hyperlink("http://dspace.library.uu.nl/handle/1874/291120","Een monogram op het schilderij Granida en Daifilo van Gerard van Honthorst ge dentificeerd Jos de Meyere 93-96 1989")</f>
        <v>0</v>
      </c>
    </row>
    <row r="5479" spans="2:4">
      <c r="B5479">
        <v>90</v>
      </c>
      <c r="C5479" s="1">
        <f>hyperlink("https://hetutrechtsarchief.nl/collectie/5D9E1551238256A28959B8F679ACA24C","De bouwer van de Rode Poort in Utrecht M W J de Bruijn 96-99 ill 1989")</f>
        <v>0</v>
      </c>
      <c r="D5479" s="1">
        <f>hyperlink("http://dspace.library.uu.nl/handle/1874/291121","De bouwer van de Rode Poort in Utrecht Martin W J de Bruijn 96-100 1989")</f>
        <v>0</v>
      </c>
    </row>
    <row r="5480" spans="2:4">
      <c r="B5480">
        <v>95</v>
      </c>
      <c r="C5480" s="1">
        <f>hyperlink("https://hetutrechtsarchief.nl/collectie/F362BD0B22FB56F5B7B9CAAEA5C516BE","Een avond in het huis van Awater Ton H M van Schaik 105-109 ill 1989")</f>
        <v>0</v>
      </c>
      <c r="D5480" s="1">
        <f>hyperlink("http://dspace.library.uu.nl/handle/1874/291122","Een avond in het huis van Awater Ton H M van Schaik 105-110 1989")</f>
        <v>0</v>
      </c>
    </row>
    <row r="5481" spans="2:4">
      <c r="B5481">
        <v>98</v>
      </c>
      <c r="C5481" s="1">
        <f>hyperlink("https://hetutrechtsarchief.nl/collectie/86C84F67A1AA5372B90FF2BADC52668A","Hermina C A Grolman 1889-1955 een Utrechtse volkskundige Albert van der Zeijden 110-115 ill 1989")</f>
        <v>0</v>
      </c>
      <c r="D5481" s="1">
        <f>hyperlink("http://dspace.library.uu.nl/handle/1874/291303","Hermina C A Grolman 1889-1955 een Utrechtse volkskundige Albert van der Zeijden 110-115 1989")</f>
        <v>0</v>
      </c>
    </row>
    <row r="5482" spans="2:4">
      <c r="B5482">
        <v>92</v>
      </c>
      <c r="C5482" s="1">
        <f>hyperlink("https://hetutrechtsarchief.nl/collectie/544390D8427154D4A52C366587C99E26","Boterstraat in Utrecht het Lombardenhuis Martin W J de Bruijn 117-120 ill 1989")</f>
        <v>0</v>
      </c>
      <c r="D5482" s="1">
        <f>hyperlink("http://dspace.library.uu.nl/handle/1874/291304","Boterstraat 20 in Utrecht het Lombardenhuis M W J de Bruijn 117-120 1989")</f>
        <v>0</v>
      </c>
    </row>
    <row r="5483" spans="2:4">
      <c r="B5483">
        <v>67</v>
      </c>
      <c r="C5483" s="1">
        <f>hyperlink("https://hetutrechtsarchief.nl/collectie/48ED7179ED5C5283B38057AAFEB9A6E2","De oud-katholieken in stad en unie nieuwe literatuur en eeuwfeest Ton H M van Schaik 120-123 ill 1989")</f>
        <v>0</v>
      </c>
      <c r="D5483" s="1">
        <f>hyperlink("http://dspace.library.uu.nl/handle/1874/291305","Nieuwe literatuur en eeuwfeest de Oud-Katholieken in stad en Unie Ton H M van Schaik 120-123 1989")</f>
        <v>0</v>
      </c>
    </row>
    <row r="5484" spans="2:4">
      <c r="B5484">
        <v>59</v>
      </c>
      <c r="C5484" s="1">
        <f>hyperlink("https://hetutrechtsarchief.nl/collectie/ABE5AF62D12D5341BF9CA16E9ECD825D","Nogmaals de dertig hoeven in Oostveen Johanna Maria van Winter en A L P Buitelaar 124-125 1992")</f>
        <v>0</v>
      </c>
      <c r="D5484" s="1">
        <f>hyperlink("http://dspace.library.uu.nl/handle/1874/291306","Nogmaals de insignes van Sinte Kunera H J E van Beuningen 123-125 1989")</f>
        <v>0</v>
      </c>
    </row>
    <row r="5485" spans="2:4">
      <c r="B5485">
        <v>94</v>
      </c>
      <c r="C5485" s="1">
        <f>hyperlink("https://hetutrechtsarchief.nl/collectie/74C8F1B749E55F7E8617B38E32E32BC5","Ontucht in de Paulusabdij C A van Kalveen 1-5 ill 1990")</f>
        <v>0</v>
      </c>
      <c r="D5485" s="1">
        <f>hyperlink("http://dspace.library.uu.nl/handle/1874/291307","Ontucht in de Paulusabdij C A van Kalveen 1-7 1990")</f>
        <v>0</v>
      </c>
    </row>
    <row r="5486" spans="2:4">
      <c r="B5486">
        <v>100</v>
      </c>
      <c r="C5486" s="1">
        <f>hyperlink("https://hetutrechtsarchief.nl/collectie/31FEC3B4C5685A1D92B3C32178AC8176","Kerkepaarden te Utrecht M H de Vries 10-11 1990")</f>
        <v>0</v>
      </c>
      <c r="D5486" s="1">
        <f>hyperlink("http://dspace.library.uu.nl/handle/1874/291308","Kerkepaarden te Utrecht M H de Vries 10-11 1990")</f>
        <v>0</v>
      </c>
    </row>
    <row r="5487" spans="2:4">
      <c r="B5487">
        <v>96</v>
      </c>
      <c r="C5487" s="1">
        <f>hyperlink("https://hetutrechtsarchief.nl/collectie/1BEC76A0786456C9BFC70EE52A848757","Dirk Zwanink 1887-1950 tegelschilder te Utrecht F H Landzaat 13-15 ill 1990")</f>
        <v>0</v>
      </c>
      <c r="D5487" s="1">
        <f>hyperlink("http://dspace.library.uu.nl/handle/1874/291309","Dirk Zwanink 1887-1950 tegelschilder te Utrecht F H Landzaat 13-16 1990")</f>
        <v>0</v>
      </c>
    </row>
    <row r="5488" spans="2:4">
      <c r="B5488">
        <v>98</v>
      </c>
      <c r="C5488" s="1">
        <f>hyperlink("https://hetutrechtsarchief.nl/collectie/799F573D5ACF50B293F07E3F7B9D3496","Prof Dr F C Donders 1817-1889 enige aanvullingen op zijn biografie W A Wijburg 16-20 ill 1990")</f>
        <v>0</v>
      </c>
      <c r="D5488" s="1">
        <f>hyperlink("http://dspace.library.uu.nl/handle/1874/291310","Prof dr F C Donders 1817-1889 enige aanvullingen op zijn biografie W A Wijburg 16-20 1990")</f>
        <v>0</v>
      </c>
    </row>
    <row r="5489" spans="2:4">
      <c r="B5489">
        <v>96</v>
      </c>
      <c r="C5489" s="1">
        <f>hyperlink("https://hetutrechtsarchief.nl/collectie/B9019686AA2957538468ACFBBAA14BFB","Het Spectrum terug in Utrecht A H Bloemsma 21-23 ill 1990")</f>
        <v>0</v>
      </c>
      <c r="D5489" s="1">
        <f>hyperlink("http://dspace.library.uu.nl/handle/1874/291311","Het Spectrum terug in Utrecht A H Bloemsma 21-23 1990")</f>
        <v>0</v>
      </c>
    </row>
    <row r="5490" spans="2:4">
      <c r="B5490">
        <v>97</v>
      </c>
      <c r="C5490" s="1">
        <f>hyperlink("https://hetutrechtsarchief.nl/collectie/41DC29FA2DFB552788781D02903C2279","Ledenberchs graf te Voorburg geschonden H J Ph G Kaajan 23-29 ill 1990")</f>
        <v>0</v>
      </c>
      <c r="D5490" s="1">
        <f>hyperlink("http://dspace.library.uu.nl/handle/1874/291312","Ledenberchs graf te Voorburg geschonden H J Ph G Kaajan 23-29 1990")</f>
        <v>0</v>
      </c>
    </row>
    <row r="5491" spans="2:4">
      <c r="B5491">
        <v>97</v>
      </c>
      <c r="C5491" s="1">
        <f>hyperlink("https://hetutrechtsarchief.nl/collectie/B0B2427B1FE95BC78E07F9F7B055A44E","Een luiklok van Odijk naar Zeist V A M van der Burg 29-30 ill 1990")</f>
        <v>0</v>
      </c>
      <c r="D5491" s="1">
        <f>hyperlink("http://dspace.library.uu.nl/handle/1874/291313","Een luiklok van Odijk naar Zeist V A M van der Burg 29-30 1990")</f>
        <v>0</v>
      </c>
    </row>
    <row r="5492" spans="2:4">
      <c r="B5492">
        <v>97</v>
      </c>
      <c r="C5492" s="1">
        <f>hyperlink("https://hetutrechtsarchief.nl/collectie/3A45000DAAAB5FEA80E07FFFDCE1A921","De Utrechtse schilder Herman Saftleven en an extensive Rhineland view uit 1669 Jos de Meyere 1990")</f>
        <v>0</v>
      </c>
      <c r="D5492" s="1">
        <f>hyperlink("http://dspace.library.uu.nl/handle/1874/291314","De Utrechtse schilder Herman Saftleven en an extensive Rhineland view uit 1669 Jos de Meyere 33-40 1990")</f>
        <v>0</v>
      </c>
    </row>
    <row r="5493" spans="2:4">
      <c r="B5493">
        <v>95</v>
      </c>
      <c r="C5493" s="1">
        <f>hyperlink("https://hetutrechtsarchief.nl/collectie/39A76F4B0E4C58229248D928BFDBCD9C","De dom als decor Casper H Staal 46-47 ill 1990")</f>
        <v>0</v>
      </c>
      <c r="D5493" s="1">
        <f>hyperlink("http://dspace.library.uu.nl/handle/1874/291340","De Dom als decor Casper H Staal 46-47 1990")</f>
        <v>0</v>
      </c>
    </row>
    <row r="5494" spans="2:4">
      <c r="B5494">
        <v>94</v>
      </c>
      <c r="C5494" s="1">
        <f>hyperlink("https://hetutrechtsarchief.nl/collectie/F76F123214BA5550B612FEA844F4464D","De ordening van het archief Ritter Jan van Herpen 45-46 portr 1990")</f>
        <v>0</v>
      </c>
      <c r="D5494" s="1">
        <f>hyperlink("http://dspace.library.uu.nl/handle/1874/291341","De ordening van het archief Ritter Jan J van Herpen 45-46 1990")</f>
        <v>0</v>
      </c>
    </row>
    <row r="5495" spans="2:4">
      <c r="B5495">
        <v>94</v>
      </c>
      <c r="C5495" s="1">
        <f>hyperlink("https://hetutrechtsarchief.nl/collectie/430BF31DBCFB5CDEA7ED0FC1E8F7AB41","Het ontslag van Dr P H Ritter jr bij het Utrechts Dagblad in 1934 Jan van Herpen 57-64 ill portr 1990")</f>
        <v>0</v>
      </c>
      <c r="D5495" s="1">
        <f>hyperlink("http://dspace.library.uu.nl/handle/1874/291373","Het ontslag van Dr P H Ritter Jr bij het Utrechts Dagblad in 1934 Jan J van Herpen 57-64 1990")</f>
        <v>0</v>
      </c>
    </row>
    <row r="5496" spans="2:4">
      <c r="B5496">
        <v>100</v>
      </c>
      <c r="C5496" s="1">
        <f>hyperlink("https://hetutrechtsarchief.nl/collectie/79EE5E27B23E5CF193CAFCAC16AC60E8","Het archief van het Utrechtsch Studenten Corps ge nventariseerd A B R du Croo de Vries 67-68 1990")</f>
        <v>0</v>
      </c>
      <c r="D5496" s="1">
        <f>hyperlink("http://dspace.library.uu.nl/handle/1874/291374","Het archief van het Utrechtsch Studenten Corps ge nventariseerd A B R du Croo de Vries 67-68 1990")</f>
        <v>0</v>
      </c>
    </row>
    <row r="5497" spans="2:4">
      <c r="B5497">
        <v>97</v>
      </c>
      <c r="C5497" s="1">
        <f>hyperlink("https://hetutrechtsarchief.nl/collectie/4C3DF42B7AFE502A987771861B266B28","Het begin van een succesvolle onderneming de eerste vijf jaar van de Utrechtse Jaarbeursgeschiedenis H Boomsma 81-84 ill 1990")</f>
        <v>0</v>
      </c>
      <c r="D5497" s="1">
        <f>hyperlink("http://dspace.library.uu.nl/handle/1874/291420","Het begin van een succesvolle onderneming de eerste vijf jaar van de Utrechtse jaarbeursgeschiedenis Hans Boomsma 81-84 1990")</f>
        <v>0</v>
      </c>
    </row>
    <row r="5498" spans="2:4">
      <c r="B5498">
        <v>94</v>
      </c>
      <c r="C5498" s="1">
        <f>hyperlink("https://hetutrechtsarchief.nl/collectie/679C916DBC7E5EAFAB90DEC2848972B2","De datering en eerste bestemming van Wed 5-7 in Utrecht M W J de Bruijn 85-87 ill 1990")</f>
        <v>0</v>
      </c>
      <c r="D5498" s="1">
        <f>hyperlink("http://dspace.library.uu.nl/handle/1874/291421","De datering en eerste bestemming van Wed 5-7 in Utrecht Martin W J de Bruijn 85-88 1990")</f>
        <v>0</v>
      </c>
    </row>
    <row r="5499" spans="2:4">
      <c r="B5499">
        <v>93</v>
      </c>
      <c r="C5499" s="1">
        <f>hyperlink("https://hetutrechtsarchief.nl/collectie/3D06F0D092D256A28FBA2AC7B21E1B9B","Uit de geschiedenis van Dekker Van de Vegt K W J van Rossum 93-103 ill portr 1990")</f>
        <v>0</v>
      </c>
      <c r="D5499" s="1">
        <f>hyperlink("http://dspace.library.uu.nl/handle/1874/291422","Uit de geschiedenis van Dekker Van de Vegt K W J van Rossum 93-103 1990")</f>
        <v>0</v>
      </c>
    </row>
    <row r="5500" spans="2:4">
      <c r="B5500">
        <v>92</v>
      </c>
      <c r="C5500" s="1">
        <f>hyperlink("https://hetutrechtsarchief.nl/collectie/E534FB8CD57E5D62B8A86D290CE4AF71","De kaart van Utrecht in het jaar 690 Y M Donkersloot-de Vrij 105-107 ill 1990")</f>
        <v>0</v>
      </c>
      <c r="D5500" s="1">
        <f>hyperlink("http://dspace.library.uu.nl/handle/1874/291423","De kaart van Utrecht in het jaar 690 Marijke Donkersloot-de Vrij 105-107 1990")</f>
        <v>0</v>
      </c>
    </row>
    <row r="5501" spans="2:4">
      <c r="B5501">
        <v>97</v>
      </c>
      <c r="C5501" s="1">
        <f>hyperlink("https://hetutrechtsarchief.nl/collectie/494CECF0DE0154F8ACF72DE7340B93CF","Bedrijfsspionage in de achttiende eeuw een agent van de tsaar te Zijdebalen R Vermij 107-109 ill 1990")</f>
        <v>0</v>
      </c>
      <c r="D5501" s="1">
        <f>hyperlink("http://dspace.library.uu.nl/handle/1874/291424","Bedrijfsspionage in de achttiende eeuw een agent van de Tsaar te Zijdebalen R Vermij 107-110 1990")</f>
        <v>0</v>
      </c>
    </row>
    <row r="5502" spans="2:4">
      <c r="B5502">
        <v>96</v>
      </c>
      <c r="C5502" s="1">
        <f>hyperlink("https://hetutrechtsarchief.nl/collectie/3C12DBCE62B35CFFA1DDDB755319C94E","800 jaar Duitse Orde Casper Staal 117-119 ill 1990")</f>
        <v>0</v>
      </c>
      <c r="D5502" s="1">
        <f>hyperlink("http://dspace.library.uu.nl/handle/1874/291425","800 jaar Duitse orde Casper Staal 117-119 1990")</f>
        <v>0</v>
      </c>
    </row>
    <row r="5503" spans="2:4">
      <c r="B5503">
        <v>97</v>
      </c>
      <c r="C5503" s="1">
        <f>hyperlink("https://hetutrechtsarchief.nl/collectie/4F9C9192A7545472AAFD7D5FAFCF0CFF","Het eerste station van de Staatsspoorwegen in Utrecht H Boomsma 120-122 ill 1990")</f>
        <v>0</v>
      </c>
      <c r="D5503" s="1">
        <f>hyperlink("http://dspace.library.uu.nl/handle/1874/291426","Het eerste station van de staatsspoorwegen in Utrecht H Boomsma 120-122 1990")</f>
        <v>0</v>
      </c>
    </row>
    <row r="5504" spans="2:4">
      <c r="B5504">
        <v>96</v>
      </c>
      <c r="C5504" s="1">
        <f>hyperlink("https://hetutrechtsarchief.nl/collectie/9FFD82D79A32502C9B3000B4C5C3BEDA","Utrechtse preekstoel per abuis in Amerikaans Pella H J Ph G Kaajan 123-124 ill 1990")</f>
        <v>0</v>
      </c>
      <c r="D5504" s="1">
        <f>hyperlink("http://dspace.library.uu.nl/handle/1874/291427","Utrechtse preekstoel per abuis in Amerikaans Pella H J Ph G Kaajan 123-125 1990")</f>
        <v>0</v>
      </c>
    </row>
    <row r="5505" spans="2:4">
      <c r="B5505">
        <v>94</v>
      </c>
      <c r="C5505" s="1">
        <f>hyperlink("https://hetutrechtsarchief.nl/collectie/6F5A3545387B5D66A308F59B52EC8405","De sterfdag van Thomas Basin 500 jaar geleden Kaj van Vliet 1990")</f>
        <v>0</v>
      </c>
      <c r="D5505" s="1">
        <f>hyperlink("http://dspace.library.uu.nl/handle/1874/291428","De sterfdag van Thomas Basin 500 jaar geleden Kaj van Vliet 125-126 1990")</f>
        <v>0</v>
      </c>
    </row>
    <row r="5506" spans="2:4">
      <c r="B5506">
        <v>94</v>
      </c>
      <c r="C5506" s="1">
        <f>hyperlink("https://hetutrechtsarchief.nl/collectie/CDD81A899C1D580A827D7924DDAB48DF","Een eeuw Westerkerk 1891-1991 H J Ph G Kaajan 1-8 ill 1991")</f>
        <v>0</v>
      </c>
      <c r="D5506" s="1">
        <f>hyperlink("http://dspace.library.uu.nl/handle/1874/291528","Een eeuw Westerkerk 1891-1991 H J Ph G Kaajan 1-10 1991")</f>
        <v>0</v>
      </c>
    </row>
    <row r="5507" spans="2:4">
      <c r="B5507">
        <v>83</v>
      </c>
      <c r="C5507" s="1">
        <f>hyperlink("https://hetutrechtsarchief.nl/collectie/2C747800EEBE57A9A6DAAEE4E92DC51A","K W een muzikale fenix - v S 13 ill 1991")</f>
        <v>0</v>
      </c>
      <c r="D5507" s="1">
        <f>hyperlink("http://dspace.library.uu.nl/handle/1874/291565","K W een muzikale fenix A H M van Schaik 13 1991")</f>
        <v>0</v>
      </c>
    </row>
    <row r="5508" spans="2:4">
      <c r="B5508">
        <v>65</v>
      </c>
      <c r="C5508" s="1">
        <f>hyperlink("https://hetutrechtsarchief.nl/collectie/AB9CD50254385928822A99A9207F749F","Herinneringen aan K W 14-18 ill 1991")</f>
        <v>0</v>
      </c>
      <c r="D5508" s="1">
        <f>hyperlink("http://dspace.library.uu.nl/handle/1874/291566","Herinneringen aan K W Redactie Maandblad Oud-Utrecht 14-18 1991")</f>
        <v>0</v>
      </c>
    </row>
    <row r="5509" spans="2:4">
      <c r="B5509">
        <v>97</v>
      </c>
      <c r="C5509" s="1">
        <f>hyperlink("https://hetutrechtsarchief.nl/collectie/2933297B84925B1298E196EDC824E1B1","De gietstalen luidklok in Maarssen A J Zuithoff 21-23 ill 1991")</f>
        <v>0</v>
      </c>
      <c r="D5509" s="1">
        <f>hyperlink("http://dspace.library.uu.nl/handle/1874/291628","De gietstalen luidklok in Maarssen A J Zuithoff 21-23 1991")</f>
        <v>0</v>
      </c>
    </row>
    <row r="5510" spans="2:4">
      <c r="B5510">
        <v>100</v>
      </c>
      <c r="C5510" s="1">
        <f>hyperlink("https://hetutrechtsarchief.nl/collectie/BEC071B806545DB489D3651C8ED7006D","Franciscus Cohu eerste R K pastoor van Zeist sedert de Hervorming V A M van der Burg 26-27 1991")</f>
        <v>0</v>
      </c>
      <c r="D5510" s="1">
        <f>hyperlink("http://dspace.library.uu.nl/handle/1874/291629","Franciscus Cohu eerste R K pastoor van Zeist sedert de hervorming V A M van der Burg 26-27 1991")</f>
        <v>0</v>
      </c>
    </row>
    <row r="5511" spans="2:4">
      <c r="B5511">
        <v>96</v>
      </c>
      <c r="C5511" s="1">
        <f>hyperlink("https://hetutrechtsarchief.nl/collectie/F71BCF7D76C7548C965751D05DFDF387","Het archief van Oud-Utrecht ge nventariseerd G J R hner 24-25 ill 1991")</f>
        <v>0</v>
      </c>
      <c r="D5511" s="1">
        <f>hyperlink("http://dspace.library.uu.nl/handle/1874/291630","Het archief van Oud-Utrecht ge nventariseerd G J R hner 24-26 1991")</f>
        <v>0</v>
      </c>
    </row>
    <row r="5512" spans="2:4">
      <c r="B5512">
        <v>95</v>
      </c>
      <c r="C5512" s="1">
        <f>hyperlink("https://hetutrechtsarchief.nl/collectie/7152D57B487A57EC858818F6C653F1BC","Friedrich Wilhelm Mengelberg Casper Staal 28-29 portr 1991")</f>
        <v>0</v>
      </c>
      <c r="D5512" s="1">
        <f>hyperlink("http://dspace.library.uu.nl/handle/1874/291631","Friedrich Wilhelm Mengelberg Casper Staal 28-29 1991")</f>
        <v>0</v>
      </c>
    </row>
    <row r="5513" spans="2:4">
      <c r="B5513">
        <v>100</v>
      </c>
      <c r="C5513" s="1">
        <f>hyperlink("https://hetutrechtsarchief.nl/collectie/D4B7AAD33E2854538F44232163A65DC7","Vervolg op de Historische Afdeling D P Snoep 123 1979")</f>
        <v>0</v>
      </c>
      <c r="D5513" s="1">
        <f>hyperlink("http://dspace.library.uu.nl/handle/1874/291632","Vervolg op de Historische Afdeling D P Snoep 123 1979")</f>
        <v>0</v>
      </c>
    </row>
    <row r="5514" spans="2:4">
      <c r="B5514">
        <v>98</v>
      </c>
      <c r="C5514" s="1">
        <f>hyperlink("https://hetutrechtsarchief.nl/collectie/4D8DCD50897D5FFDB5B27A3F3B1A321C","De frictietegelpers van de tegelfabriek Westraven te Utrecht F H Landzaat 93-96 ill 1991")</f>
        <v>0</v>
      </c>
      <c r="D5514" s="1">
        <f>hyperlink("http://dspace.library.uu.nl/handle/1874/291646","De frictietegelpers van de tegelfabriek Westraven te Utrecht F H Landzaat 93-96 1991")</f>
        <v>0</v>
      </c>
    </row>
    <row r="5515" spans="2:4">
      <c r="B5515">
        <v>97</v>
      </c>
      <c r="C5515" s="1">
        <f>hyperlink("https://hetutrechtsarchief.nl/collectie/B1D8D65E5EEE529C92B0BBC8DDBAE0B3","Utrechtse grachtprofielen revisited C A Baart de la Faille 81-86 ill 1991")</f>
        <v>0</v>
      </c>
      <c r="D5515" s="1">
        <f>hyperlink("http://dspace.library.uu.nl/handle/1874/291647","Utrechtse grachtprofielen revisited C A Baart de la Faille 81-86 1991")</f>
        <v>0</v>
      </c>
    </row>
    <row r="5516" spans="2:4">
      <c r="B5516">
        <v>100</v>
      </c>
      <c r="C5516" s="1">
        <f>hyperlink("https://hetutrechtsarchief.nl/collectie/61B3C35D68C753B1B4216DBD5164AA1F","1938 de zangeres Vera Lynn in Utrecht Jan van Herpen 87-88 1991")</f>
        <v>0</v>
      </c>
      <c r="D5516" s="1">
        <f>hyperlink("http://dspace.library.uu.nl/handle/1874/291648","1938 de zangeres Vera Lynn in Utrecht Jan van Herpen 87-88 1991")</f>
        <v>0</v>
      </c>
    </row>
    <row r="5517" spans="2:4">
      <c r="B5517">
        <v>96</v>
      </c>
      <c r="C5517" s="1">
        <f>hyperlink("https://hetutrechtsarchief.nl/collectie/DFBF8E39C48E5ED284B4374921F9C715","Promoveren te Utrecht aan het eind van de zeventiende eeuw R Vermij 33-37 ill 1991")</f>
        <v>0</v>
      </c>
      <c r="D5517" s="1">
        <f>hyperlink("http://dspace.library.uu.nl/handle/1874/291649","Promoveren te Utrecht aan het eind van de zeventiende eeuw R Vermeij 33-38 1991")</f>
        <v>0</v>
      </c>
    </row>
    <row r="5518" spans="2:4">
      <c r="B5518">
        <v>74</v>
      </c>
      <c r="C5518" s="1">
        <f>hyperlink("https://hetutrechtsarchief.nl/collectie/6349493566095D3A8728C5D129D56776","Circa turrim Traiectensem M W J de Bruijn 45-47 ill 1991")</f>
        <v>0</v>
      </c>
      <c r="D5518" s="1">
        <f>hyperlink("http://dspace.library.uu.nl/handle/1874/291650","Circa turrim traiectensem M J W de Bruijn 45-47 jg 65 1992 nr 3 p 54-55 1991-1992")</f>
        <v>0</v>
      </c>
    </row>
    <row r="5519" spans="2:4">
      <c r="B5519">
        <v>96</v>
      </c>
      <c r="C5519" s="1">
        <f>hyperlink("https://hetutrechtsarchief.nl/collectie/4397B658A89F54ECAD05D669FD9DCFF0","Het altaar voor de Jezuietenstatie St Catharijne Onno Helleman 48-53 ill 1991")</f>
        <v>0</v>
      </c>
      <c r="D5519" s="1">
        <f>hyperlink("http://dspace.library.uu.nl/handle/1874/291651","Het altaar voor de Jezu etenstatie St Catharijne Onno Helleman 48-53 1991")</f>
        <v>0</v>
      </c>
    </row>
    <row r="5520" spans="2:4">
      <c r="B5520">
        <v>98</v>
      </c>
      <c r="C5520" s="1">
        <f>hyperlink("https://hetutrechtsarchief.nl/collectie/663F2AD6C5C45731A47835FD4F34B032","De Majestas Domini van de St Pieterskerk te Utrecht E L Hoffman-Klerkx 57-60 ill 1991")</f>
        <v>0</v>
      </c>
      <c r="D5520" s="1">
        <f>hyperlink("http://dspace.library.uu.nl/handle/1874/291652","De Majestas Domini van de St Pieterskerk te Utrecht E L Hoffman-Klerkx 57-60 1991")</f>
        <v>0</v>
      </c>
    </row>
    <row r="5521" spans="2:4">
      <c r="B5521">
        <v>95</v>
      </c>
      <c r="C5521" s="1">
        <f>hyperlink("https://hetutrechtsarchief.nl/collectie/F1EBB0E9BD83552193B2F1F1D93014FA","De moord op de bisschop H Bruch 60-65 ill 1991")</f>
        <v>0</v>
      </c>
      <c r="D5521" s="1">
        <f>hyperlink("http://dspace.library.uu.nl/handle/1874/291653","De moord op de bisschop H Bruch 60-65 1991")</f>
        <v>0</v>
      </c>
    </row>
    <row r="5522" spans="2:4">
      <c r="B5522">
        <v>95</v>
      </c>
      <c r="C5522" s="1">
        <f>hyperlink("https://hetutrechtsarchief.nl/collectie/647A590A419A589BAC906C6C36E09EF9","De schuilkerk van St Gertrudis C C van Hoogevest 70-72 ill 1991")</f>
        <v>0</v>
      </c>
      <c r="D5522" s="1">
        <f>hyperlink("http://dspace.library.uu.nl/handle/1874/291654","De schuilkerk van St Gertrudis C C van Hoogevest 70-73 1991")</f>
        <v>0</v>
      </c>
    </row>
    <row r="5523" spans="2:4">
      <c r="B5523">
        <v>97</v>
      </c>
      <c r="C5523" s="1">
        <f>hyperlink("https://hetutrechtsarchief.nl/collectie/0157CF9DF0745461AFF5376AEC8DBC94","Een reiziger in Utrecht Thomas Pennant op de grand tour 1765 Fred Vogelzang 73-75 portr 1991")</f>
        <v>0</v>
      </c>
      <c r="D5523" s="1">
        <f>hyperlink("http://dspace.library.uu.nl/handle/1874/291655","Een reiziger in Utrecht Thomas Pennant op de Grand Tour 1765 Fred Vogelzang 73-75 1991")</f>
        <v>0</v>
      </c>
    </row>
    <row r="5524" spans="2:4">
      <c r="B5524">
        <v>89</v>
      </c>
      <c r="C5524" s="1">
        <f>hyperlink("https://hetutrechtsarchief.nl/collectie/2595011BA8185F9D885D3B45201CF736","De ijskelder van Huis Doorn - C S 65-66 ill 1991")</f>
        <v>0</v>
      </c>
      <c r="D5524" s="1">
        <f>hyperlink("http://dspace.library.uu.nl/handle/1874/291656","De ijskelder van Huis Doorn C Staal 65-66 1991")</f>
        <v>0</v>
      </c>
    </row>
    <row r="5525" spans="2:4">
      <c r="B5525">
        <v>95</v>
      </c>
      <c r="C5525" s="1">
        <f>hyperlink("https://hetutrechtsarchief.nl/collectie/87FE8E0D8D71575EBE919A675F41CF68","Catharijnesingel 61 of hoe het begon H G Heijmans 96-101 ill 1992")</f>
        <v>0</v>
      </c>
      <c r="D5525" s="1">
        <f>hyperlink("http://dspace.library.uu.nl/handle/1874/291743","Catharijnesingel 61 of hoe het begon H G Heijmans 96-103 1992")</f>
        <v>0</v>
      </c>
    </row>
    <row r="5526" spans="2:4">
      <c r="B5526">
        <v>88</v>
      </c>
      <c r="C5526" s="1">
        <f>hyperlink("https://hetutrechtsarchief.nl/collectie/5285B700E78C5917ABDF0237777FADC7","Groeten uit Utrecht 100 jaar topografische prentbriefkaarten - Sophie en Tolien Wilmer 119-123 ill 1992")</f>
        <v>0</v>
      </c>
      <c r="D5526" s="1">
        <f>hyperlink("http://dspace.library.uu.nl/handle/1874/291744","Groeten uit Utrecht 100 jaar topografische prentbriefkaarten Tolien Wilmer Sophie Wilmer 119-123 1992")</f>
        <v>0</v>
      </c>
    </row>
    <row r="5527" spans="2:4">
      <c r="B5527">
        <v>99</v>
      </c>
      <c r="C5527" s="1">
        <f>hyperlink("https://hetutrechtsarchief.nl/collectie/E299A36EF96E50728B4DE66996F2D70C","In de Driehoek een historisch trefcentrum op mensenmaat openstelling een gebeurtenis in Utrechts cultureel leven Ton H M van Schaik 82-85 ill 1992")</f>
        <v>0</v>
      </c>
      <c r="D5527" s="1">
        <f>hyperlink("http://dspace.library.uu.nl/handle/1874/291745","In de Driehoek een historisch trefcentrum op mensenmaat openstelling een gebeurtenis in Utrechts cultureel leven Ton H M van Schaik 82-85 1992")</f>
        <v>0</v>
      </c>
    </row>
    <row r="5528" spans="2:4">
      <c r="B5528">
        <v>96</v>
      </c>
      <c r="C5528" s="1">
        <f>hyperlink("https://hetutrechtsarchief.nl/collectie/C0FD2739C64B53CC8B96CC78733C2841","De oude geografie en de ontginning van de Vechtstreek G J Borger 105-108 krt 1991")</f>
        <v>0</v>
      </c>
      <c r="D5528" s="1">
        <f>hyperlink("http://dspace.library.uu.nl/handle/1874/291746","De oude geografie en de ontginning van de Vechtstreek G J Borger 105-109 1991")</f>
        <v>0</v>
      </c>
    </row>
    <row r="5529" spans="2:4">
      <c r="B5529">
        <v>97</v>
      </c>
      <c r="C5529" s="1">
        <f>hyperlink("https://hetutrechtsarchief.nl/collectie/A31EBD5E1B875D17BDE7E5A469B5A032","De Stichtse ministerialiteit en de ontginning in de Vechtstreek A L P Buitelaar 110-118 krt 1991")</f>
        <v>0</v>
      </c>
      <c r="D5529" s="1">
        <f>hyperlink("http://dspace.library.uu.nl/handle/1874/291747","De Stichtse ministerialiteit en de ontginningen in de Vechtstreek A L P Buitelaar 110-118 1991")</f>
        <v>0</v>
      </c>
    </row>
    <row r="5530" spans="2:4">
      <c r="B5530">
        <v>93</v>
      </c>
      <c r="C5530" s="1">
        <f>hyperlink("https://hetutrechtsarchief.nl/collectie/E2EC51F35C4A541389271F42F2CF78E4","De scheepvaart op de Vecht A A Manten 118-130 ill krt 1991")</f>
        <v>0</v>
      </c>
      <c r="D5530" s="1">
        <f>hyperlink("http://dspace.library.uu.nl/handle/1874/291748","De scheepvaart op de Vecht A A Manten 118-130 1991")</f>
        <v>0</v>
      </c>
    </row>
    <row r="5531" spans="2:4">
      <c r="B5531">
        <v>94</v>
      </c>
      <c r="C5531" s="1">
        <f>hyperlink("https://hetutrechtsarchief.nl/collectie/396C5F3E97DF536E8077E68743C41D1B","De buitenplaatsen langs de Vecht tuin- en parkgeschiedenis H M J Tromp 137-146 ill krt 1991")</f>
        <v>0</v>
      </c>
      <c r="D5531" s="1">
        <f>hyperlink("http://dspace.library.uu.nl/handle/1874/291749","De buitenplaatsen langs de Vecht tuin- en parkgeschiedenis H M J Tromp 137-147 1991")</f>
        <v>0</v>
      </c>
    </row>
    <row r="5532" spans="2:4">
      <c r="B5532">
        <v>97</v>
      </c>
      <c r="C5532" s="1">
        <f>hyperlink("https://hetutrechtsarchief.nl/collectie/8E04D4B9F8A65AEE8B928951950EB9F5","In De Bilt kreeg de keizer geen natte voeten J W H Meijer 149-151 plgr 1992")</f>
        <v>0</v>
      </c>
      <c r="D5532" s="1">
        <f>hyperlink("http://dspace.library.uu.nl/handle/1874/291750","In De Bilt kreeg de keizer geen natte voeten J W H Meijer 149-151 1992")</f>
        <v>0</v>
      </c>
    </row>
    <row r="5533" spans="2:4">
      <c r="B5533">
        <v>94</v>
      </c>
      <c r="C5533" s="1">
        <f>hyperlink("https://hetutrechtsarchief.nl/collectie/CF31CAFC8C405FFD8AA64F6629B57243","Ontginningen in Eemland in de Middeleeuwen C J C Broer 20-31 ill krt 1992")</f>
        <v>0</v>
      </c>
      <c r="D5533" s="1">
        <f>hyperlink("http://dspace.library.uu.nl/handle/1874/291751","Ontginningen in Eemland in de Middeleeuwen C J C Broer 20-31 1992")</f>
        <v>0</v>
      </c>
    </row>
    <row r="5534" spans="2:4">
      <c r="B5534">
        <v>97</v>
      </c>
      <c r="C5534" s="1">
        <f>hyperlink("https://hetutrechtsarchief.nl/collectie/D4B7F33970915E459BE93604C6DC9567","Philips Vingboons en Joan Huydecoper van Maarsseveen projectontwikkelaars aan de Vecht K A Ottenheym 131-136 ill 1991")</f>
        <v>0</v>
      </c>
      <c r="D5534" s="1">
        <f>hyperlink("http://dspace.library.uu.nl/handle/1874/291752","Philips Vingboons en Joan Huydecoper van Maarsseveen projectontwikkelaars aan de Vecht K A Ottenheym 131-137 1991")</f>
        <v>0</v>
      </c>
    </row>
    <row r="5535" spans="2:4">
      <c r="B5535">
        <v>94</v>
      </c>
      <c r="C5535" s="1">
        <f>hyperlink("https://hetutrechtsarchief.nl/collectie/361B7C041337526D816ABB39C73561F3","De toekomst van de Utrechtse Heuvelrug en Vallei P A C Beelaerts van Blokland 41-45 1992")</f>
        <v>0</v>
      </c>
      <c r="D5535" s="1">
        <f>hyperlink("http://dspace.library.uu.nl/handle/1874/291753","De toekomst van de Utrechtse Heuvelrug P A C Beelaerts van Blokland 41-45 1992")</f>
        <v>0</v>
      </c>
    </row>
    <row r="5536" spans="2:4">
      <c r="B5536">
        <v>96</v>
      </c>
      <c r="C5536" s="1">
        <f>hyperlink("https://hetutrechtsarchief.nl/collectie/C8022BE64E935A3280D08EEEB2F169E5","De theekoepel t Oog in t Al J M M Marsman 50-53 ill 1992")</f>
        <v>0</v>
      </c>
      <c r="D5536" s="1">
        <f>hyperlink("http://dspace.library.uu.nl/handle/1874/291754","De theekoepel t Oog in t Al J M M Marsman 50-53 1992")</f>
        <v>0</v>
      </c>
    </row>
    <row r="5537" spans="2:4">
      <c r="B5537">
        <v>89</v>
      </c>
      <c r="C5537" s="1">
        <f>hyperlink("https://hetutrechtsarchief.nl/collectie/003E31F73B6F5DE7921D22B0DAF3E500","Het Oranjepark een verdwenen stukje Utrecht Linda Westerink en Irjan Aarten 57-59 ill 1992")</f>
        <v>0</v>
      </c>
      <c r="D5537" s="1">
        <f>hyperlink("http://dspace.library.uu.nl/handle/1874/291755","Het Oranjepark een verdwenen stukje Utrecht Irjan Westerink Linda Aarten 57-59 1992")</f>
        <v>0</v>
      </c>
    </row>
    <row r="5538" spans="2:4">
      <c r="B5538">
        <v>98</v>
      </c>
      <c r="C5538" s="1">
        <f>hyperlink("https://hetutrechtsarchief.nl/collectie/04F96403CE8D5ED38796248E4DB1CD08","Van Heer van Ginckel tot Graaf van Athlone de carri re van een Utrechtse militair 1644 - 1703 Fred Vogelzang 60-65 ill 1992")</f>
        <v>0</v>
      </c>
      <c r="D5538" s="1">
        <f>hyperlink("http://dspace.library.uu.nl/handle/1874/291756","Van Heer van Ginckel tot Graaf van Athlone de carri re van een Utrechtse militair 1644-1703 Fred Vogelzang 60-65 1992")</f>
        <v>0</v>
      </c>
    </row>
    <row r="5539" spans="2:4">
      <c r="B5539">
        <v>96</v>
      </c>
      <c r="C5539" s="1">
        <f>hyperlink("https://hetutrechtsarchief.nl/collectie/3C5B11AED9D358F49CDB4CF21977BCC5","Het Utrechtse Comit 1945-1949 H D Baars 106-107 ill 1992")</f>
        <v>0</v>
      </c>
      <c r="D5539" s="1">
        <f>hyperlink("http://dspace.library.uu.nl/handle/1874/291757","Het Utrechtse Comit 1945-1949 H D Baars 106-107 1992")</f>
        <v>0</v>
      </c>
    </row>
    <row r="5540" spans="2:4">
      <c r="B5540">
        <v>98</v>
      </c>
      <c r="C5540" s="1">
        <f>hyperlink("https://hetutrechtsarchief.nl/collectie/4EE7AC455E1F5FE0AB6A01092D7094ED","Was er in april 1228 sprake van een dam in de Vecht bij Otterspoor Martin de Bruijn 113-115 krt 1992")</f>
        <v>0</v>
      </c>
      <c r="D5540" s="1">
        <f>hyperlink("http://dspace.library.uu.nl/handle/1874/291758","Was er in april 1228 sprake van een dam in de Vecht bij Otterspoor Martin de Bruijn 113-115 1992")</f>
        <v>0</v>
      </c>
    </row>
    <row r="5541" spans="2:4">
      <c r="B5541">
        <v>98</v>
      </c>
      <c r="C5541" s="1">
        <f>hyperlink("https://hetutrechtsarchief.nl/collectie/1D9F5215CCE95625B3EF9A44BA50D407","Alsof zij een schooljongen voorhad uit de geschiedenis van de openbare bibliotheken in Utrecht P D t Hart 133-137 ill 1992")</f>
        <v>0</v>
      </c>
      <c r="D5541" s="1">
        <f>hyperlink("http://dspace.library.uu.nl/handle/1874/291759","Alsof zij een schooljongen voorhad uit de geschiedenis van de openbare bibliotheken in Utrecht P D t Hart 133-137 1992")</f>
        <v>0</v>
      </c>
    </row>
    <row r="5542" spans="2:4">
      <c r="B5542">
        <v>90</v>
      </c>
      <c r="C5542" s="1">
        <f>hyperlink("https://hetutrechtsarchief.nl/collectie/0FC37871ADCD52A7BA265E98E8D298E8","Welke kerk van Willibrord Sint-Maarten of Sint-Salvator C J C Broer en M W J de Bruijn 142-145 1992")</f>
        <v>0</v>
      </c>
      <c r="D5542" s="1">
        <f>hyperlink("http://dspace.library.uu.nl/handle/1874/291760","Welke kerk van Willibrord Sint-Maarten of Sint-Salvator M W J de Broer C J C Bruijn 142-146 1992")</f>
        <v>0</v>
      </c>
    </row>
    <row r="5543" spans="2:4">
      <c r="B5543">
        <v>94</v>
      </c>
      <c r="C5543" s="1">
        <f>hyperlink("https://hetutrechtsarchief.nl/collectie/1A7900DF890255D2963C59EFC9341DF3","De dertig hoeven in Oostveen Hans L gers 73-77 ill 1992")</f>
        <v>0</v>
      </c>
      <c r="D5543" s="1">
        <f>hyperlink("http://dspace.library.uu.nl/handle/1874/291761","De dertig hoeven in Oostveen Hans L gers 73-78 1992")</f>
        <v>0</v>
      </c>
    </row>
    <row r="5544" spans="2:4">
      <c r="B5544">
        <v>84</v>
      </c>
      <c r="C5544" s="1">
        <f>hyperlink("https://hetutrechtsarchief.nl/collectie/ABE5AF62D12D5341BF9CA16E9ECD825D","Nogmaals de dertig hoeven in Oostveen Johanna Maria van Winter en A L P Buitelaar 124-125 1992")</f>
        <v>0</v>
      </c>
      <c r="D5544" s="1">
        <f>hyperlink("http://dspace.library.uu.nl/handle/1874/291762","Nogmaals de dertig hoeven in Oostveen A L P Winter Johanna Maria van Buitelaar 124-125 1992")</f>
        <v>0</v>
      </c>
    </row>
    <row r="5545" spans="2:4">
      <c r="B5545">
        <v>97</v>
      </c>
      <c r="C5545" s="1">
        <f>hyperlink("https://hetutrechtsarchief.nl/collectie/C138ACB5B9D353DF8BBAF488113C991D","De verwevenheid van godsdienst en politiek K Vernooy 9-18 ill 1992")</f>
        <v>0</v>
      </c>
      <c r="D5545" s="1">
        <f>hyperlink("http://dspace.library.uu.nl/handle/1874/291763","De verwevenheid van godsdienst en politiek K Vernooy 9-18 1992")</f>
        <v>0</v>
      </c>
    </row>
    <row r="5546" spans="2:4">
      <c r="B5546">
        <v>70</v>
      </c>
      <c r="C5546" s="1">
        <f>hyperlink("https://hetutrechtsarchief.nl/collectie/0CDB859E528A55609C62FC1222635E3F","Hartverwarmend tridu m in Brussel voor Ina Boudier-Bakker Jan J van Herpen 86-90 ill portr 1992")</f>
        <v>0</v>
      </c>
      <c r="D5546" s="1">
        <f>hyperlink("http://dspace.library.uu.nl/handle/1874/291764","Hartverwarmend tridu m in Brussel voor Ina Boudier-Bakker door Kitty de Josselin de Jong opgetekend door Jan J van Herpen Jan J van Herpen 86-90 1992")</f>
        <v>0</v>
      </c>
    </row>
    <row r="5547" spans="2:4">
      <c r="B5547">
        <v>95</v>
      </c>
      <c r="C5547" s="1">
        <f>hyperlink("https://hetutrechtsarchief.nl/collectie/EEA183124F9F51F9B22EF49E9AA7DB0F","Volkswoningbouw door G Th Rietveld in Hoograven en Tolsteeg Ida van Zijl 8-11 ill plgr 1993")</f>
        <v>0</v>
      </c>
      <c r="D5547" s="1">
        <f>hyperlink("http://dspace.library.uu.nl/handle/1874/291848","Volkswoningbouw door G Th Rietveld in Hoograven en Tolsteeg Ida van Zijl 8-11 1993")</f>
        <v>0</v>
      </c>
    </row>
    <row r="5548" spans="2:4">
      <c r="B5548">
        <v>97</v>
      </c>
      <c r="C5548" s="1">
        <f>hyperlink("https://hetutrechtsarchief.nl/collectie/4E5FCB984EB45B57B331636DF58AC07B","Huisnummers in de stad Utrecht J N van der Meulen 26-28 ill 1993")</f>
        <v>0</v>
      </c>
      <c r="D5548" s="1">
        <f>hyperlink("http://dspace.library.uu.nl/handle/1874/291849","Huisnummers in de stad Utrecht J N van der Meulen 26-28 1993")</f>
        <v>0</v>
      </c>
    </row>
    <row r="5549" spans="2:4">
      <c r="B5549">
        <v>98</v>
      </c>
      <c r="C5549" s="1">
        <f>hyperlink("https://hetutrechtsarchief.nl/collectie/82A7DFEC644E51FCADA618BEB1021A4E","Het Gedroomde Land pastorale schilderkunst in de Gouden Eeuw tentoonstelling Centraal Museum van 29 mei tot en met 1 augustus 1993 Marten Jan Bok 35-37 ill 1993")</f>
        <v>0</v>
      </c>
      <c r="D5549" s="1">
        <f>hyperlink("http://dspace.library.uu.nl/handle/1874/291850","Het Gedroomde Land pastorale schilderkunst in de Gouden Eeuw tentoonstelling Centraal Museum van 29 mei tot en met 1 augustus 1993 Marten Jan Bok 35-38 1993")</f>
        <v>0</v>
      </c>
    </row>
    <row r="5550" spans="2:4">
      <c r="B5550">
        <v>79</v>
      </c>
      <c r="C5550" s="1">
        <f>hyperlink("https://hetutrechtsarchief.nl/collectie/53FFCC35A5D25989AC19C9A5F08B7EE8","Het oude kantoor N C Haksel 39-42 ill 1993")</f>
        <v>0</v>
      </c>
      <c r="D5550" s="1">
        <f>hyperlink("http://dspace.library.uu.nl/handle/1874/291851","Het oude kantoor G J Haksel N C R hner 39-42 1993")</f>
        <v>0</v>
      </c>
    </row>
    <row r="5551" spans="2:4">
      <c r="B5551">
        <v>98</v>
      </c>
      <c r="C5551" s="1">
        <f>hyperlink("https://hetutrechtsarchief.nl/collectie/346C1267ACA6534F90ED1CF7570A1BC6","Fysisch geografische beschrijving van het gebied rond Vleuten A A Brombacher 50-51 krt 1993")</f>
        <v>0</v>
      </c>
      <c r="D5551" s="1">
        <f>hyperlink("http://dspace.library.uu.nl/handle/1874/291852","Fysisch geografische beschrijving van het gebied rond Vleuten A A Brombacher 50-51 1993")</f>
        <v>0</v>
      </c>
    </row>
    <row r="5552" spans="2:4">
      <c r="B5552">
        <v>95</v>
      </c>
      <c r="C5552" s="1">
        <f>hyperlink("https://hetutrechtsarchief.nl/collectie/9695A17344D05725977DF74B0458E945","Een archeologische kartering ten westen van Utrecht E P Graafstal 52-60 ill krt 1993")</f>
        <v>0</v>
      </c>
      <c r="D5552" s="1">
        <f>hyperlink("http://dspace.library.uu.nl/handle/1874/291853","Een archeologische kartering ten westen van Utrecht E P Graafstal 52-60 1993")</f>
        <v>0</v>
      </c>
    </row>
    <row r="5553" spans="2:4">
      <c r="B5553">
        <v>97</v>
      </c>
      <c r="C5553" s="1">
        <f>hyperlink("https://hetutrechtsarchief.nl/collectie/61281DFA62E2519C97B805643F81FD47","Historisch-ruimtelijke ontwikkeling van de gemeente Vleuten-De Meern M Laman 61-66 krt 1993")</f>
        <v>0</v>
      </c>
      <c r="D5553" s="1">
        <f>hyperlink("http://dspace.library.uu.nl/handle/1874/291854","Historisch-ruimtelijke ontwikkeling van de gemeente Vleuten-De Meern N Laman 61-66 1993")</f>
        <v>0</v>
      </c>
    </row>
    <row r="5554" spans="2:4">
      <c r="B5554">
        <v>98</v>
      </c>
      <c r="C5554" s="1">
        <f>hyperlink("https://hetutrechtsarchief.nl/collectie/63FD80B741E6559999521884AF1BB3A8","Indicatieve flora- en faunagegevens in het gebied van Vleuten de Meern P H E Claringbould 66-69 ill 1993")</f>
        <v>0</v>
      </c>
      <c r="D5554" s="1">
        <f>hyperlink("http://dspace.library.uu.nl/handle/1874/291855","Indicatieve flora- en faunagegevens in het gebied van Vleuten de Meern P H E Claringbould 66-69 1993")</f>
        <v>0</v>
      </c>
    </row>
    <row r="5555" spans="2:4">
      <c r="B5555">
        <v>89</v>
      </c>
      <c r="C5555" s="1">
        <f>hyperlink("https://hetutrechtsarchief.nl/collectie/48C1382080915252BD81D9DB077B3EB2","Boerderijen in het westelijk veen- weidegebied J F K Kits Nieuwenkamp en W van Campen 73-78 ill 1993")</f>
        <v>0</v>
      </c>
      <c r="D5555" s="1">
        <f>hyperlink("http://dspace.library.uu.nl/handle/1874/291856","Boerderijen in het westelijk veen- weidegebied W van Kits Nieuwenkamp J F K Campen 73-78 1993")</f>
        <v>0</v>
      </c>
    </row>
    <row r="5556" spans="2:4">
      <c r="B5556">
        <v>98</v>
      </c>
      <c r="C5556" s="1">
        <f>hyperlink("https://hetutrechtsarchief.nl/collectie/D2FDA99AFB2E5915B8511E2BFB8A8CB6","Museum en school van kunstnijverheid te Utrecht J N van der Meulen 94-100 ill 1993")</f>
        <v>0</v>
      </c>
      <c r="D5556" s="1">
        <f>hyperlink("http://dspace.library.uu.nl/handle/1874/291857","Museum en school van kunstnijverheid te Utrecht J N van der Meulen 94-100 1993")</f>
        <v>0</v>
      </c>
    </row>
    <row r="5557" spans="2:4">
      <c r="B5557">
        <v>98</v>
      </c>
      <c r="C5557" s="1">
        <f>hyperlink("https://hetutrechtsarchief.nl/collectie/AF299822271259F4B84137E042E7995A","Utrechts Monumentenfonds vijftig jaar Stichting het Utrechts Monumentenfonds 106-109 ill 1993")</f>
        <v>0</v>
      </c>
      <c r="D5557" s="1">
        <f>hyperlink("http://dspace.library.uu.nl/handle/1874/291858","Utrechts Monumentenfonds vijftig jaar Stichting Het Utrechts Monumentenfonds 106-109 1993")</f>
        <v>0</v>
      </c>
    </row>
    <row r="5558" spans="2:4">
      <c r="B5558">
        <v>100</v>
      </c>
      <c r="C5558" s="1">
        <f>hyperlink("https://hetutrechtsarchief.nl/collectie/98590AB15D825B00BB54DAF31A706C18","Sint Maarten in het gips Paul Dirkse 126-127 1993")</f>
        <v>0</v>
      </c>
      <c r="D5558" s="1">
        <f>hyperlink("http://dspace.library.uu.nl/handle/1874/291859","Sint Maarten in het gips Paul Dirkse 126-127 1993")</f>
        <v>0</v>
      </c>
    </row>
    <row r="5559" spans="2:4">
      <c r="B5559">
        <v>98</v>
      </c>
      <c r="C5559" s="1">
        <f>hyperlink("https://hetutrechtsarchief.nl/collectie/AD112B8CBAF855A69A754A0165C6F380","Enkele voorbeelden van kinderbescherming in Utrecht voor de totstandkoming van de kinderwetten in 1905 Addy Schuurman 130-134 ill 1993")</f>
        <v>0</v>
      </c>
      <c r="D5559" s="1">
        <f>hyperlink("http://dspace.library.uu.nl/handle/1874/291860","Enkele voorbeelden van kinderbescherming in Utrecht voor de totstandkoming van de kinderwetten in 1905 Addy Schuurman 130-135 1993")</f>
        <v>0</v>
      </c>
    </row>
    <row r="5560" spans="2:4">
      <c r="B5560">
        <v>97</v>
      </c>
      <c r="C5560" s="1">
        <f>hyperlink("https://hetutrechtsarchief.nl/collectie/38BBFC07CA9354F993A678E36467B843","Utrecht aan de vooravond van de alteratie Llewellyn Bogaers 2-7 ill 1993")</f>
        <v>0</v>
      </c>
      <c r="D5560" s="1">
        <f>hyperlink("http://dspace.library.uu.nl/handle/1874/291861","Utrecht aan de vooravond van de alteratie Llewellyn Bogaers 2-7 1993")</f>
        <v>0</v>
      </c>
    </row>
    <row r="5561" spans="2:4">
      <c r="B5561">
        <v>78</v>
      </c>
      <c r="C5561" s="1">
        <f>hyperlink("https://hetutrechtsarchief.nl/collectie/259BB908F4A65C64AD92819BF0AD9440","De bomen rond Vleuten-De Meern J F K Kits Nieuwenkamp 70-72 ill 1993")</f>
        <v>0</v>
      </c>
      <c r="D5561" s="1">
        <f>hyperlink("http://dspace.library.uu.nl/handle/1874/291862","De bomen rond Vleuten-De Meern H W Kuiper 70-72 1993")</f>
        <v>0</v>
      </c>
    </row>
    <row r="5562" spans="2:4">
      <c r="B5562">
        <v>61</v>
      </c>
      <c r="C5562" s="1">
        <f>hyperlink("https://hetutrechtsarchief.nl/collectie/BE2154ADC13C525095C38E3D07663928","Oud-Utrecht als provinciale vereeniging - v d V 18-19 1949")</f>
        <v>0</v>
      </c>
      <c r="D5562" s="1">
        <f>hyperlink("http://dspace.library.uu.nl/handle/1874/291863","Oud-Utrecht tweemaandelijks tijdschrift Vereniging Oud Utrecht 1994-")</f>
        <v>0</v>
      </c>
    </row>
    <row r="5563" spans="2:4">
      <c r="B5563">
        <v>98</v>
      </c>
      <c r="C5563" s="1">
        <f>hyperlink("https://hetutrechtsarchief.nl/collectie/B307FC4E63A05A1894C6DBAC75BFDF89","Een voltooid leven J W C van Campen 1899-1993 In Memoriam J E A L Struick 34 ill 1993")</f>
        <v>0</v>
      </c>
      <c r="D5563" s="1">
        <f>hyperlink("http://dspace.library.uu.nl/handle/1874/291864","Een voltooid leven J W C van Campen 1899-1993 in memoriam J E A L Struick 34 1993")</f>
        <v>0</v>
      </c>
    </row>
    <row r="5564" spans="2:4">
      <c r="B5564">
        <v>70</v>
      </c>
      <c r="C5564" s="1">
        <f>hyperlink("https://hetutrechtsarchief.nl/collectie/092198D58A005C4EB4C4781616AB5505","De Zuiderkerk 1925-1986 H J Ph G Kaajan 57-63 ill 1986")</f>
        <v>0</v>
      </c>
      <c r="D5564" s="1">
        <f>hyperlink("http://dspace.library.uu.nl/handle/1874/291865","De Begijnekerk 1854-1937 H J Ph G Kaajan 15-21 1993")</f>
        <v>0</v>
      </c>
    </row>
    <row r="5565" spans="2:4">
      <c r="B5565">
        <v>96</v>
      </c>
      <c r="C5565" s="1">
        <f>hyperlink("https://hetutrechtsarchief.nl/collectie/18739269466C50D1AC5288FCC0AADF30","Muziek en vrije tijd in Utrecht in de jaren 1910-1940 M G Brits-Oversteegen 86-89 ill 1993")</f>
        <v>0</v>
      </c>
      <c r="D5565" s="1">
        <f>hyperlink("http://dspace.library.uu.nl/handle/1874/291866","Muziek en vrije tijd - in Utrecht in de jaren - 1910-1940 M G Brits-Oversteegen 86-89 1993")</f>
        <v>0</v>
      </c>
    </row>
    <row r="5566" spans="2:4">
      <c r="B5566">
        <v>97</v>
      </c>
      <c r="C5566" s="1">
        <f>hyperlink("https://hetutrechtsarchief.nl/collectie/D63E2DDF6EE253C3B9EFEE131C63DA7D","Perebomen langs de Enghlaan in Vleuten J A Storm van Leeuwen 120-121 ill 1993")</f>
        <v>0</v>
      </c>
      <c r="D5566" s="1">
        <f>hyperlink("http://dspace.library.uu.nl/handle/1874/291867","Perebomen langs de Enghlaan in Vleuten J A Storm van Leeuwen 120-121 1993")</f>
        <v>0</v>
      </c>
    </row>
    <row r="5567" spans="2:4">
      <c r="B5567">
        <v>94</v>
      </c>
      <c r="C5567" s="1">
        <f>hyperlink("https://hetutrechtsarchief.nl/collectie/206628856B555CE0B4FD679302851BDA","Oud zeer Tjeerd Pot 124-125 ill 1993")</f>
        <v>0</v>
      </c>
      <c r="D5567" s="1">
        <f>hyperlink("http://dspace.library.uu.nl/handle/1874/291868","Oud zeer Tjeerd Pot 124-125 1993")</f>
        <v>0</v>
      </c>
    </row>
    <row r="5568" spans="2:4">
      <c r="B5568">
        <v>91</v>
      </c>
      <c r="C5568" s="1">
        <f>hyperlink("https://hetutrechtsarchief.nl/collectie/52C4FF190E035CF3AE3D66229E4E82C2","Alles wat aestetisch boeit Aukje Vergeest 110-113 ill portr 1993")</f>
        <v>0</v>
      </c>
      <c r="D5568" s="1">
        <f>hyperlink("http://dspace.library.uu.nl/handle/1874/291869","Alles wat aesthetisch boeit Aukje Vergeest 110-113 1993")</f>
        <v>0</v>
      </c>
    </row>
    <row r="5569" spans="2:4">
      <c r="B5569">
        <v>98</v>
      </c>
      <c r="C5569" s="1">
        <f>hyperlink("https://hetutrechtsarchief.nl/collectie/3365A8B7D3F552368FD9E5BCEEE30F7C","Hoog Catharijne de stedebouwkundige visie van het eerste uur Ko Jacobs 4-7 ill 1994")</f>
        <v>0</v>
      </c>
      <c r="D5569" s="1">
        <f>hyperlink("http://dspace.library.uu.nl/handle/1874/292024","Hoog Catharijne de stedebouwkundige visie van het eerste uur Ko Jacobs 4-7 1994")</f>
        <v>0</v>
      </c>
    </row>
    <row r="5570" spans="2:4">
      <c r="B5570">
        <v>92</v>
      </c>
      <c r="C5570" s="1">
        <f>hyperlink("https://hetutrechtsarchief.nl/collectie/8A211FA7E8085BD29CA5A281D1F06A29","Vredenburg een stadsplein Bettina van Santen 10-15 ill plgr 1994")</f>
        <v>0</v>
      </c>
      <c r="D5570" s="1">
        <f>hyperlink("http://dspace.library.uu.nl/handle/1874/292062","Vredenburg een stadsplein Bettina van Santen 10-15 1994")</f>
        <v>0</v>
      </c>
    </row>
    <row r="5571" spans="2:4">
      <c r="B5571">
        <v>97</v>
      </c>
      <c r="C5571" s="1">
        <f>hyperlink("https://hetutrechtsarchief.nl/collectie/03A1EC58A7265D22B451D04723CF4BE0","De schilderingen in het koorvak en het transept van de Sint-Pieterskerk te Utrecht E L Hoffman-Klerkx 28-33 ill tek 1994")</f>
        <v>0</v>
      </c>
      <c r="D5571" s="1">
        <f>hyperlink("http://dspace.library.uu.nl/handle/1874/292063","De schilderingen in het koorvak en het transept van de Sint-Pieterskerk te Utrecht E L Hoffman-Klerkx 28-33 1994")</f>
        <v>0</v>
      </c>
    </row>
    <row r="5572" spans="2:4">
      <c r="B5572">
        <v>100</v>
      </c>
      <c r="C5572" s="1">
        <f>hyperlink("https://hetutrechtsarchief.nl/collectie/92BD678FCBD25DFB8FBACD9FEBEB05F1","Saskia van Dockum provinciaal archeoloog Marceline Dolfin 20 1994")</f>
        <v>0</v>
      </c>
      <c r="D5572" s="1">
        <f>hyperlink("http://dspace.library.uu.nl/handle/1874/292064","Saskia van Dockum provinciaal archeoloog Marceline Dolfin 20 1994")</f>
        <v>0</v>
      </c>
    </row>
    <row r="5573" spans="2:4">
      <c r="B5573">
        <v>80</v>
      </c>
      <c r="C5573" s="1">
        <f>hyperlink("https://hetutrechtsarchief.nl/collectie/4DB8EF71CEFD50E49F553EC921DBBED9","Grafmonument bij het graf van dr J J van Oosterzee M G Brits-Oversteegen en Albert van der Zeijden 8 ill portr 1994")</f>
        <v>0</v>
      </c>
      <c r="D5573" s="1">
        <f>hyperlink("http://dspace.library.uu.nl/handle/1874/292065","Grafmonument bij het graf van dr J J van Oosterzee Albert van der Brits-Oversteegen M G Zeijden 8-9 1994")</f>
        <v>0</v>
      </c>
    </row>
    <row r="5574" spans="2:4">
      <c r="B5574">
        <v>79</v>
      </c>
      <c r="C5574" s="1">
        <f>hyperlink("https://hetutrechtsarchief.nl/collectie/CCBC47BEE28B52F4B5F85BACA934D10D","Grafmonument familie Van Nellesteyn Albert van der Zeijden 34 ill 1994")</f>
        <v>0</v>
      </c>
      <c r="D5574" s="1">
        <f>hyperlink("http://dspace.library.uu.nl/handle/1874/292109","Grafmonument de grafkelder van de familie Van Nellesteyn te Leersum Albert van der Zeijden 34 1994")</f>
        <v>0</v>
      </c>
    </row>
    <row r="5575" spans="2:4">
      <c r="B5575">
        <v>75</v>
      </c>
      <c r="C5575" s="1">
        <f>hyperlink("https://hetutrechtsarchief.nl/collectie/A7F835441B0951E9BF98A338FF5847B8","Grafmonument van de familie Hamburger op de Utrechtse begraafplaats Kovelswade Albert van der Zeijden 60 ill 1994")</f>
        <v>0</v>
      </c>
      <c r="D5575" s="1">
        <f>hyperlink("http://dspace.library.uu.nl/handle/1874/292110","Grafmonument de grafstenen van de familie Hamburger te Kovelswade in Utrecht Albert van der Zeijden 60 1994")</f>
        <v>0</v>
      </c>
    </row>
    <row r="5576" spans="2:4">
      <c r="B5576">
        <v>95</v>
      </c>
      <c r="C5576" s="1">
        <f>hyperlink("https://hetutrechtsarchief.nl/collectie/24E1EED7C79558838B12D94FBB406928","Het voormalig slachthuis aan de Amsterdamsestraatweg Bettina van Santen 40-42 ill tek 1994")</f>
        <v>0</v>
      </c>
      <c r="D5576" s="1">
        <f>hyperlink("http://dspace.library.uu.nl/handle/1874/292111","Het voormalig slachthuis aan de Amsterdamsestraatweg Bettina van Santen 40-42 1994")</f>
        <v>0</v>
      </c>
    </row>
    <row r="5577" spans="2:4">
      <c r="B5577">
        <v>98</v>
      </c>
      <c r="C5577" s="1">
        <f>hyperlink("https://hetutrechtsarchief.nl/collectie/369DAE5546485703B68147DB9B8E8319","Bange dagen op de dijken soe het water aen alle kanten zeer groot ende hooch was het grootwaterschap Bijleveld en de Meerndijk in 1570 J A Storm van Leeuwen 52-58 ill krt 1994")</f>
        <v>0</v>
      </c>
      <c r="D5577" s="1">
        <f>hyperlink("http://dspace.library.uu.nl/handle/1874/292112","Bange dagen op de dijken soe het water aen alle kanten zeer groot ende hooch was het grootwaterschap Bijleveld en de Meerndijk in 1570 J A Storm van Leeuwen 52-58 1994")</f>
        <v>0</v>
      </c>
    </row>
    <row r="5578" spans="2:4">
      <c r="B5578">
        <v>98</v>
      </c>
      <c r="C5578" s="1">
        <f>hyperlink("https://hetutrechtsarchief.nl/collectie/983285AF5DA050AC848DA87EA70A2160","De Ketielejach en andere straatnamen in de Utrechtse volkstaal B J Martens van Vliet 36 1994")</f>
        <v>0</v>
      </c>
      <c r="D5578" s="1">
        <f>hyperlink("http://dspace.library.uu.nl/handle/1874/292113","De Ketielejach en andere straatnamen in de Utrechtse volkstaal B J Martens van Vliet 36-37 1994")</f>
        <v>0</v>
      </c>
    </row>
    <row r="5579" spans="2:4">
      <c r="B5579">
        <v>97</v>
      </c>
      <c r="C5579" s="1">
        <f>hyperlink("https://hetutrechtsarchief.nl/collectie/11BA842A42AE57849A5947B50FBE4883","De familie Van Lier als parnassijns leden van de familie Van Lier als kerkbestuurders van de Isra litische Gemeenten van Maarssen en Utrecht A B R du Croo de Vries 62-66 ill portr 1994")</f>
        <v>0</v>
      </c>
      <c r="D5579" s="1">
        <f>hyperlink("http://dspace.library.uu.nl/handle/1874/292182","De familie Van Lier als parnassijns leden van de familie Van Lier als kerkbestuurders van de Isra litische Gemeenten van Maarssen en Utrecht A B R du Croo de Vries 62-66 1994")</f>
        <v>0</v>
      </c>
    </row>
    <row r="5580" spans="2:4">
      <c r="B5580">
        <v>97</v>
      </c>
      <c r="C5580" s="1">
        <f>hyperlink("https://hetutrechtsarchief.nl/collectie/78E3ED83C12E51B695E938A174704DCD","Existentialisme in de Domstad het bezoek van Jean-Paul Sartre aan Utrecht in december 1946 Wim Berkelaar 76-82 portr 1994")</f>
        <v>0</v>
      </c>
      <c r="D5580" s="1">
        <f>hyperlink("http://dspace.library.uu.nl/handle/1874/292183","Existentialisme in de Domstad het bezoek van Jean-Paul Sartre aan Utrecht in december 1946 Wim Berkelaar 76-82 1994")</f>
        <v>0</v>
      </c>
    </row>
    <row r="5581" spans="2:4">
      <c r="B5581">
        <v>95</v>
      </c>
      <c r="C5581" s="1">
        <f>hyperlink("https://hetutrechtsarchief.nl/collectie/A8ADE90FFBA256D28296319BA86EA5A2","Licht en schaduw in de geschiedenis van de Oude Hortus J W E Kipp-Brinkman 86-90 ill plgr 1994")</f>
        <v>0</v>
      </c>
      <c r="D5581" s="1">
        <f>hyperlink("http://dspace.library.uu.nl/handle/1874/292184","Licht en schaduw in de geschiedenis van de Oude Hortus J W E Kipp-Brinkman 86-90 1994")</f>
        <v>0</v>
      </c>
    </row>
    <row r="5582" spans="2:4">
      <c r="B5582">
        <v>91</v>
      </c>
      <c r="C5582" s="1">
        <f>hyperlink("https://hetutrechtsarchief.nl/collectie/0547BD222CB75FDA908BF5E4D279D365","Grafmonument van Hijmen Bart van Zijll Van den Ham te Vleuten M G Brits-Oversteegen 84 ill 1994")</f>
        <v>0</v>
      </c>
      <c r="D5582" s="1">
        <f>hyperlink("http://dspace.library.uu.nl/handle/1874/292185","Grafmonument de grafkelder van Hijmen Bart van Zijll van den Ham te Vleuten M G Brits-Oversteegen 84 1994")</f>
        <v>0</v>
      </c>
    </row>
    <row r="5583" spans="2:4">
      <c r="B5583">
        <v>98</v>
      </c>
      <c r="C5583" s="1">
        <f>hyperlink("https://hetutrechtsarchief.nl/collectie/632E9EE5E89159D0852B71181FE9CE74","Bezetting of bevrijding buitenlandse interventielegers in Utrecht 1787-1813 Renger de Bruin 100-105 ill 1994")</f>
        <v>0</v>
      </c>
      <c r="D5583" s="1">
        <f>hyperlink("http://dspace.library.uu.nl/handle/1874/292228","Bezetting of bevrijding buitenlandse interventieleger in Utrecht 1787-1813 Renger de Bruin 100-105 1994")</f>
        <v>0</v>
      </c>
    </row>
    <row r="5584" spans="2:4">
      <c r="B5584">
        <v>62</v>
      </c>
      <c r="C5584" s="1">
        <f>hyperlink("https://hetutrechtsarchief.nl/collectie/2B82D4D771D55EB3AF462A5E199D644A","Oude ansichten III de school op Berg en Bosch te De Bilt Jan van der Heijden 80 1999")</f>
        <v>0</v>
      </c>
      <c r="D5584" s="1">
        <f>hyperlink("http://dspace.library.uu.nl/handle/1874/292242","Grafmonument de grafkelder van de familie Van Asch van Wijk te De Bilt Jan van der Heijden 128-129 1994")</f>
        <v>0</v>
      </c>
    </row>
    <row r="5585" spans="2:4">
      <c r="B5585">
        <v>97</v>
      </c>
      <c r="C5585" s="1">
        <f>hyperlink("https://hetutrechtsarchief.nl/collectie/E235C74A007254C0ADA2905F1348C605","De sluis bij Otterspoor en de dam bij het Gein Hans L gers 124-127 krt 1994")</f>
        <v>0</v>
      </c>
      <c r="D5585" s="1">
        <f>hyperlink("http://dspace.library.uu.nl/handle/1874/292243","De sluis bij Otterspoor en de dam bij het Gein Hans L gers 124-127 1994")</f>
        <v>0</v>
      </c>
    </row>
    <row r="5586" spans="2:4">
      <c r="B5586">
        <v>95</v>
      </c>
      <c r="C5586" s="1">
        <f>hyperlink("https://hetutrechtsarchief.nl/collectie/B3EB2380C39B5243B4996FAB496983B4","Om het recht op een varken priv belangen en milieuzorg in de vorige eeuw P D t Hart 132-138 ill plgr 1994")</f>
        <v>0</v>
      </c>
      <c r="D5586" s="1">
        <f>hyperlink("http://dspace.library.uu.nl/handle/1874/292244","Om het recht op een varken privebelangen en milieuzorg in de vorige eeuw P D t Hart 132-138 1994")</f>
        <v>0</v>
      </c>
    </row>
    <row r="5587" spans="2:4">
      <c r="B5587">
        <v>98</v>
      </c>
      <c r="C5587" s="1">
        <f>hyperlink("https://hetutrechtsarchief.nl/collectie/14921F66B61B501BB21A868373270B87","De Kapelle te Helsdingen buijten Vianen twee tekeningen van Dirk van der Burg Jos de Meyere 108-111 ill 1994")</f>
        <v>0</v>
      </c>
      <c r="D5587" s="1">
        <f>hyperlink("http://dspace.library.uu.nl/handle/1874/292245","De Kapelle te Helsdingen buijten Vianen twee tekeningen van Dirk van der Burg Jos de Meyere 108-111 1994")</f>
        <v>0</v>
      </c>
    </row>
    <row r="5588" spans="2:4">
      <c r="B5588">
        <v>77</v>
      </c>
      <c r="C5588" s="1">
        <f>hyperlink("https://hetutrechtsarchief.nl/collectie/3DA70F324B095401860441B4A6F8CE1B","Grafmonument van pastoor Hundertmarck te Achterveld Albert van der Zeijden 106 ill 1994")</f>
        <v>0</v>
      </c>
      <c r="D5588" s="1">
        <f>hyperlink("http://dspace.library.uu.nl/handle/1874/292246","Grafmonument de katholieke begraafplaats te Achterveld Albert van der Zeijden 106 1994")</f>
        <v>0</v>
      </c>
    </row>
    <row r="5589" spans="2:4">
      <c r="B5589">
        <v>97</v>
      </c>
      <c r="C5589" s="1">
        <f>hyperlink("https://hetutrechtsarchief.nl/collectie/1DC4EC54EF81561FACFFB0CA13FE199E","De Utrechtse Staties ten tijde van de Hollandse Zending D J Wijmer 4-7 ill 1995")</f>
        <v>0</v>
      </c>
      <c r="D5589" s="1">
        <f>hyperlink("http://dspace.library.uu.nl/handle/1874/292333","De Utrechtse Staties ten tijde van de Hollandse Zending D J Wijmer 4-7 1995")</f>
        <v>0</v>
      </c>
    </row>
    <row r="5590" spans="2:4">
      <c r="B5590">
        <v>96</v>
      </c>
      <c r="C5590" s="1">
        <f>hyperlink("https://hetutrechtsarchief.nl/collectie/15CF55702A9052868271DB8A8F9C6671","Uitsluitend werkzaam in het belang van de volkshuisvesting sociale huisvesting in Utrecht de voorlopers J A Brugman 8-12 ill portr 1995")</f>
        <v>0</v>
      </c>
      <c r="D5590" s="1">
        <f>hyperlink("http://dspace.library.uu.nl/handle/1874/292334","Uitsluitend werkzaam in het belang van de volkshuisvesting sociale huisvesting in Utrecht de voorlopers J A Brugman 8-12 1995")</f>
        <v>0</v>
      </c>
    </row>
    <row r="5591" spans="2:4">
      <c r="B5591">
        <v>59</v>
      </c>
      <c r="C5591" s="1">
        <f>hyperlink("https://hetutrechtsarchief.nl/collectie/62FF76974CDA554195C531DA5261F552","Richard III in Utrecht Erik Tigelaar 60-61 portr 1996")</f>
        <v>0</v>
      </c>
      <c r="D5591" s="1">
        <f>hyperlink("http://dspace.library.uu.nl/handle/1874/292335","Schandaal Unico Jacob Erik Tigelaar 14-15 1995")</f>
        <v>0</v>
      </c>
    </row>
    <row r="5592" spans="2:4">
      <c r="B5592">
        <v>97</v>
      </c>
      <c r="C5592" s="1">
        <f>hyperlink("https://hetutrechtsarchief.nl/collectie/EB0CDEDA73785334B6F69C3D7878355F","Ooggetuige 25 jaar Werkgroep Herstel Leefbaarheid Marceline Dolfin 20 ill 1995")</f>
        <v>0</v>
      </c>
      <c r="D5592" s="1">
        <f>hyperlink("http://dspace.library.uu.nl/handle/1874/292464","Ooggetuige 25 jaar Werkgroep Herstel Leefbaarheid Marceline Dolfin 20-21 1995")</f>
        <v>0</v>
      </c>
    </row>
    <row r="5593" spans="2:4">
      <c r="B5593">
        <v>94</v>
      </c>
      <c r="C5593" s="1">
        <f>hyperlink("https://hetutrechtsarchief.nl/collectie/C5D7981B9DFA53F6B155ECD626253F9D","Een Utrechtse school in de geschiedschrijving Albert van der Zeijden 62-66 ill portr 1995")</f>
        <v>0</v>
      </c>
      <c r="D5593" s="1">
        <f>hyperlink("http://dspace.library.uu.nl/handle/1874/292470","Een Utrechtse school in de geschiedschrijving Albert van der Zeijden 62-66 1995")</f>
        <v>0</v>
      </c>
    </row>
    <row r="5594" spans="2:4">
      <c r="B5594">
        <v>93</v>
      </c>
      <c r="C5594" s="1">
        <f>hyperlink("https://hetutrechtsarchief.nl/collectie/CBFE2E2F91B952CCA78CE38484EFAB48","Kerkebouw en kerkestrijd een Utrechts pastoorsconflict anno 1840 A Pietersma 28-32 ill portr 1995")</f>
        <v>0</v>
      </c>
      <c r="D5594" s="1">
        <f>hyperlink("http://dspace.library.uu.nl/handle/1874/292471","Kerkebouw en kerkestrijd een Utrechts pastoorsconflict anno 1840 A Pietersma 28-33 1995")</f>
        <v>0</v>
      </c>
    </row>
    <row r="5595" spans="2:4">
      <c r="B5595">
        <v>89</v>
      </c>
      <c r="C5595" s="1">
        <f>hyperlink("https://hetutrechtsarchief.nl/collectie/FA39A6D3EDB35BC68590EF0C39BE4969","Schandaal vechtpartij op de Piazza Navona B van Santen 40-41 ill 1995")</f>
        <v>0</v>
      </c>
      <c r="D5595" s="1">
        <f>hyperlink("http://dspace.library.uu.nl/handle/1874/292472","Vechtpartij op de Piazza Navona B van Santen 40-41 1995")</f>
        <v>0</v>
      </c>
    </row>
    <row r="5596" spans="2:4">
      <c r="B5596">
        <v>97</v>
      </c>
      <c r="C5596" s="1">
        <f>hyperlink("https://hetutrechtsarchief.nl/collectie/89E470C90E125CCCBB9F04584716B87E","Ooggetuige douchen buitenshuis Albert van der Zeijden 42-43 ill 1995")</f>
        <v>0</v>
      </c>
      <c r="D5596" s="1">
        <f>hyperlink("http://dspace.library.uu.nl/handle/1874/292473","Ooggetuige douchen buitenshuis Albert van der Zeijden 42-43 1995")</f>
        <v>0</v>
      </c>
    </row>
    <row r="5597" spans="2:4">
      <c r="B5597">
        <v>96</v>
      </c>
      <c r="C5597" s="1">
        <f>hyperlink("https://hetutrechtsarchief.nl/collectie/DEA3469369AF59738C0CC57F9110A0B5","Ernstige baldadigheid P D t Hart 44-45 ill 1995")</f>
        <v>0</v>
      </c>
      <c r="D5597" s="1">
        <f>hyperlink("http://dspace.library.uu.nl/handle/1874/292474","Ernstige baldadigheid P D t Hart 44-45 1995")</f>
        <v>0</v>
      </c>
    </row>
    <row r="5598" spans="2:4">
      <c r="B5598">
        <v>95</v>
      </c>
      <c r="C5598" s="1">
        <f>hyperlink("https://hetutrechtsarchief.nl/collectie/A8192440B37953429C131760988A8ABA","Waar bevond zich de Sint-Maartenskerk van Willibrord L A van der Tuuk 52-59 ill krt 1995")</f>
        <v>0</v>
      </c>
      <c r="D5598" s="1">
        <f>hyperlink("http://dspace.library.uu.nl/handle/1874/292475","Waar bevond zich de Sint-Maartenskerk van Willibrord L A van der Tuuk 52-59 1995")</f>
        <v>0</v>
      </c>
    </row>
    <row r="5599" spans="2:4">
      <c r="B5599">
        <v>58</v>
      </c>
      <c r="C5599" s="1">
        <f>hyperlink("https://hetutrechtsarchief.nl/collectie/7FBD24CD8ACE5FE48C620E916DE9FACF","Het ruisen van de Libanon P van der Kraan 26-35 1999")</f>
        <v>0</v>
      </c>
      <c r="D5599" s="1">
        <f>hyperlink("http://dspace.library.uu.nl/handle/1874/292476","Schandaal Petrus Burmannus en Diena van Woudenberg Martine J van der Kaa 67 1995")</f>
        <v>0</v>
      </c>
    </row>
    <row r="5600" spans="2:4">
      <c r="B5600">
        <v>96</v>
      </c>
      <c r="C5600" s="1">
        <f>hyperlink("https://hetutrechtsarchief.nl/collectie/C2850907930B5F56AD18FD6258C0752B","Ooggetuige Louis Cornelis van Santen L C van Santen 68 ill 1995")</f>
        <v>0</v>
      </c>
      <c r="D5600" s="1">
        <f>hyperlink("http://dspace.library.uu.nl/handle/1874/292477","Ooggetuige Louis Cornelis van Santen L C van Santen 68-69 1995")</f>
        <v>0</v>
      </c>
    </row>
    <row r="5601" spans="2:4">
      <c r="B5601">
        <v>96</v>
      </c>
      <c r="C5601" s="1">
        <f>hyperlink("https://hetutrechtsarchief.nl/collectie/723A478848A15220978ADC67FD6370E6","Uit de geschiedenis van de Universiteitsbibliotheek G A Evers 78-80 1949")</f>
        <v>0</v>
      </c>
      <c r="D5601" s="1">
        <f>hyperlink("http://dspace.library.uu.nl/handle/1874/292508","Uit de geschiedenis van de Universiteitsbibliotheek G A Evers 1949")</f>
        <v>0</v>
      </c>
    </row>
    <row r="5602" spans="2:4">
      <c r="B5602">
        <v>97</v>
      </c>
      <c r="C5602" s="1">
        <f>hyperlink("https://hetutrechtsarchief.nl/collectie/F5FF7ECC47125AB98BBC25875F570ACB","Het Utrechtse bevrijdingsfeest van 5 mei 1955 Edwin Maes 76-81 ill 1995")</f>
        <v>0</v>
      </c>
      <c r="D5602" s="1">
        <f>hyperlink("http://dspace.library.uu.nl/handle/1874/292574","Het Utrechtse bevrijdingsfeest van 5 mei 1955 Edwin Maes 76-81 1995")</f>
        <v>0</v>
      </c>
    </row>
    <row r="5603" spans="2:4">
      <c r="B5603">
        <v>95</v>
      </c>
      <c r="C5603" s="1">
        <f>hyperlink("https://hetutrechtsarchief.nl/collectie/3180440853AC5BF9B3924B690AE12BFE","Natuurbeschermer bosbouwer en jager het groene leven van een Utrechtse landheer E Pelzers 100-104 ill portr 1995")</f>
        <v>0</v>
      </c>
      <c r="D5603" s="1">
        <f>hyperlink("http://dspace.library.uu.nl/handle/1874/292575","Natuurbeschermer bosbouwer en jager het groene leven van een Utrechtse landheer E Pelzers 100-104 1995")</f>
        <v>0</v>
      </c>
    </row>
    <row r="5604" spans="2:4">
      <c r="B5604">
        <v>97</v>
      </c>
      <c r="C5604" s="1">
        <f>hyperlink("https://hetutrechtsarchief.nl/collectie/4E8975B1C4E35ABF8EE1FC4818D77811","Ooggetuige Tonny van der Linden en zijn Utrechtse voetbalclub DOS B van Santen 84-86 portr 1995")</f>
        <v>0</v>
      </c>
      <c r="D5604" s="1">
        <f>hyperlink("http://dspace.library.uu.nl/handle/1874/292576","Ooggetuige Tonny van der Linden en zijn Utrechtse voetbalclub DOS B van Santen 84-86 1995")</f>
        <v>0</v>
      </c>
    </row>
    <row r="5605" spans="2:4">
      <c r="B5605">
        <v>98</v>
      </c>
      <c r="C5605" s="1">
        <f>hyperlink("https://hetutrechtsarchief.nl/collectie/2360B723C0FA57A5A841A0F69E31B42A","Ooggetuige de Nieuwegracht in de jaren 30 gezien door de ogen van een kind Justine Dolfin-Ruwers 107 ill 1995")</f>
        <v>0</v>
      </c>
      <c r="D5605" s="1">
        <f>hyperlink("http://dspace.library.uu.nl/handle/1874/292577","Ooggetuige de Nieuwegracht in de jaren 30 gezien door de ogen van een kind Justine Dolfin-Ruwers 107 1995")</f>
        <v>0</v>
      </c>
    </row>
    <row r="5606" spans="2:4">
      <c r="B5606">
        <v>93</v>
      </c>
      <c r="C5606" s="1">
        <f>hyperlink("https://hetutrechtsarchief.nl/collectie/A8C8539169CD510580E99F2D7D836A8E","Schandaal getrouwd of niet getrouwd M van de Vrugt 117 ill 1995")</f>
        <v>0</v>
      </c>
      <c r="D5606" s="1">
        <f>hyperlink("http://dspace.library.uu.nl/handle/1874/292624","Schandaal getrouwd of niet getrouwd M van de Vrugt 1995")</f>
        <v>0</v>
      </c>
    </row>
    <row r="5607" spans="2:4">
      <c r="B5607">
        <v>98</v>
      </c>
      <c r="C5607" s="1">
        <f>hyperlink("https://hetutrechtsarchief.nl/collectie/CCAE9DDC1A6F552492D1393D2B27F40F","Buiten het bereik der wetten en onstrafbaar studentenjool en studentenstreken omstreeks 1800 P D t Hart 124-130 ill 1995")</f>
        <v>0</v>
      </c>
      <c r="D5607" s="1">
        <f>hyperlink("http://dspace.library.uu.nl/handle/1874/292625","Buiten het bereik der wetten en onstrafbaar studentenjool en studentenstreken omstreeks 1800 P D t Hart 124-130 1995")</f>
        <v>0</v>
      </c>
    </row>
    <row r="5608" spans="2:4">
      <c r="B5608">
        <v>98</v>
      </c>
      <c r="C5608" s="1">
        <f>hyperlink("https://hetutrechtsarchief.nl/collectie/B0427DB3054757C185A13F336CC31381","Zeven Mariamedaillons van Mengelberg uit de voormalige O L Vrouwe-Ten-Hemelopnemingkerk te Utrecht P A Haars 136-140 ill 1995")</f>
        <v>0</v>
      </c>
      <c r="D5608" s="1">
        <f>hyperlink("http://dspace.library.uu.nl/handle/1874/292626","Zeven Mariamedaillons van Mengelberg uit de voormalige O L Vrouwe-Ten-Hemelopnemingkerk te Utrecht P A Haars 136-140 1995")</f>
        <v>0</v>
      </c>
    </row>
    <row r="5609" spans="2:4">
      <c r="B5609">
        <v>100</v>
      </c>
      <c r="C5609" s="1">
        <f>hyperlink("https://hetutrechtsarchief.nl/collectie/B5D067402F6B573BBE41D077F5A9E5F0","Schandaal verscheidene wrede excessen Walraven van Brederode mishandelt zijn vrouw B van den Hoven van Genderen 134-135 1995")</f>
        <v>0</v>
      </c>
      <c r="D5609" s="1">
        <f>hyperlink("http://dspace.library.uu.nl/handle/1874/292627","Schandaal verscheidene wrede excessen Walraven van Brederode mishandelt zijn vrouw B van den Hoven van Genderen 134-135 1995")</f>
        <v>0</v>
      </c>
    </row>
    <row r="5610" spans="2:4">
      <c r="B5610">
        <v>95</v>
      </c>
      <c r="C5610" s="1">
        <f>hyperlink("https://hetutrechtsarchief.nl/collectie/A6C33F2BF45757539C9A95DA8DF73039","Vondsten toeback suygen en zijn gevolgen Tj Pot 110 ill 1995")</f>
        <v>0</v>
      </c>
      <c r="D5610" s="1">
        <f>hyperlink("http://dspace.library.uu.nl/handle/1874/292628","Vondsten toeback suygen en zijn gevolgen Tj Pot 110-111 1995")</f>
        <v>0</v>
      </c>
    </row>
    <row r="5611" spans="2:4">
      <c r="B5611">
        <v>97</v>
      </c>
      <c r="C5611" s="1">
        <f>hyperlink("https://hetutrechtsarchief.nl/collectie/90A737064A25516DA96764C8EE08FF11","Op de Neu daar staat een tent B J Martens van Vliet 108-109 ill 1995")</f>
        <v>0</v>
      </c>
      <c r="D5611" s="1">
        <f>hyperlink("http://dspace.library.uu.nl/handle/1874/292629","Op de Neu daar staat een tent B J Martens van Vliet 108-109 1995")</f>
        <v>0</v>
      </c>
    </row>
    <row r="5612" spans="2:4">
      <c r="B5612">
        <v>96</v>
      </c>
      <c r="C5612" s="1">
        <f>hyperlink("https://hetutrechtsarchief.nl/collectie/18E452D7FFBE5DCD9439A8BE83B3349F","Ooggetuige niet alleen een begrip maar ook een toevluchtsoord 132-133 portr 1995")</f>
        <v>0</v>
      </c>
      <c r="D5612" s="1">
        <f>hyperlink("http://dspace.library.uu.nl/handle/1874/292630","Ooggetuige Niet alleen een begrip maar ook een toevluchtsoord 132-133 1995")</f>
        <v>0</v>
      </c>
    </row>
    <row r="5613" spans="2:4">
      <c r="B5613">
        <v>94</v>
      </c>
      <c r="C5613" s="1">
        <f>hyperlink("https://hetutrechtsarchief.nl/collectie/36B64162B53158B383EE287DD0C74459","Honderd jaar film wanneer moeten in Utrecht de vlaggen uit Herman de Wit 28-32 ill portr 1996")</f>
        <v>0</v>
      </c>
      <c r="D5613" s="1">
        <f>hyperlink("http://dspace.library.uu.nl/handle/1874/292785","Honderd jaar film wanneer moeten in Utrecht de vlaggen uit Herman de Wit 28-32 1996")</f>
        <v>0</v>
      </c>
    </row>
    <row r="5614" spans="2:4">
      <c r="B5614">
        <v>98</v>
      </c>
      <c r="C5614" s="1">
        <f>hyperlink("https://hetutrechtsarchief.nl/collectie/C66894C7C81651E199226BF821E50B33","De theorie n over de rivierlopen in de stad Utrecht L A van der Tuuk 36-44 krt 1996")</f>
        <v>0</v>
      </c>
      <c r="D5614" s="1">
        <f>hyperlink("http://dspace.library.uu.nl/handle/1874/292786","De theorie n over de rivierlopen in de stad Utrecht L A van der Tuuk 36-44 1996")</f>
        <v>0</v>
      </c>
    </row>
    <row r="5615" spans="2:4">
      <c r="B5615">
        <v>98</v>
      </c>
      <c r="C5615" s="1">
        <f>hyperlink("https://hetutrechtsarchief.nl/collectie/B8B17CAA944950058F2EB2232AD18FFB","Nijverheid opkomst en ondergang van de Utrechtse steenfabricage Jean-Paul Corten 33-34 ill 1996")</f>
        <v>0</v>
      </c>
      <c r="D5615" s="1">
        <f>hyperlink("http://dspace.library.uu.nl/handle/1874/292787","Nijverheid Opkomst en ondergang van de Utrechtse steenfabricage Jean-Paul Corten 33-34 1996")</f>
        <v>0</v>
      </c>
    </row>
    <row r="5616" spans="2:4">
      <c r="B5616">
        <v>97</v>
      </c>
      <c r="C5616" s="1">
        <f>hyperlink("https://hetutrechtsarchief.nl/collectie/38B9CA50FCF85A79B9553F455DC4FE94","De keuze de mannen van de Mannenzaal Burchard Elias 16 ill 1996")</f>
        <v>0</v>
      </c>
      <c r="D5616" s="1">
        <f>hyperlink("http://dspace.library.uu.nl/handle/1874/292788","De keuze De mannen van de Mannenzaal Burchard Elias 16 1996")</f>
        <v>0</v>
      </c>
    </row>
    <row r="5617" spans="2:4">
      <c r="B5617">
        <v>93</v>
      </c>
      <c r="C5617" s="1">
        <f>hyperlink("https://hetutrechtsarchief.nl/collectie/447FED5C581C5749A5C924FC0674BC17","IJsselstein een benzinestation naar ontwerp van Ir S van Ravesteyn 1889-1983 M S Verweij 4-8 ill plgr tek 1996")</f>
        <v>0</v>
      </c>
      <c r="D5617" s="1">
        <f>hyperlink("http://dspace.library.uu.nl/handle/1874/292789","IJsselstein een benzinestation naar ontwerp van Ir S van Ravesteyn 1889-1983 M S Verweij 4-9 1996")</f>
        <v>0</v>
      </c>
    </row>
    <row r="5618" spans="2:4">
      <c r="B5618">
        <v>95</v>
      </c>
      <c r="C5618" s="1">
        <f>hyperlink("https://hetutrechtsarchief.nl/collectie/86B982BD5EF75321A51B5FE2356FAFF8","Historische vooroordelen Llewellyn Bogaers 10-13 portr 1996")</f>
        <v>0</v>
      </c>
      <c r="D5618" s="1">
        <f>hyperlink("http://dspace.library.uu.nl/handle/1874/292790","Historische vooroordelen Llewellyn Bogaers 10-13 1996")</f>
        <v>0</v>
      </c>
    </row>
    <row r="5619" spans="2:4">
      <c r="B5619">
        <v>98</v>
      </c>
      <c r="C5619" s="1">
        <f>hyperlink("https://hetutrechtsarchief.nl/collectie/3BC6DFBAC9D757F78C2F79D4338493F4","Medeleven in het feest van de instelling uit de geschiedenis van het Universiteitsmuseum P D t Hart 52-58 ill 1996")</f>
        <v>0</v>
      </c>
      <c r="D5619" s="1">
        <f>hyperlink("http://dspace.library.uu.nl/handle/1874/292791","Medeleven in het feest van de instelling uit de geschiedenis van het Universiteitsmuseum P D t Hart 52-58 1996")</f>
        <v>0</v>
      </c>
    </row>
    <row r="5620" spans="2:4">
      <c r="B5620">
        <v>82</v>
      </c>
      <c r="C5620" s="1">
        <f>hyperlink("https://hetutrechtsarchief.nl/collectie/62FF76974CDA554195C531DA5261F552","Richard III in Utrecht Erik Tigelaar 60-61 portr 1996")</f>
        <v>0</v>
      </c>
      <c r="D5620" s="1">
        <f>hyperlink("http://dspace.library.uu.nl/handle/1874/292929","Richard III in Utrecht Erik Huisman Fanny Tigelaar 60-61 1996")</f>
        <v>0</v>
      </c>
    </row>
    <row r="5621" spans="2:4">
      <c r="B5621">
        <v>100</v>
      </c>
      <c r="C5621" s="1">
        <f>hyperlink("https://hetutrechtsarchief.nl/collectie/7C16C408708A5D92A587A9F074B009E3","Het Loenens leesgezelschap Tot Nut en Vermaak Wim van Schaik 3-8 2010")</f>
        <v>0</v>
      </c>
      <c r="D5621" s="1">
        <f>hyperlink("http://dspace.library.uu.nl/handle/1874/293175","Het Loenens leesgezelschap Tot Nut en Vermaak Wim van Schaik 3-8 2010")</f>
        <v>0</v>
      </c>
    </row>
    <row r="5622" spans="2:4">
      <c r="B5622">
        <v>71</v>
      </c>
      <c r="C5622" s="1">
        <f>hyperlink("https://hetutrechtsarchief.nl/collectie/464DC1ED5AB25AC5B5AD006197F143D3","De brand in de Grote kerk van Loenen Sander Griffioen 9-12 2010")</f>
        <v>0</v>
      </c>
      <c r="D5622" s="1">
        <f>hyperlink("http://dspace.library.uu.nl/handle/1874/293176","De kerkbrand Sander Griffioen 9-12 2010")</f>
        <v>0</v>
      </c>
    </row>
    <row r="5623" spans="2:4">
      <c r="B5623">
        <v>88</v>
      </c>
      <c r="C5623" s="1">
        <f>hyperlink("https://hetutrechtsarchief.nl/collectie/2605389780145C1CB370587DAC82D992","Plan voor een spoorlijn door de Loennderveense plas Een gemiste kans Willem Mooij Dorie Baecker en Kees de Kruijter 13-16 2010")</f>
        <v>0</v>
      </c>
      <c r="D5623" s="1">
        <f>hyperlink("http://dspace.library.uu.nl/handle/1874/293177","Plan voor een spoorlijn door de Loenderveense plas Een gemiste kans Kees de Mooij Willem Baecker Dorie Kruijter 13-16 2010")</f>
        <v>0</v>
      </c>
    </row>
    <row r="5624" spans="2:4">
      <c r="B5624">
        <v>100</v>
      </c>
      <c r="C5624" s="1">
        <f>hyperlink("https://hetutrechtsarchief.nl/collectie/4C4215E0C7B65CEEAA00D65F2ED44803","Vreeland op een tegeltableau van Rossum du Chattel Juliette Jonker-Duynstee 17-21 2010")</f>
        <v>0</v>
      </c>
      <c r="D5624" s="1">
        <f>hyperlink("http://dspace.library.uu.nl/handle/1874/293178","Vreeland op een tegeltableau van Rossum du Chattel Juliette Jonker-Duynstee 17-21 2010")</f>
        <v>0</v>
      </c>
    </row>
    <row r="5625" spans="2:4">
      <c r="B5625">
        <v>92</v>
      </c>
      <c r="C5625" s="1">
        <f>hyperlink("https://hetutrechtsarchief.nl/collectie/BE060B9B79EB5A47A674385470397668","Autobedrijf Spijker te Nieuwersluis 1930-2001 in gesprek met Piet Spijker Aleid Smid en Anneke Binnerts 22-29 2010")</f>
        <v>0</v>
      </c>
      <c r="D5625" s="1">
        <f>hyperlink("http://dspace.library.uu.nl/handle/1874/293179","Autobedrijf Spijker te Nieuwersluis 1930-2001 in gesprek met Piet Spijker Anneke Smid Aleid Binnerts 22-29 2010")</f>
        <v>0</v>
      </c>
    </row>
    <row r="5626" spans="2:4">
      <c r="B5626">
        <v>86</v>
      </c>
      <c r="C5626" s="1">
        <f>hyperlink("https://hetutrechtsarchief.nl/collectie/60E756A4C85D510FAE8D5B235B086C10","Plantage Vreeland in Suriname Vreeland in den verre 1 A T E Cruysheer 30-31 2010")</f>
        <v>0</v>
      </c>
      <c r="D5626" s="1">
        <f>hyperlink("http://dspace.library.uu.nl/handle/1874/293180","Plantage Vreeland in Suriname Vreeland in den verre A T E Cruysheer 30-31 nr 35 2011 p 34-35 2010-2011")</f>
        <v>0</v>
      </c>
    </row>
    <row r="5627" spans="2:4">
      <c r="B5627">
        <v>100</v>
      </c>
      <c r="C5627" s="1">
        <f>hyperlink("https://hetutrechtsarchief.nl/collectie/F6A49007C726537A9692E46B2658665F","Per trekschuit door de Vechtstreek gebakken paling en een schuyt-praetje Mieke Kennis 11-19 2012")</f>
        <v>0</v>
      </c>
      <c r="D5627" s="1">
        <f>hyperlink("http://dspace.library.uu.nl/handle/1874/293181","Per trekschuit door de Vechtstreek gebakken paling en een schuyt-praetje Mieke Kennis 11-19 2012")</f>
        <v>0</v>
      </c>
    </row>
    <row r="5628" spans="2:4">
      <c r="B5628">
        <v>100</v>
      </c>
      <c r="C5628" s="1">
        <f>hyperlink("https://hetutrechtsarchief.nl/collectie/C37E2B69B3755F76AF7ACCCC5B95C39A","Vreedenhorst in Vreeland Juliette Jonker-Duynstee 3-10 2012")</f>
        <v>0</v>
      </c>
      <c r="D5628" s="1">
        <f>hyperlink("http://dspace.library.uu.nl/handle/1874/293182","Vreedenhorst in Vreeland Juliette Jonker-Duynstee 3-10 2012")</f>
        <v>0</v>
      </c>
    </row>
    <row r="5629" spans="2:4">
      <c r="B5629">
        <v>83</v>
      </c>
      <c r="C5629" s="1">
        <f>hyperlink("https://hetutrechtsarchief.nl/collectie/CAA7B42493D058B1BFC759F06A5EDE2A","Utrechtse bedrijven in woord en beeld 92-93 ill 1996")</f>
        <v>0</v>
      </c>
      <c r="D5629" s="1">
        <f>hyperlink("http://dspace.library.uu.nl/handle/1874/293790","Utrechtse bedrijven in woord en beeld Joyce Pennings 92-93 1996")</f>
        <v>0</v>
      </c>
    </row>
    <row r="5630" spans="2:4">
      <c r="B5630">
        <v>92</v>
      </c>
      <c r="C5630" s="1">
        <f>hyperlink("https://hetutrechtsarchief.nl/collectie/0474861579675F769E8372CB6771941E","Een joodse school te Zeist 1942-1943 R P M Rhoen 86-90 ill portr 1996")</f>
        <v>0</v>
      </c>
      <c r="D5630" s="1">
        <f>hyperlink("http://dspace.library.uu.nl/handle/1874/293791","Een joodse school te Zeist 1942-1943 R P M Rhoen 86-90 1996")</f>
        <v>0</v>
      </c>
    </row>
    <row r="5631" spans="2:4">
      <c r="B5631">
        <v>98</v>
      </c>
      <c r="C5631" s="1">
        <f>hyperlink("https://hetutrechtsarchief.nl/collectie/5E70E08DBE9D546FBFB14EADE1134F17","Industri le bedrijvigheid in de Vechtstreek industrie en water W van den Broeke 66-67 ill 1996")</f>
        <v>0</v>
      </c>
      <c r="D5631" s="1">
        <f>hyperlink("http://dspace.library.uu.nl/handle/1874/293792","Industri le bedrijvigheid in de Vechtstreek industrie en water W van den Broeke 66-67 1996")</f>
        <v>0</v>
      </c>
    </row>
    <row r="5632" spans="2:4">
      <c r="B5632">
        <v>98</v>
      </c>
      <c r="C5632" s="1">
        <f>hyperlink("https://hetutrechtsarchief.nl/collectie/661652B85FCD51F0B4771E261E15B8B5","Het voormalig bisschopsaltaar in de Utrechtse Catharijnekerk Casper Staal 76-82 ill 1996")</f>
        <v>0</v>
      </c>
      <c r="D5632" s="1">
        <f>hyperlink("http://dspace.library.uu.nl/handle/1874/293793","Het voormalig bisschopsaltaar in de Utrechtse Catharijnekerk Casper Staal 76-82 1996")</f>
        <v>0</v>
      </c>
    </row>
    <row r="5633" spans="2:4">
      <c r="B5633">
        <v>100</v>
      </c>
      <c r="C5633" s="1">
        <f>hyperlink("https://hetutrechtsarchief.nl/collectie/D216A6315FD257B49BB5A5EC9816049F","Rijksbursalen aan de universiteit van Utrecht 1815-1843 Koos Wingelaar 100-106 1996")</f>
        <v>0</v>
      </c>
      <c r="D5633" s="1">
        <f>hyperlink("http://dspace.library.uu.nl/handle/1874/293794","Rijksbursalen aan de universiteit van Utrecht 1815-1843 Koos Wingelaar 100-106 1996")</f>
        <v>0</v>
      </c>
    </row>
    <row r="5634" spans="2:4">
      <c r="B5634">
        <v>64</v>
      </c>
      <c r="C5634" s="1">
        <f>hyperlink("https://hetutrechtsarchief.nl/collectie/262CE8BB494558D38C69A96ED1A507B0","Overstroming van de Vecht in 1928 1 watersnood Kees de Kruijter en Willem Mooij 32-34 2011")</f>
        <v>0</v>
      </c>
      <c r="D5634" s="1">
        <f>hyperlink("http://dspace.library.uu.nl/handle/1874/293795","Overstroming van de Vecht in 1928 Willem Kruijter Kees de Mooij 32-34 nr 37 2012 p 47-52 nr 38 2012 p 37-47 2011-2012")</f>
        <v>0</v>
      </c>
    </row>
    <row r="5635" spans="2:4">
      <c r="B5635">
        <v>90</v>
      </c>
      <c r="C5635" s="1">
        <f>hyperlink("https://hetutrechtsarchief.nl/collectie/27FE7F0E610054E3830A4580E1A150B8","Rijzicht Van Buitenplaats tot Volkshuisvesting Willem Mooij en Wim van Schaik 20-24 2012")</f>
        <v>0</v>
      </c>
      <c r="D5635" s="1">
        <f>hyperlink("http://dspace.library.uu.nl/handle/1874/293796","Rijzicht Van Buitenplaats tot Volkshuisvesting Wim van Mooij Willem Schaik 20-24 2012")</f>
        <v>0</v>
      </c>
    </row>
    <row r="5636" spans="2:4">
      <c r="B5636">
        <v>99</v>
      </c>
      <c r="C5636" s="1">
        <f>hyperlink("https://hetutrechtsarchief.nl/collectie/992F7A9120235058990A7B9F9646B2A4","Daniel Gerard van der Burgh 1755-1824 en zijn bezittingen in Loenen en Loenersloot Herman Beckmann 25-29 2012")</f>
        <v>0</v>
      </c>
      <c r="D5636" s="1">
        <f>hyperlink("http://dspace.library.uu.nl/handle/1874/293797","Dani l Gerard van der Burgh 1755-1824 en zijn bezittingen in Loenen en Loenersloot Herman Beckmann 25-29 2012")</f>
        <v>0</v>
      </c>
    </row>
    <row r="5637" spans="2:4">
      <c r="B5637">
        <v>89</v>
      </c>
      <c r="C5637" s="1">
        <f>hyperlink("https://hetutrechtsarchief.nl/collectie/BF64ACF818865974A31449302A1F776B","Landgoed Hofstede Scherreschans in gesprek met twee heren Doude van Troostwijk Riek Arink Piet Bakker en Hilde de Haan 30-41 2012")</f>
        <v>0</v>
      </c>
      <c r="D5637" s="1">
        <f>hyperlink("http://dspace.library.uu.nl/handle/1874/293798","Landgoed Hofstede Sterreschans in gesprek met twee heren Doude van Troostwijk Hilde de Arink Riek Bakker Piet Haan 30-42 2012")</f>
        <v>0</v>
      </c>
    </row>
    <row r="5638" spans="2:4">
      <c r="B5638">
        <v>80</v>
      </c>
      <c r="C5638" s="1">
        <f>hyperlink("https://hetutrechtsarchief.nl/collectie/FE2924E4635C5FEF8342846309233333","Herekoge in Vredelant Luit van der Tuuk en Anton Cruysheer 42-46 2012")</f>
        <v>0</v>
      </c>
      <c r="D5638" s="1">
        <f>hyperlink("http://dspace.library.uu.nl/handle/1874/293799","Herekoge in Vredelant Anton Tuuk Luit van der Cruysheer 42-47 2012")</f>
        <v>0</v>
      </c>
    </row>
    <row r="5639" spans="2:4">
      <c r="B5639">
        <v>97</v>
      </c>
      <c r="C5639" s="1">
        <f>hyperlink("https://hetutrechtsarchief.nl/collectie/A7E5DA4E673A5A588E96499A9A4BA29F","Huize Calorama in Oud Over Willem Mooij 52 2012")</f>
        <v>0</v>
      </c>
      <c r="D5639" s="1">
        <f>hyperlink("http://dspace.library.uu.nl/handle/1874/293800","Huize Calorama in Oud Over Willem Mooij 52-53 2012")</f>
        <v>0</v>
      </c>
    </row>
    <row r="5640" spans="2:4">
      <c r="B5640">
        <v>94</v>
      </c>
      <c r="C5640" s="1">
        <f>hyperlink("https://hetutrechtsarchief.nl/collectie/2C43FECFD1C1582BAF933551E0F0E3A0","Het verloren kind van Antje Kuiper dienstmeisje in het gezin van een hoedenfabrikant en evangelist Mieke Kennis en Willem Mooij 3-12 2012")</f>
        <v>0</v>
      </c>
      <c r="D5640" s="1">
        <f>hyperlink("http://dspace.library.uu.nl/handle/1874/293801","Het verloren kind van Antje Kuiper dienstmeisje in het gezin van een hoedenfabrikant en evangelist Willem Kennis Mieke Mooij 3-12 2012")</f>
        <v>0</v>
      </c>
    </row>
    <row r="5641" spans="2:4">
      <c r="B5641">
        <v>94</v>
      </c>
      <c r="C5641" s="1">
        <f>hyperlink("https://hetutrechtsarchief.nl/collectie/F13EF703639C54D89797D80CF072F168","Theodorus van Rooijen gemeenteveldwachter van Loenen in de periode van 1864-1916 Wilma de Kruijter-Zandstra en Willem Mooij 13-20 2012")</f>
        <v>0</v>
      </c>
      <c r="D5641" s="1">
        <f>hyperlink("http://dspace.library.uu.nl/handle/1874/293802","Theodorus van Rooijen gemeenteveldwachter van Loenen in de periode van 1864-1916 Willem Kruijter-Zandstra Wilma de Mooij 13-20 2012")</f>
        <v>0</v>
      </c>
    </row>
    <row r="5642" spans="2:4">
      <c r="B5642">
        <v>100</v>
      </c>
      <c r="C5642" s="1">
        <f>hyperlink("https://hetutrechtsarchief.nl/collectie/97044552C0025A0EB4556BD912666F05","In gesprek met Jan Dolman handelaar in zand en grind Anneke Binnerts 21-26 2012")</f>
        <v>0</v>
      </c>
      <c r="D5642" s="1">
        <f>hyperlink("http://dspace.library.uu.nl/handle/1874/293803","In gesprek met Jan Dolman handelaar in zand en grind Anneke Binnerts 21-26 2012")</f>
        <v>0</v>
      </c>
    </row>
    <row r="5643" spans="2:4">
      <c r="B5643">
        <v>89</v>
      </c>
      <c r="C5643" s="1">
        <f>hyperlink("https://hetutrechtsarchief.nl/collectie/2B066B2FDC6F5EC2AB6CB3D1C99D7A49","De Familie Van Dorssen en het Zandpad Breukelen - Ouderkerk Piet Dorssen en Wim van Schaik 27-36 2012")</f>
        <v>0</v>
      </c>
      <c r="D5643" s="1">
        <f>hyperlink("http://dspace.library.uu.nl/handle/1874/293804","De familie Van Dorssen en het Zandpad Breukelen - Ouderkerk Wim van Dorssen Piet Schaik 27-36 2012")</f>
        <v>0</v>
      </c>
    </row>
    <row r="5644" spans="2:4">
      <c r="B5644">
        <v>100</v>
      </c>
      <c r="C5644" s="1">
        <f>hyperlink("https://hetutrechtsarchief.nl/collectie/5DB086F24F0058CCB21A6BCDD273FA46","Villa t Uiltje en de familie Cruys en Blijdenstein Juliette Jonker-Duynstee 3-8 2013")</f>
        <v>0</v>
      </c>
      <c r="D5644" s="1">
        <f>hyperlink("http://dspace.library.uu.nl/handle/1874/293805","Villa t Uiltje en de familie Cruys en Blijdenstein Juliette Jonker-Duynstee 3-8 2013")</f>
        <v>0</v>
      </c>
    </row>
    <row r="5645" spans="2:4">
      <c r="B5645">
        <v>92</v>
      </c>
      <c r="C5645" s="1">
        <f>hyperlink("https://hetutrechtsarchief.nl/collectie/E22781CF1570540EA5780DE75DF0A217","Je wiegje schroeide al uitslaande brand in Loenen en een haperende telefoon Mieke Kennis en Willem Mooij 9-15 2013")</f>
        <v>0</v>
      </c>
      <c r="D5645" s="1">
        <f>hyperlink("http://dspace.library.uu.nl/handle/1874/293806","Je wiegje schroeide al uitslaande brand in Loenen en een haperende telefoon Willem Kennis Mieke Mooij 9-15 2013")</f>
        <v>0</v>
      </c>
    </row>
    <row r="5646" spans="2:4">
      <c r="B5646">
        <v>100</v>
      </c>
      <c r="C5646" s="1">
        <f>hyperlink("https://hetutrechtsarchief.nl/collectie/C33288BD83D1571B86B0A3A36B83EBD6","De Glashut in de jaren vijftig van de vorige eeuw verteld door Magda de Haan-Stoker Anneke Binnerts 16-20 2013")</f>
        <v>0</v>
      </c>
      <c r="D5646" s="1">
        <f>hyperlink("http://dspace.library.uu.nl/handle/1874/293807","De Glashut in de jaren vijftig van de vorige eeuw verteld door Magda de Haan-Stoker Anneke Binnerts 16-20 2013")</f>
        <v>0</v>
      </c>
    </row>
    <row r="5647" spans="2:4">
      <c r="B5647">
        <v>100</v>
      </c>
      <c r="C5647" s="1">
        <f>hyperlink("https://hetutrechtsarchief.nl/collectie/31BA2EF720535D1EA0038F634ED3FC4D","Alles wisselt Jan Griffioen 1841-1922 en zijn nazaten Sander Griffioen 21-27 2013")</f>
        <v>0</v>
      </c>
      <c r="D5647" s="1">
        <f>hyperlink("http://dspace.library.uu.nl/handle/1874/293808","Alles wisselt Jan Griffioen 1841-1922 en zijn nazaten Sander Griffioen 21-27 2013")</f>
        <v>0</v>
      </c>
    </row>
    <row r="5648" spans="2:4">
      <c r="B5648">
        <v>71</v>
      </c>
      <c r="C5648" s="1">
        <f>hyperlink("https://hetutrechtsarchief.nl/collectie/D111F35F22645B1B81DA12D9D26211CB","De brand op Middenhoek het einde van een buitenplaats Wim van Schaik 28-33 2013")</f>
        <v>0</v>
      </c>
      <c r="D5648" s="1">
        <f>hyperlink("http://dspace.library.uu.nl/handle/1874/293809","Het einde van een buitenplaats de brand op Middenhoek Wim van Schaik 28-33 2013")</f>
        <v>0</v>
      </c>
    </row>
    <row r="5649" spans="2:4">
      <c r="B5649">
        <v>93</v>
      </c>
      <c r="C5649" s="1">
        <f>hyperlink("https://hetutrechtsarchief.nl/collectie/C7961D88C52F5E9E86C66332CA462124","In gesprek met Piet Attema voormalig brugwachter in Nieuwersluis en Loenen aan de Vecht Hilde de Haan en Aleid Smid 34-39 2013")</f>
        <v>0</v>
      </c>
      <c r="D5649" s="1">
        <f>hyperlink("http://dspace.library.uu.nl/handle/1874/293810","In gesprek met Piet Attema voormalig brugwachter in Nieuwersluis en Loenen aan de Vecht Aleid Haan Hilde de Smid 34-39 2013")</f>
        <v>0</v>
      </c>
    </row>
    <row r="5650" spans="2:4">
      <c r="B5650">
        <v>63</v>
      </c>
      <c r="C5650" s="1">
        <f>hyperlink("https://hetutrechtsarchief.nl/collectie/9528E20644A35B06A35888AAC9E5101C","Vistent in Loenen Wilma de Kruijter-Zandstra en Willem Mooij 17-20 2011")</f>
        <v>0</v>
      </c>
      <c r="D5650" s="1">
        <f>hyperlink("http://dspace.library.uu.nl/handle/1874/293811","Franse tijd Wilma de Kruijter-Zandstra et al Wilma de Kruijter-Zandstra 2013")</f>
        <v>0</v>
      </c>
    </row>
    <row r="5651" spans="2:4">
      <c r="B5651">
        <v>65</v>
      </c>
      <c r="C5651" s="1">
        <f>hyperlink("https://hetutrechtsarchief.nl/collectie/3A0E457BCE515931A097D3B2B4E4B919","Klas 1 op de foto Willem Mooij 48 2016")</f>
        <v>0</v>
      </c>
      <c r="D5651" s="1">
        <f>hyperlink("http://dspace.library.uu.nl/handle/1874/293812","Caf De Graaf van Orleans Willem Mooij 48 2012")</f>
        <v>0</v>
      </c>
    </row>
    <row r="5652" spans="2:4">
      <c r="B5652">
        <v>65</v>
      </c>
      <c r="C5652" s="1">
        <f>hyperlink("https://hetutrechtsarchief.nl/collectie/6D7BDD4F07AF1BC1E0534701000AD855","Een nieuwe brug in Nieuwersluis Wilma de Kruijter-Zandstra en Willem Mooij 40-43 2018")</f>
        <v>0</v>
      </c>
      <c r="D5652" s="1">
        <f>hyperlink("http://dspace.library.uu.nl/handle/1874/293813","De brug in Nieuwersluis Willem Mooij 40 2013")</f>
        <v>0</v>
      </c>
    </row>
    <row r="5653" spans="2:4">
      <c r="B5653">
        <v>95</v>
      </c>
      <c r="C5653" s="1">
        <f>hyperlink("https://hetutrechtsarchief.nl/collectie/9C58B2481EDF5179A117DFBE099583A1","Utrecht in 1853 het begin van de Utrechtse zilverindustrie Annelies Krekel-Aalberse 124-128 ill portr 1996")</f>
        <v>0</v>
      </c>
      <c r="D5653" s="1">
        <f>hyperlink("http://dspace.library.uu.nl/handle/1874/293869","Utrecht in 1853 het begin van de Utrechtse zilverindustrie Annelies Krekel-Aalberse 124-128 1996")</f>
        <v>0</v>
      </c>
    </row>
    <row r="5654" spans="2:4">
      <c r="B5654">
        <v>81</v>
      </c>
      <c r="C5654" s="1">
        <f>hyperlink("https://hetutrechtsarchief.nl/collectie/34CC87BE16485861A8847FB68847BE22","Nijverheid telefonie in Utrecht Bert van Holst 138 ill tek 1996")</f>
        <v>0</v>
      </c>
      <c r="D5654" s="1">
        <f>hyperlink("http://dspace.library.uu.nl/handle/1874/293870","Nijverheid het begin van de telefonie in Utrecht Bert van Holst 138-140 1996")</f>
        <v>0</v>
      </c>
    </row>
    <row r="5655" spans="2:4">
      <c r="B5655">
        <v>97</v>
      </c>
      <c r="C5655" s="1">
        <f>hyperlink("https://hetutrechtsarchief.nl/collectie/5A2FAAB8FF8750A68346B2A15F2A11AA","Hier word den Ouden stok gevoed Utrechtse bejaardenverzorging in het verleden Mieke Heurneman 4-8 ill 1997")</f>
        <v>0</v>
      </c>
      <c r="D5655" s="1">
        <f>hyperlink("http://dspace.library.uu.nl/handle/1874/293871","Hier word den ouden stok gevoed Utrechtse bejaardenverzorging in het verleden Mieke Heurneman 4-9 1997")</f>
        <v>0</v>
      </c>
    </row>
    <row r="5656" spans="2:4">
      <c r="B5656">
        <v>85</v>
      </c>
      <c r="C5656" s="1">
        <f>hyperlink("https://hetutrechtsarchief.nl/collectie/239AE8DAD5A95C2DA5F9B69DF0531276","Johannes de Doperbeeld na 33 jaar weer terug in Catharinakathedraal van Utrecht Peter Haars 10-12 ill 1997")</f>
        <v>0</v>
      </c>
      <c r="D5656" s="1">
        <f>hyperlink("http://dspace.library.uu.nl/handle/1874/293872","Johannes de Doperbeeld na 33 jaar weer terug in Utrecht Peter Haars 10-12 1997")</f>
        <v>0</v>
      </c>
    </row>
    <row r="5657" spans="2:4">
      <c r="B5657">
        <v>92</v>
      </c>
      <c r="C5657" s="1">
        <f>hyperlink("https://hetutrechtsarchief.nl/collectie/3E5814CCE2C951C889770C08489B4AE3","Een kampdorp bij het Fort Fectio L A van der Tuuk 14-16 ill krt 1997")</f>
        <v>0</v>
      </c>
      <c r="D5657" s="1">
        <f>hyperlink("http://dspace.library.uu.nl/handle/1874/293873","Een kampdorp bij het fort Vectio L A van der Tuuk 14-16 1997")</f>
        <v>0</v>
      </c>
    </row>
    <row r="5658" spans="2:4">
      <c r="B5658">
        <v>97</v>
      </c>
      <c r="C5658" s="1">
        <f>hyperlink("https://hetutrechtsarchief.nl/collectie/8A6DB96993695435A6133F34E451E3D3","De ondeugd van dominee Buddingh Dick Steenwijk 18-20 ill 1997")</f>
        <v>0</v>
      </c>
      <c r="D5658" s="1">
        <f>hyperlink("http://dspace.library.uu.nl/handle/1874/293874","De ondeugd van dominee Buddingh Dick Steenwijk 18-20 1997")</f>
        <v>0</v>
      </c>
    </row>
    <row r="5659" spans="2:4">
      <c r="B5659">
        <v>96</v>
      </c>
      <c r="C5659" s="1">
        <f>hyperlink("https://hetutrechtsarchief.nl/collectie/315E90B35AED580285646F6E73D1C14E","Hulp uit Zeist voor vluchtelingen van de Hongaarse opstand in 1956 opvang van gevluchte studenten op Heerewegen R P M Rhoen 131-136 ill portr 1996")</f>
        <v>0</v>
      </c>
      <c r="D5659" s="1">
        <f>hyperlink("http://dspace.library.uu.nl/handle/1874/293875","Hulp uit Zeist voor vluchtelingen van de Hongaarse opstand in 1956 opvang van gevluchte studenten op Heerewegen R P M Rhoen 131-137 1996")</f>
        <v>0</v>
      </c>
    </row>
    <row r="5660" spans="2:4">
      <c r="B5660">
        <v>98</v>
      </c>
      <c r="C5660" s="1">
        <f>hyperlink("https://hetutrechtsarchief.nl/collectie/0664C40E274C544894A47C3AB184314E","Nijverheid kaaspakhuizen bedrijfsmonumenten uit het westen Jan van Es 110-111 ill 1996")</f>
        <v>0</v>
      </c>
      <c r="D5660" s="1">
        <f>hyperlink("http://dspace.library.uu.nl/handle/1874/293876","Nijverheid kaaspakhuizen bedrijfsmonumenten uit het westen Jan van Es 110-111 1996")</f>
        <v>0</v>
      </c>
    </row>
    <row r="5661" spans="2:4">
      <c r="B5661">
        <v>96</v>
      </c>
      <c r="C5661" s="1">
        <f>hyperlink("https://hetutrechtsarchief.nl/collectie/26CC3F019B3D54AA84057C08A1F95791","Een Utrechter nu in Zuid-Afrika ge erd Marijke van de Vrugt 112-114 portr 1996")</f>
        <v>0</v>
      </c>
      <c r="D5661" s="1">
        <f>hyperlink("http://dspace.library.uu.nl/handle/1874/293877","Een Utrechter nu in Zuid-Afrika ge erd Marijke van de Vrugt 112-114 1996")</f>
        <v>0</v>
      </c>
    </row>
    <row r="5662" spans="2:4">
      <c r="B5662">
        <v>87</v>
      </c>
      <c r="C5662" s="1">
        <f>hyperlink("https://hetutrechtsarchief.nl/collectie/B6C2158F07B05CF68E299A2A6802F783","Tsofouno 1937-1943 een Utrechtse buurtsynagoge Henk Reinders 28-30 ill plgr 1997")</f>
        <v>0</v>
      </c>
      <c r="D5662" s="1">
        <f>hyperlink("http://dspace.library.uu.nl/handle/1874/293964","Tsofouno 1937-1943 een buurtsynagoge Henk Reinders 28-30 1997")</f>
        <v>0</v>
      </c>
    </row>
    <row r="5663" spans="2:4">
      <c r="B5663">
        <v>86</v>
      </c>
      <c r="C5663" s="1">
        <f>hyperlink("https://hetutrechtsarchief.nl/collectie/2F17D1A54A9C5C9DA00F81DD3349CBDB","Bij het afscheid van C Dekker interview na 35 jaar Utrecht Albert van der Zeijden en Janna Leguyt 31-33 portr 1997")</f>
        <v>0</v>
      </c>
      <c r="D5663" s="1">
        <f>hyperlink("http://dspace.library.uu.nl/handle/1874/293965","Bij het afscheid van C Dekker interview na 35 jaar Utrecht Albert van der Leguyt Janna Zeijden 31-33 1997")</f>
        <v>0</v>
      </c>
    </row>
    <row r="5664" spans="2:4">
      <c r="B5664">
        <v>87</v>
      </c>
      <c r="C5664" s="1">
        <f>hyperlink("https://hetutrechtsarchief.nl/collectie/18F927F3277F565FA8906B5E23E3B621","Vingerhoeden van Mariken Pieters en Antonis van Gesteren Herman F Boon en Catharine A Langedijk 38-41 ill 1997")</f>
        <v>0</v>
      </c>
      <c r="D5664" s="1">
        <f>hyperlink("http://dspace.library.uu.nl/handle/1874/293966","Vingerhoeden van Mariken Pieters en Antonis van Gesteren Catherine A Boon Herman F Langedijk 38-41 1997")</f>
        <v>0</v>
      </c>
    </row>
    <row r="5665" spans="2:4">
      <c r="B5665">
        <v>93</v>
      </c>
      <c r="C5665" s="1">
        <f>hyperlink("https://hetutrechtsarchief.nl/collectie/93220BDD87295D82A39E23E539217155","Gouddiefstal uit de Utrechtse Munt JanJaap Luijt 42-44 ill graf 1997")</f>
        <v>0</v>
      </c>
      <c r="D5665" s="1">
        <f>hyperlink("http://dspace.library.uu.nl/handle/1874/293967","Gouddiefstal uit de Utrechtse Munt Janjaap Luijt 42-44 1997")</f>
        <v>0</v>
      </c>
    </row>
    <row r="5666" spans="2:4">
      <c r="B5666">
        <v>88</v>
      </c>
      <c r="C5666" s="1">
        <f>hyperlink("https://hetutrechtsarchief.nl/collectie/9F792BCF1B9E52639CB09EF1571EAF30","Het Koninklijk Meteorologisch Instituut 1854-1951 Peter van Beek 52-56 ill portr 1997")</f>
        <v>0</v>
      </c>
      <c r="D5666" s="1">
        <f>hyperlink("http://dspace.library.uu.nl/handle/1874/293968","Het Koninklijk Nederlands Meteorologisch Instituut 1854-1951 Peter van Beek 52-56 1997")</f>
        <v>0</v>
      </c>
    </row>
    <row r="5667" spans="2:4">
      <c r="B5667">
        <v>86</v>
      </c>
      <c r="C5667" s="1">
        <f>hyperlink("https://hetutrechtsarchief.nl/collectie/6F26CE78B7E15DB8B755CF82071B0CC4","De plek de heks van Oostbroek E A Kamp 36 ill 1997")</f>
        <v>0</v>
      </c>
      <c r="D5667" s="1">
        <f>hyperlink("http://dspace.library.uu.nl/handle/1874/293969","De heks van Oostbroek E A Kamp 36 1997")</f>
        <v>0</v>
      </c>
    </row>
    <row r="5668" spans="2:4">
      <c r="B5668">
        <v>97</v>
      </c>
      <c r="C5668" s="1">
        <f>hyperlink("https://hetutrechtsarchief.nl/collectie/F24B561F475254FF9C4E93669DFBA102","Het dienstpersoneel op de Zeister buitenplaatsen aan de Driebergseweg 1850-1940 V A M van der Burg 58-60 portr 1997")</f>
        <v>0</v>
      </c>
      <c r="D5668" s="1">
        <f>hyperlink("http://dspace.library.uu.nl/handle/1874/294004","Het dienstpersoneel op de Zeister buitenplaatsen aan de Driebergseweg 1850-1940 V A M van der Burg 58-60 1997")</f>
        <v>0</v>
      </c>
    </row>
    <row r="5669" spans="2:4">
      <c r="B5669">
        <v>100</v>
      </c>
      <c r="C5669" s="1">
        <f>hyperlink("https://hetutrechtsarchief.nl/collectie/0462C81BE52C541686CCF6D1ED41961C","Nieuw monument bij Kamp Amersfoort Gert Stein 4-5 2013")</f>
        <v>0</v>
      </c>
      <c r="D5669" s="1">
        <f>hyperlink("http://dspace.library.uu.nl/handle/1874/294129","Nieuw monument bij Kamp Amersfoort Gert Stein 4-5 2013")</f>
        <v>0</v>
      </c>
    </row>
    <row r="5670" spans="2:4">
      <c r="B5670">
        <v>100</v>
      </c>
      <c r="C5670" s="1">
        <f>hyperlink("https://hetutrechtsarchief.nl/collectie/F583BF0A70D1563489854619066AE555","De karaf van Simmeren op zoek naar Joodse nabestaanden Henk de Gans 6-7 2013")</f>
        <v>0</v>
      </c>
      <c r="D5670" s="1">
        <f>hyperlink("http://dspace.library.uu.nl/handle/1874/294130","De karaf van Simmeren op zoek naar Joodse nabestaanden Henk de Gans 6-7 2013")</f>
        <v>0</v>
      </c>
    </row>
    <row r="5671" spans="2:4">
      <c r="B5671">
        <v>92</v>
      </c>
      <c r="C5671" s="1">
        <f>hyperlink("https://hetutrechtsarchief.nl/collectie/052E0D92310C5974BF4262E8347684D0","Struikelstenen in Amersfoort een mens is pas vergeten wanneer zijn naam is vergeten Floor de Graaff en Lydia Edelkoort 8-9 2013")</f>
        <v>0</v>
      </c>
      <c r="D5671" s="1">
        <f>hyperlink("http://dspace.library.uu.nl/handle/1874/294131","Struikelstenen in Amersfoort een mens is pas vergeten wanneer zijn naam is vergeten Lydia Graaff Floor de Edelkoort 8-9 2013")</f>
        <v>0</v>
      </c>
    </row>
    <row r="5672" spans="2:4">
      <c r="B5672">
        <v>100</v>
      </c>
      <c r="C5672" s="1">
        <f>hyperlink("https://hetutrechtsarchief.nl/collectie/1CAF690F5B0A5E27817855EDDA1E362C","Anderhalf jaar feest de Vrede van Utrecht 1713-2013 Gerard Raven 10-11 2013")</f>
        <v>0</v>
      </c>
      <c r="D5672" s="1">
        <f>hyperlink("http://dspace.library.uu.nl/handle/1874/294132","Anderhalf jaar feest de Vrede van Utrecht 1713-2013 Gerard Raven 10-11 2013")</f>
        <v>0</v>
      </c>
    </row>
    <row r="5673" spans="2:4">
      <c r="B5673">
        <v>100</v>
      </c>
      <c r="C5673" s="1">
        <f>hyperlink("https://hetutrechtsarchief.nl/collectie/BAB2F1977DD85E5389192336BF38D0A3","Vondsten in een kerkarchief archief Hervormde Gemeente Leusden ontsloten Carine Alders 12-13 2013")</f>
        <v>0</v>
      </c>
      <c r="D5673" s="1">
        <f>hyperlink("http://dspace.library.uu.nl/handle/1874/294133","Vondsten in een kerkarchief archief Hervormde Gemeente Leusden ontsloten Carine Alders 12-13 2013")</f>
        <v>0</v>
      </c>
    </row>
    <row r="5674" spans="2:4">
      <c r="B5674">
        <v>90</v>
      </c>
      <c r="C5674" s="1">
        <f>hyperlink("https://hetutrechtsarchief.nl/collectie/D31C86480FDE51C783D52061FB123BBD","Waar bleven de Amersfoortse honden een 17e-eeuwse leerlooierij bij Achter de Kamp Henk de Boer en Mattijs Wijker 18-19 2013")</f>
        <v>0</v>
      </c>
      <c r="D5674" s="1">
        <f>hyperlink("http://dspace.library.uu.nl/handle/1874/294134","Waar bleven de Amersfoortse honden een 17e-eeuwse leerlooierij bij Achter de Kamp Mattijs Boer Henk de Wijker 18-19 2013")</f>
        <v>0</v>
      </c>
    </row>
    <row r="5675" spans="2:4">
      <c r="B5675">
        <v>100</v>
      </c>
      <c r="C5675" s="1">
        <f>hyperlink("https://hetutrechtsarchief.nl/collectie/64B58644A3CD5D819B3C07B405AAE1A4","Voorheen De Oude Kalandermolen opgraving op Utrechtsestraat 30 32 Anne van der Glas 14-15 2013")</f>
        <v>0</v>
      </c>
      <c r="D5675" s="1">
        <f>hyperlink("http://dspace.library.uu.nl/handle/1874/294135","Voorheen De Oude Kalandermolen opgraving op Utrechtsestraat 30 32 Anne van der Glas 14-15 2013")</f>
        <v>0</v>
      </c>
    </row>
    <row r="5676" spans="2:4">
      <c r="B5676">
        <v>90</v>
      </c>
      <c r="C5676" s="1">
        <f>hyperlink("https://hetutrechtsarchief.nl/collectie/0102C652BE375073BB42AD776A3EFB43","De plek kasteel Stoutenburg J Verduin 61 1997")</f>
        <v>0</v>
      </c>
      <c r="D5676" s="1">
        <f>hyperlink("http://dspace.library.uu.nl/handle/1874/294196","Kasteel Stoutenburg J Verduin 61 1997")</f>
        <v>0</v>
      </c>
    </row>
    <row r="5677" spans="2:4">
      <c r="B5677">
        <v>96</v>
      </c>
      <c r="C5677" s="1">
        <f>hyperlink("https://hetutrechtsarchief.nl/collectie/A8E8AF5D852350FEA6BB46E24FC93259","Van haver tot gort een Laat-Romeinse kuil met graan in Houten Laura I Kooistra 68-69 ill 1997")</f>
        <v>0</v>
      </c>
      <c r="D5677" s="1">
        <f>hyperlink("http://dspace.library.uu.nl/handle/1874/294197","Van haver tot gort een Laat-Romeinse kuil met graan uit Houten Laura I Kooistra 68-69 1997")</f>
        <v>0</v>
      </c>
    </row>
    <row r="5678" spans="2:4">
      <c r="B5678">
        <v>95</v>
      </c>
      <c r="C5678" s="1">
        <f>hyperlink("https://hetutrechtsarchief.nl/collectie/DEDCE0DAD8C65E459B825F5E80A06BFB","Jules Edouard Anne Louis Struick 1927 - 1997 Arend Pietersma 76-78 portr 1997")</f>
        <v>0</v>
      </c>
      <c r="D5678" s="1">
        <f>hyperlink("http://dspace.library.uu.nl/handle/1874/294198","Jules Edouard Anne Louis Struick 1927 1997 Arend Pietersma 76-78 1997")</f>
        <v>0</v>
      </c>
    </row>
    <row r="5679" spans="2:4">
      <c r="B5679">
        <v>95</v>
      </c>
      <c r="C5679" s="1">
        <f>hyperlink("https://hetutrechtsarchief.nl/collectie/FFE572F263E656C0A6F9C76A590F0C8F","Stathe aan de Vecht ofwel het gelijk van N van der Monde Cees van Rooijen 80-85 ill plgr 1997")</f>
        <v>0</v>
      </c>
      <c r="D5679" s="1">
        <f>hyperlink("http://dspace.library.uu.nl/handle/1874/294199","Stathe aan de Vecht ofwel het gelijk van N van der Monde Cees van Rooijen 80-85 1997")</f>
        <v>0</v>
      </c>
    </row>
    <row r="5680" spans="2:4">
      <c r="B5680">
        <v>87</v>
      </c>
      <c r="C5680" s="1">
        <f>hyperlink("https://hetutrechtsarchief.nl/collectie/F2C0AA641B8B56A3B3DAD856FA14B092","Romeinen een glasfragment uit Vechten C Isings 87 ill 1997")</f>
        <v>0</v>
      </c>
      <c r="D5680" s="1">
        <f>hyperlink("http://dspace.library.uu.nl/handle/1874/294200","Een glasfragment uit Vechten C Isings 87 1997")</f>
        <v>0</v>
      </c>
    </row>
    <row r="5681" spans="2:4">
      <c r="B5681">
        <v>88</v>
      </c>
      <c r="C5681" s="1">
        <f>hyperlink("https://hetutrechtsarchief.nl/collectie/9EE42DE2BCB957389F2A121DD510BBD3","De plek begraafplaats Oud-Zuilen J J Oskam 90-91 ill 1997")</f>
        <v>0</v>
      </c>
      <c r="D5681" s="1">
        <f>hyperlink("http://dspace.library.uu.nl/handle/1874/294201","Begraafplaats Oud-Zuilen J J Oskam 90-91 1997")</f>
        <v>0</v>
      </c>
    </row>
    <row r="5682" spans="2:4">
      <c r="B5682">
        <v>97</v>
      </c>
      <c r="C5682" s="1">
        <f>hyperlink("https://hetutrechtsarchief.nl/collectie/D97B72E73566541995FD29064A11D8CC","Nieuwe gegevens over Rubens bezoek te Utrecht Jos de Meyere 100-102 ill 1997")</f>
        <v>0</v>
      </c>
      <c r="D5682" s="1">
        <f>hyperlink("http://dspace.library.uu.nl/handle/1874/294202","Nieuwe gegevens over Rubens bezoek te Utrecht Jos de Meyere 100-102 1997")</f>
        <v>0</v>
      </c>
    </row>
    <row r="5683" spans="2:4">
      <c r="B5683">
        <v>90</v>
      </c>
      <c r="C5683" s="1">
        <f>hyperlink("https://hetutrechtsarchief.nl/collectie/A1A693F884DC535B98A4488CACD9329F","Een stathe aan de Vecht ofwel natuurlijk had N van der Monde gelijk Tarq Hoekstra 104-107 ill 1997")</f>
        <v>0</v>
      </c>
      <c r="D5683" s="1">
        <f>hyperlink("http://dspace.library.uu.nl/handle/1874/294203","Een stathe aan de Vecht of had N van der Monde gelijk Tarq Hoekstra 104-107 1997")</f>
        <v>0</v>
      </c>
    </row>
    <row r="5684" spans="2:4">
      <c r="B5684">
        <v>99</v>
      </c>
      <c r="C5684" s="1">
        <f>hyperlink("https://hetutrechtsarchief.nl/collectie/8A4A745F706F58819B2741069A3A30E7","Twee bewaard gebleven zilveren zegelstempels uit de vroege veertiende eeuw L E v d Berg 108-111 1997")</f>
        <v>0</v>
      </c>
      <c r="D5684" s="1">
        <f>hyperlink("http://dspace.library.uu.nl/handle/1874/294204","Twee bewaard gebleven zilveren zegelstempels uit de vroege veertiende eeuw L E v d Bergh 108-112 1997")</f>
        <v>0</v>
      </c>
    </row>
    <row r="5685" spans="2:4">
      <c r="B5685">
        <v>88</v>
      </c>
      <c r="C5685" s="1">
        <f>hyperlink("https://hetutrechtsarchief.nl/collectie/C82526B135B3524CA8FDDCB19BEF356F","Romeinen recente Romeinse vondsten de Leidsche Rijn Tj Pot 113 ill 1997")</f>
        <v>0</v>
      </c>
      <c r="D5685" s="1">
        <f>hyperlink("http://dspace.library.uu.nl/handle/1874/294205","Recente Romeinse vondsten de Leidse Rijn Tj Pot 113 1997")</f>
        <v>0</v>
      </c>
    </row>
    <row r="5686" spans="2:4">
      <c r="B5686">
        <v>64</v>
      </c>
      <c r="C5686" s="1">
        <f>hyperlink("https://hetutrechtsarchief.nl/collectie/1784EC837B445DD79DCBF8BFCEBF71DB","De plek een altaarsteen in Woerden Nettie Stoppelenburg 114-115 ill 1997")</f>
        <v>0</v>
      </c>
      <c r="D5686" s="1">
        <f>hyperlink("http://dspace.library.uu.nl/handle/1874/294206","Hoe een kale plek in Woerden iets te maken kan hebben met het zonnige Smyrna Nettie Stoppelenburg 114-115 1997")</f>
        <v>0</v>
      </c>
    </row>
    <row r="5687" spans="2:4">
      <c r="B5687">
        <v>98</v>
      </c>
      <c r="C5687" s="1">
        <f>hyperlink("https://hetutrechtsarchief.nl/collectie/48A9E15414825481900BBB5AA2CB0B4E","Op bedevaart naar Kevelaer aan het begin van de 19e eeuw de broederschap van Achterveld Soest en Laren Marc Wingens 124-128 ill 1997")</f>
        <v>0</v>
      </c>
      <c r="D5687" s="1">
        <f>hyperlink("http://dspace.library.uu.nl/handle/1874/294207","Op bedevaart naar Kevelaer aan het begin van de 19de eeuw de broederschap van Achterveld Soest en Laren Marc Wingens 124-128 1997")</f>
        <v>0</v>
      </c>
    </row>
    <row r="5688" spans="2:4">
      <c r="B5688">
        <v>88</v>
      </c>
      <c r="C5688" s="1">
        <f>hyperlink("https://hetutrechtsarchief.nl/collectie/3994593D5FC751B3923C0DCD17CB7859","De plek het Tinus de Witplantsoen te Breukelen H J van Es 129 ill 1997")</f>
        <v>0</v>
      </c>
      <c r="D5688" s="1">
        <f>hyperlink("http://dspace.library.uu.nl/handle/1874/294208","Het Tinus de Witplantsoen in Breukelen H J van Es 129 1997")</f>
        <v>0</v>
      </c>
    </row>
    <row r="5689" spans="2:4">
      <c r="B5689">
        <v>96</v>
      </c>
      <c r="C5689" s="1">
        <f>hyperlink("https://hetutrechtsarchief.nl/collectie/27D550FB9D165082992837D398450342","Brahms was de held van de avond een korte historie over Utrecht als Brahmsstad Jean-Paul Meijer 134-138 ill portr 1997")</f>
        <v>0</v>
      </c>
      <c r="D5689" s="1">
        <f>hyperlink("http://dspace.library.uu.nl/handle/1874/294209","Brahms was de held van de avond een korte historie over Utrecht als Brahmsstad Jean-Paul Meijer 134-138 1997")</f>
        <v>0</v>
      </c>
    </row>
    <row r="5690" spans="2:4">
      <c r="B5690">
        <v>100</v>
      </c>
      <c r="C5690" s="1">
        <f>hyperlink("https://hetutrechtsarchief.nl/collectie/7956A56D96B05CDBBCFF6B43D4D70F18","Utrechtse portretten in miniatuur over nut en nadeel van de Kurzbiographie Albert van der Zeijden 139-141 1997")</f>
        <v>0</v>
      </c>
      <c r="D5690" s="1">
        <f>hyperlink("http://dspace.library.uu.nl/handle/1874/294210","Utrechtse portretten in miniatuur over nut en nadeel van de Kurzbiographie Albert van der Zeijden 139-141 1997")</f>
        <v>0</v>
      </c>
    </row>
    <row r="5691" spans="2:4">
      <c r="B5691">
        <v>60</v>
      </c>
      <c r="C5691" s="1">
        <f>hyperlink("https://hetutrechtsarchief.nl/collectie/F72C576B2E2A5B0B9312A096F18F2252","Het Werk aan de Roode Haan Gerard Muller 12-15 2016")</f>
        <v>0</v>
      </c>
      <c r="D5691" s="1">
        <f>hyperlink("http://dspace.library.uu.nl/handle/1874/294212","Op het spoor 150 jaar met de trein Gerard Raven 2-5 2013")</f>
        <v>0</v>
      </c>
    </row>
    <row r="5692" spans="2:4">
      <c r="B5692">
        <v>100</v>
      </c>
      <c r="C5692" s="1">
        <f>hyperlink("https://hetutrechtsarchief.nl/collectie/6DE07A481D86512F92AAD928055D0038","Nieuw station - nieuwe wijk het ontstaan van het Bergkwartier Max Cramer 6-7 2013")</f>
        <v>0</v>
      </c>
      <c r="D5692" s="1">
        <f>hyperlink("http://dspace.library.uu.nl/handle/1874/294213","Nieuw station - nieuwe wijk het ontstaan van het Bergkwartier Max Cramer 6-7 2013")</f>
        <v>0</v>
      </c>
    </row>
    <row r="5693" spans="2:4">
      <c r="B5693">
        <v>100</v>
      </c>
      <c r="C5693" s="1">
        <f>hyperlink("https://hetutrechtsarchief.nl/collectie/83FCBD9A30D85B81AAA117C9264B1D6E","Bommen sabotage en vergelding het Amersfoortse spoor in de Tweede Wereldoorlog Ingelies Vermeulen 8-9 2013")</f>
        <v>0</v>
      </c>
      <c r="D5693" s="1">
        <f>hyperlink("http://dspace.library.uu.nl/handle/1874/294214","Bommen sabotage en vergelding het Amersfoortse spoor in de Tweede Wereldoorlog Ingelies Vermeulen 8-9 2013")</f>
        <v>0</v>
      </c>
    </row>
    <row r="5694" spans="2:4">
      <c r="B5694">
        <v>100</v>
      </c>
      <c r="C5694" s="1">
        <f>hyperlink("https://hetutrechtsarchief.nl/collectie/4553C9FA4E6B54759C828C6CA59DDED6","Het geheim van station Amersfoort een bezoek aan de archieven van de NVBS Ingelies Vermeulen 10-11 2013")</f>
        <v>0</v>
      </c>
      <c r="D5694" s="1">
        <f>hyperlink("http://dspace.library.uu.nl/handle/1874/294215","Het geheim van station Amersfoort een bezoek aan de archieven van de NVBS Ingelies Vermeulen 10-11 2013")</f>
        <v>0</v>
      </c>
    </row>
    <row r="5695" spans="2:4">
      <c r="B5695">
        <v>100</v>
      </c>
      <c r="C5695" s="1">
        <f>hyperlink("https://hetutrechtsarchief.nl/collectie/EA8BC38271195B33B221A0F1A3BF60B8","Een rondje spoorwegen wandelroute door Amersfoort Lydia Edelkoort 12-15 2013")</f>
        <v>0</v>
      </c>
      <c r="D5695" s="1">
        <f>hyperlink("http://dspace.library.uu.nl/handle/1874/294216","Een rondje spoorwegen wandelroute door Amersfoort Lydia Edelkoort 12-15 2013")</f>
        <v>0</v>
      </c>
    </row>
    <row r="5696" spans="2:4">
      <c r="B5696">
        <v>100</v>
      </c>
      <c r="C5696" s="1">
        <f>hyperlink("https://hetutrechtsarchief.nl/collectie/17BE09C99D425B199576602D0243438F","Van Margadant tot Edmondson Amersfoorts spoor dankbaar verzamelonderwerp Jan Carel van Dijk 16-17 2013")</f>
        <v>0</v>
      </c>
      <c r="D5696" s="1">
        <f>hyperlink("http://dspace.library.uu.nl/handle/1874/294217","Van Margadant tot Edmondson Amersfoorts spoor dankbaar verzamelonderwerp Jan Carel van Dijk 16-17 2013")</f>
        <v>0</v>
      </c>
    </row>
    <row r="5697" spans="2:4">
      <c r="B5697">
        <v>92</v>
      </c>
      <c r="C5697" s="1">
        <f>hyperlink("https://hetutrechtsarchief.nl/collectie/49E1903E3A575345A3CE700E0B82AA06","Van Jordanus Hoorn tot Max Keuris gemeentelijke kunstcollectie naar Museum Flehite Gerard Raven en Piek Theisens 4-7 2013")</f>
        <v>0</v>
      </c>
      <c r="D5697" s="1">
        <f>hyperlink("http://dspace.library.uu.nl/handle/1874/294218","Van Jordanus Hoorn tot Max Keuris gemeentelijke kunstcollectie naar Museum Flehite Piek Raven Gerard Theisens 4-7 2013")</f>
        <v>0</v>
      </c>
    </row>
    <row r="5698" spans="2:4">
      <c r="B5698">
        <v>58</v>
      </c>
      <c r="C5698" s="1">
        <f>hyperlink("https://hetutrechtsarchief.nl/collectie/4F92AB48D71F592DB781C12D9A1A9EC2","Bier in het Eemhuis eerste expositie van Archief Eemland Babs den Dulk 8-9 2016")</f>
        <v>0</v>
      </c>
      <c r="D5698" s="1">
        <f>hyperlink("http://dspace.library.uu.nl/handle/1874/294219","Erfgoed TV zappen door de foto s van archief Eemland Georges Elissen 8-9 2013")</f>
        <v>0</v>
      </c>
    </row>
    <row r="5699" spans="2:4">
      <c r="B5699">
        <v>100</v>
      </c>
      <c r="C5699" s="1">
        <f>hyperlink("https://hetutrechtsarchief.nl/collectie/CFE9678C4A5B59BCA1F76672C5210939","Drie Dikjes hoe drie broertjes op rij overleden Gerard Raven 11 2013")</f>
        <v>0</v>
      </c>
      <c r="D5699" s="1">
        <f>hyperlink("http://dspace.library.uu.nl/handle/1874/294220","Drie Dikjes hoe drie broertjes op rij overleden Gerard Raven 11 2013")</f>
        <v>0</v>
      </c>
    </row>
    <row r="5700" spans="2:4">
      <c r="B5700">
        <v>56</v>
      </c>
      <c r="C5700" s="1">
        <f>hyperlink("https://hetutrechtsarchief.nl/collectie/2079728B0A9751FC99863C69877DB652","Veenendaal in het vizier Henk van t Veld 71-79 2013")</f>
        <v>0</v>
      </c>
      <c r="D5700" s="1">
        <f>hyperlink("http://dspace.library.uu.nl/handle/1874/294221","Hier gebeurde het Het Rietveldpaviljoen Henk van Tilburg 10 2013")</f>
        <v>0</v>
      </c>
    </row>
    <row r="5701" spans="2:4">
      <c r="B5701">
        <v>100</v>
      </c>
      <c r="C5701" s="1">
        <f>hyperlink("https://hetutrechtsarchief.nl/collectie/0E6ECB751C1C5E5FB84A860135518824","Het glas-in-loodraam van Hemels wie was de ontwerper Theo Miltenburg 12-15 2013")</f>
        <v>0</v>
      </c>
      <c r="D5701" s="1">
        <f>hyperlink("http://dspace.library.uu.nl/handle/1874/294222","Het glas-in-loodraam van Hemels wie was de ontwerper Theo Miltenburg 12-15 2013")</f>
        <v>0</v>
      </c>
    </row>
    <row r="5702" spans="2:4">
      <c r="B5702">
        <v>100</v>
      </c>
      <c r="C5702" s="1">
        <f>hyperlink("https://hetutrechtsarchief.nl/collectie/A145A10135D45BD78D5589A5344F8931","Trouw tot aan de dood tegenpolen Toon Tieland en Johan Traarbach Wichard Maassen 16-17 2013")</f>
        <v>0</v>
      </c>
      <c r="D5702" s="1">
        <f>hyperlink("http://dspace.library.uu.nl/handle/1874/294223","Trouw tot aan de dood tegenpolen Toon Tieland en Johan Traarbach Wichard Maassen 16-17 2013")</f>
        <v>0</v>
      </c>
    </row>
    <row r="5703" spans="2:4">
      <c r="B5703">
        <v>100</v>
      </c>
      <c r="C5703" s="1">
        <f>hyperlink("https://hetutrechtsarchief.nl/collectie/742EF3DC2AEA506691CF709B5E299F25","Markthal voor slagers middeleeuws vleeshuis gelokaliseerd Leen Alberts 18-19 2013")</f>
        <v>0</v>
      </c>
      <c r="D5703" s="1">
        <f>hyperlink("http://dspace.library.uu.nl/handle/1874/294224","Markthal voor slagers middeleeuws vleeshuis gelokaliseerd Leen Alberts 18-19 2013")</f>
        <v>0</v>
      </c>
    </row>
    <row r="5704" spans="2:4">
      <c r="B5704">
        <v>60</v>
      </c>
      <c r="C5704" s="1">
        <f>hyperlink("https://hetutrechtsarchief.nl/collectie/36E1701F9FA05D318264489349658EC7","Romeinen t was schitterend Bettina van Santen 131-133 portr 1997")</f>
        <v>0</v>
      </c>
      <c r="D5704" s="1">
        <f>hyperlink("http://dspace.library.uu.nl/handle/1874/294225","t was schitterend de opvoering van een toneelstuk over de Romeinen Bettina van Santen 131-133 1997")</f>
        <v>0</v>
      </c>
    </row>
    <row r="5705" spans="2:4">
      <c r="B5705">
        <v>96</v>
      </c>
      <c r="C5705" s="1">
        <f>hyperlink("https://hetutrechtsarchief.nl/collectie/AE913ACCD8F6561DB4C46AC8D76BF572","Utrechts oudste watertoren Jos de Meyere 6-8 ill 1998")</f>
        <v>0</v>
      </c>
      <c r="D5705" s="1">
        <f>hyperlink("http://dspace.library.uu.nl/handle/1874/294337","Utrechts oudste watertoren Jos de Meyere 6-8 1998")</f>
        <v>0</v>
      </c>
    </row>
    <row r="5706" spans="2:4">
      <c r="B5706">
        <v>98</v>
      </c>
      <c r="C5706" s="1">
        <f>hyperlink("https://hetutrechtsarchief.nl/collectie/E7087D560E915E6FAB5C247FD803F2A8","De procedure tegen dominee Thomas Huyges te Westbroek voor de classis van Amersfoort 1635-1642 Y E Kortlever 10-15 ill 1998")</f>
        <v>0</v>
      </c>
      <c r="D5706" s="1">
        <f>hyperlink("http://dspace.library.uu.nl/handle/1874/294338","De procedure tegen dominee Thomas Huyges te Westbroek voor de classis van Amersfoort 1635-1642 Y E Kortlever 10-15 1998")</f>
        <v>0</v>
      </c>
    </row>
    <row r="5707" spans="2:4">
      <c r="B5707">
        <v>92</v>
      </c>
      <c r="C5707" s="1">
        <f>hyperlink("https://hetutrechtsarchief.nl/collectie/8D086C9F51565E168FC5597871B9129A","De kanonnen van Olivier van Noort Kees Smit 16-19 ill portr 1998")</f>
        <v>0</v>
      </c>
      <c r="D5707" s="1">
        <f>hyperlink("http://dspace.library.uu.nl/handle/1874/294339","De kanonnen van Olivier van Noort Kees Smit 16-19 1998")</f>
        <v>0</v>
      </c>
    </row>
    <row r="5708" spans="2:4">
      <c r="B5708">
        <v>98</v>
      </c>
      <c r="C5708" s="1">
        <f>hyperlink("https://hetutrechtsarchief.nl/collectie/DE4308BE821E558185DE4CE6AD11806C","Wtheemsche persoonen tweeduizend jaar migranten in Midden-Nederland Ronald Rommes 20-21 ill 1998")</f>
        <v>0</v>
      </c>
      <c r="D5708" s="1">
        <f>hyperlink("http://dspace.library.uu.nl/handle/1874/294340","Wtheemsche persoonen tweeduizend jaar migranten in Midden-Nederland Ronald Rommes 20-21 1998")</f>
        <v>0</v>
      </c>
    </row>
    <row r="5709" spans="2:4">
      <c r="B5709">
        <v>93</v>
      </c>
      <c r="C5709" s="1">
        <f>hyperlink("https://hetutrechtsarchief.nl/collectie/CCD60414488B5F4CA8D2D2799558B911","Interessant ensemble van bouwstijlen Oud-Utrecht op de bres voor behoud Van Sijpesteijnkade Kornee van der Haven fotografie Rob van der Lingen 38-39 2009")</f>
        <v>0</v>
      </c>
      <c r="D5709" s="1">
        <f>hyperlink("http://dspace.library.uu.nl/handle/1874/294341","Interessant ensemble van bouwstijlen Oud-Utrecht op de bres voor behoud Van Sijpesteijnkade Rob van der Haven Kornee van der Lingen 38-39 2009")</f>
        <v>0</v>
      </c>
    </row>
    <row r="5710" spans="2:4">
      <c r="B5710">
        <v>100</v>
      </c>
      <c r="C5710" s="1">
        <f>hyperlink("https://hetutrechtsarchief.nl/collectie/DA9CBAC11AA552468B8F8D5CE1B3A14C","Sloop Gerrit Rietveld College vrijwel zeker Jeroen de Leede 100-102 2010")</f>
        <v>0</v>
      </c>
      <c r="D5710" s="1">
        <f>hyperlink("http://dspace.library.uu.nl/handle/1874/294342","Sloop Gerrit Rietveld College vrijwel zeker Jeroen de Leede 100-102 2010")</f>
        <v>0</v>
      </c>
    </row>
    <row r="5711" spans="2:4">
      <c r="B5711">
        <v>97</v>
      </c>
      <c r="C5711" s="1">
        <f>hyperlink("https://hetutrechtsarchief.nl/collectie/55E84A98B53655ACAF9127629C805F8D","Een herinnering aan de middelste kwarteeuw van de Vereniging Oud Utrecht C L Temminck Groll 40-42 portr 1998")</f>
        <v>0</v>
      </c>
      <c r="D5711" s="1">
        <f>hyperlink("http://dspace.library.uu.nl/handle/1874/294559","Een herinnering aan de middelste kwarteeuw van de Vereniging Oud Utrecht C L Temminck Groll 40-42 1998")</f>
        <v>0</v>
      </c>
    </row>
    <row r="5712" spans="2:4">
      <c r="B5712">
        <v>93</v>
      </c>
      <c r="C5712" s="1">
        <f>hyperlink("https://hetutrechtsarchief.nl/collectie/13E9868E23405CA29CBC6FE47E0DB59B","Wetensw aardigheden uit oude maandbladen van Oud-Utrecht Tj Pot 44-51 ill portr 1998")</f>
        <v>0</v>
      </c>
      <c r="D5712" s="1">
        <f>hyperlink("http://dspace.library.uu.nl/handle/1874/294560","Wetenswaardigheden uit oude maandbladen van Oud-Utrecht Tj Pot 44-51 1998")</f>
        <v>0</v>
      </c>
    </row>
    <row r="5713" spans="2:4">
      <c r="B5713">
        <v>97</v>
      </c>
      <c r="C5713" s="1">
        <f>hyperlink("https://hetutrechtsarchief.nl/collectie/6B5CFA340789513EB962FCDE400C4368","De vreemdeling buitenlandse immigranten in de Utrechtse wijken in het midden van de negentiende eeuw Marlou Schrover 52-53 ill plgr 1998")</f>
        <v>0</v>
      </c>
      <c r="D5713" s="1">
        <f>hyperlink("http://dspace.library.uu.nl/handle/1874/294561","De vreemdeling buitenlandse immigranten in de Utrechtse wijken in het midden van de negentiende eeuw Marlou Schrover 52-53 1998")</f>
        <v>0</v>
      </c>
    </row>
    <row r="5714" spans="2:4">
      <c r="B5714">
        <v>92</v>
      </c>
      <c r="C5714" s="1">
        <f>hyperlink("https://hetutrechtsarchief.nl/collectie/A74E662CCF2C5D9A88ABB6D720D78475","Kind aan de Nieuwegracht omstreeks 1925 J Heringa 54-56 ill portr 1998")</f>
        <v>0</v>
      </c>
      <c r="D5714" s="1">
        <f>hyperlink("http://dspace.library.uu.nl/handle/1874/294562","Kind aan de Nieuwegracht omstreeks 1925 J Heringa 54-56 1998")</f>
        <v>0</v>
      </c>
    </row>
    <row r="5715" spans="2:4">
      <c r="B5715">
        <v>97</v>
      </c>
      <c r="C5715" s="1">
        <f>hyperlink("https://hetutrechtsarchief.nl/collectie/9B002C5E41F853D2806937C30633F63F","Historische verenigingen en de 21ste eeuw Jo Jamar 58-60 ill 1998")</f>
        <v>0</v>
      </c>
      <c r="D5715" s="1">
        <f>hyperlink("http://dspace.library.uu.nl/handle/1874/294563","Historische verenigingen en de 21ste eeuw Jo Jamar 58-60 1998")</f>
        <v>0</v>
      </c>
    </row>
    <row r="5716" spans="2:4">
      <c r="B5716">
        <v>97</v>
      </c>
      <c r="C5716" s="1">
        <f>hyperlink("https://hetutrechtsarchief.nl/collectie/A289E20A2ADF5DB9ADC59F1689E9F89F","De Lijnpad-Rijn heeft niet bestaan L A van der Tuuk 61-64 krt 1998")</f>
        <v>0</v>
      </c>
      <c r="D5716" s="1">
        <f>hyperlink("http://dspace.library.uu.nl/handle/1874/294564","De Lijnpad-Rijn heeft niet bestaan L A van der Tuuk 61-64 1998")</f>
        <v>0</v>
      </c>
    </row>
    <row r="5717" spans="2:4">
      <c r="B5717">
        <v>99</v>
      </c>
      <c r="C5717" s="1">
        <f>hyperlink("https://hetutrechtsarchief.nl/collectie/C2C8C7A780B0522AB8879C7720590F52","Geen ongewenschte en aanstootgevende vormen van vermaak het Entertainment Committee in Utrecht inspanningen voor zedelijk vermaak van de Canadese bevrijders Elsbeth Aartse 72-78 ill 1998")</f>
        <v>0</v>
      </c>
      <c r="D5717" s="1">
        <f>hyperlink("http://dspace.library.uu.nl/handle/1874/294565","Geen ongewenschte en aanstootgevende vormen van vermaak het Entertainment Committee in Utrecht inspanningen voor zedelijk vermaak van de Canadese bevrijders Elsbeth Aartse 72-78 1998")</f>
        <v>0</v>
      </c>
    </row>
    <row r="5718" spans="2:4">
      <c r="B5718">
        <v>97</v>
      </c>
      <c r="C5718" s="1">
        <f>hyperlink("https://hetutrechtsarchief.nl/collectie/8736B6A1B4775BAB8F799B5947CAF717","De zoektocht naar een Utrechtse provincievlag Jos Poels 83-85 tek 1998")</f>
        <v>0</v>
      </c>
      <c r="D5718" s="1">
        <f>hyperlink("http://dspace.library.uu.nl/handle/1874/294566","De zoektocht naar een Utrechtse provincievlag Jos Poels 83-85 1998")</f>
        <v>0</v>
      </c>
    </row>
    <row r="5719" spans="2:4">
      <c r="B5719">
        <v>100</v>
      </c>
      <c r="C5719" s="1">
        <f>hyperlink("https://hetutrechtsarchief.nl/collectie/80CC8099DEF15A989A1A3C2FE2C7BC1B","Nieuw drinkwater in de provincie Utrecht H J Roelofs 87 1998")</f>
        <v>0</v>
      </c>
      <c r="D5719" s="1">
        <f>hyperlink("http://dspace.library.uu.nl/handle/1874/294567","Nieuw drinkwater in de provincie Utrecht H J Roelofs 87 1998")</f>
        <v>0</v>
      </c>
    </row>
    <row r="5720" spans="2:4">
      <c r="B5720">
        <v>91</v>
      </c>
      <c r="C5720" s="1">
        <f>hyperlink("https://hetutrechtsarchief.nl/collectie/394860A0E5FC5F4BA922F708ACDE4F17","Bijna 75 maal een kroniek Janna Leguijt 32-39 ill portr 1998")</f>
        <v>0</v>
      </c>
      <c r="D5720" s="1">
        <f>hyperlink("http://dspace.library.uu.nl/handle/1874/294568","Bijna 75 maal een kroniek Janna Leguijt 32-39 1998")</f>
        <v>0</v>
      </c>
    </row>
    <row r="5721" spans="2:4">
      <c r="B5721">
        <v>93</v>
      </c>
      <c r="C5721" s="1">
        <f>hyperlink("https://hetutrechtsarchief.nl/collectie/B6438E9EEE14577FBFE0F203AD93DEE6","De vreemdeling caf Italien R Rommes 86 portr 1998")</f>
        <v>0</v>
      </c>
      <c r="D5721" s="1">
        <f>hyperlink("http://dspace.library.uu.nl/handle/1874/294569","De vreemdeling caf Italien R Rommes 86-87 1998")</f>
        <v>0</v>
      </c>
    </row>
    <row r="5722" spans="2:4">
      <c r="B5722">
        <v>87</v>
      </c>
      <c r="C5722" s="1">
        <f>hyperlink("https://hetutrechtsarchief.nl/collectie/57CAA5F75C4B5E5BADDCEEB8146BFA74","Theodore Dentz dens aevi Tj Pot en Th H Forma 121-123 ill 1998")</f>
        <v>0</v>
      </c>
      <c r="D5722" s="1">
        <f>hyperlink("http://dspace.library.uu.nl/handle/1874/294732","Theodore Dentz dens aevi Th H Pot Tj Forma 121-123 1998")</f>
        <v>0</v>
      </c>
    </row>
    <row r="5723" spans="2:4">
      <c r="B5723">
        <v>99</v>
      </c>
      <c r="C5723" s="1">
        <f>hyperlink("https://hetutrechtsarchief.nl/collectie/E2EC3E4271AD5EBCA2FA04EADCB10FF4","Het leven van de gifmengster Hester Rebecca Nepping 1774-1812 gerechtelijk vooronderzoek naar een vergiftiging Annabelle Meddens-van Borselen 124-129 ill 1998")</f>
        <v>0</v>
      </c>
      <c r="D5723" s="1">
        <f>hyperlink("http://dspace.library.uu.nl/handle/1874/294733","Het leven van de gifmengster Hester Rebecca Nepping 1774-1812 gerechtelijk vooronderzoek naar een vergiftiging Annabelle Meddens-van Borselen 124-129 1998")</f>
        <v>0</v>
      </c>
    </row>
    <row r="5724" spans="2:4">
      <c r="B5724">
        <v>72</v>
      </c>
      <c r="C5724" s="1">
        <f>hyperlink("https://hetutrechtsarchief.nl/collectie/EEA105994F9F5EABB9F159E1DB68728E","Brieven uit Holland deel 2 opgedolven en uit het Deens vertaald door Willem Ouwerkerk 132-135 ill portr 1998")</f>
        <v>0</v>
      </c>
      <c r="D5724" s="1">
        <f>hyperlink("http://dspace.library.uu.nl/handle/1874/294734","Brieven uit Holland opgedolven uit het Deens en vertaald door Willem Ouwerkerk Willem Scharling Henrik Ouwerkerk 96-99 nr 5 p 132-135 1998")</f>
        <v>0</v>
      </c>
    </row>
    <row r="5725" spans="2:4">
      <c r="B5725">
        <v>97</v>
      </c>
      <c r="C5725" s="1">
        <f>hyperlink("https://hetutrechtsarchief.nl/collectie/47125C8E9EF25A09822BC7AEB745D2E1","Binnenkijken in 1914- 15 Nettie Stoppelenburg 108-111 ill 1998")</f>
        <v>0</v>
      </c>
      <c r="D5725" s="1">
        <f>hyperlink("http://dspace.library.uu.nl/handle/1874/294735","Binnenkijken in 1914- 15 Nettie Stoppelenburg 108-111 1998")</f>
        <v>0</v>
      </c>
    </row>
    <row r="5726" spans="2:4">
      <c r="B5726">
        <v>96</v>
      </c>
      <c r="C5726" s="1">
        <f>hyperlink("https://hetutrechtsarchief.nl/collectie/D6D19437B4BD5E33973B1C09123DCB7A","Italianen in Utrecht Tarq Hoekstra 112-113 ill 1998")</f>
        <v>0</v>
      </c>
      <c r="D5726" s="1">
        <f>hyperlink("http://dspace.library.uu.nl/handle/1874/294736","Italianen in Utrecht Tarq Hoekstra 112-113 1998")</f>
        <v>0</v>
      </c>
    </row>
    <row r="5727" spans="2:4">
      <c r="B5727">
        <v>97</v>
      </c>
      <c r="C5727" s="1">
        <f>hyperlink("https://hetutrechtsarchief.nl/collectie/D801D9A3BBF9526197AF5AFC8FF7A4E3","De multiculturele samenleving omstreeks 1650 Ronald Rommes 106-107 ill 1998")</f>
        <v>0</v>
      </c>
      <c r="D5727" s="1">
        <f>hyperlink("http://dspace.library.uu.nl/handle/1874/294737","De multiculturele samenleving omstreeks 1650 Ronald Rommes 106-107 1998")</f>
        <v>0</v>
      </c>
    </row>
    <row r="5728" spans="2:4">
      <c r="B5728">
        <v>55</v>
      </c>
      <c r="C5728" s="1">
        <f>hyperlink("https://hetutrechtsarchief.nl/collectie/366CAA9BDE375965A553292C54F749E2","De betekenis van het archief-C Veenhof voor het kerkhistorisch onderzoek George Harinck 10-13 portr 1998")</f>
        <v>0</v>
      </c>
      <c r="D5728" s="1">
        <f>hyperlink("http://dspace.library.uu.nl/handle/1874/294738","Aandenkens aan Utrecht als metaalstad verdwijnen n voor en historische machinefabriek bedreigd Hans Buiter 146-148 1998")</f>
        <v>0</v>
      </c>
    </row>
    <row r="5729" spans="2:4">
      <c r="B5729">
        <v>54</v>
      </c>
      <c r="C5729" s="1">
        <f>hyperlink("https://hetutrechtsarchief.nl/collectie/D2C02418792C5AF3B77FA26C7BD83F7C","Sint Nicolaas heeft de tijd P H Damst 55 1968")</f>
        <v>0</v>
      </c>
      <c r="D5729" s="1">
        <f>hyperlink("http://dspace.library.uu.nl/handle/1874/294739","Sinter Niclaes Susanne Weide 149 1998")</f>
        <v>0</v>
      </c>
    </row>
    <row r="5730" spans="2:4">
      <c r="B5730">
        <v>63</v>
      </c>
      <c r="C5730" s="1">
        <f>hyperlink("https://hetutrechtsarchief.nl/collectie/898B01A162BDDBEFE0534701000A8470","Een slot wordt ontsloten Loenersloot Roland Blijdenstijn 10-14 2012")</f>
        <v>0</v>
      </c>
      <c r="D5730" s="1">
        <f>hyperlink("http://dspace.library.uu.nl/handle/1874/294740","Het pompstation te Soestduinen Roland Blijdenstijn 153-154 1998")</f>
        <v>0</v>
      </c>
    </row>
    <row r="5731" spans="2:4">
      <c r="B5731">
        <v>60</v>
      </c>
      <c r="C5731" s="1">
        <f>hyperlink("https://hetutrechtsarchief.nl/collectie/57C762AB45CC5A21935AB363CF323424","Monumentenlijst Amersfoort opnieuw bekeken Max Cramer 8-9 2004")</f>
        <v>0</v>
      </c>
      <c r="D5731" s="1">
        <f>hyperlink("http://dspace.library.uu.nl/handle/1874/294741","Belgenmonument te Amersfoort plannen voor restauratie Max Cramer 157-158 1998")</f>
        <v>0</v>
      </c>
    </row>
    <row r="5732" spans="2:4">
      <c r="B5732">
        <v>62</v>
      </c>
      <c r="C5732" s="1">
        <f>hyperlink("https://hetutrechtsarchief.nl/collectie/689635E1852A51E9A619AEB9FB233E9D","Oude huizennamen in ere hersteld - E 70 1929")</f>
        <v>0</v>
      </c>
      <c r="D5732" s="1">
        <f>hyperlink("http://dspace.library.uu.nl/handle/1874/294742","Een Oud-Utrechter in ere hersteld Susanne Weide 150-152 1998")</f>
        <v>0</v>
      </c>
    </row>
    <row r="5733" spans="2:4">
      <c r="B5733">
        <v>78</v>
      </c>
      <c r="C5733" s="1">
        <f>hyperlink("https://hetutrechtsarchief.nl/collectie/5017B36D4B2658B2A7F5B1CC75B3A59B","Huisvesting van het Utrechts Archief het laatste woord nog niet gesproken E den Dool 5-6 ill 1999")</f>
        <v>0</v>
      </c>
      <c r="D5733" s="1">
        <f>hyperlink("http://dspace.library.uu.nl/handle/1874/294834","Huisvesting van het Utrechts Archief het laatste woord nog niet gesproken E den Werkgroep Herstel Leefbaarheid Oude Stadswijken Dool 5-6 1999")</f>
        <v>0</v>
      </c>
    </row>
    <row r="5734" spans="2:4">
      <c r="B5734">
        <v>80</v>
      </c>
      <c r="C5734" s="1">
        <f>hyperlink("https://hetutrechtsarchief.nl/collectie/94CC50E4FFE558629B17DE41A9EDEAE4","De buitenplaats Oud Veldheim in Zeist R P M Rhoen met medew van H de Lanoy Meyer 8-18 ill 1999")</f>
        <v>0</v>
      </c>
      <c r="D5734" s="1">
        <f>hyperlink("http://dspace.library.uu.nl/handle/1874/294835","De buitenplaats Oud-Veldheim in Zeist H de Rhoen R P M Lanoy Meyer 8-11 14-18 1999")</f>
        <v>0</v>
      </c>
    </row>
    <row r="5735" spans="2:4">
      <c r="B5735">
        <v>98</v>
      </c>
      <c r="C5735" s="1">
        <f>hyperlink("https://hetutrechtsarchief.nl/collectie/A348E58067945A75A4D903957F00BF5A","Josua Wilst de dolle torenwachter van de Dom driftkikker verknalde eigen leven met startschot voor homojacht Jeroen van Meerwijk 29-35 ill 1999")</f>
        <v>0</v>
      </c>
      <c r="D5735" s="1">
        <f>hyperlink("http://dspace.library.uu.nl/handle/1874/294836","Josua Wilst de dolle torenwachter van de Dom driftkikker verknalde eigen leven met startschot voor homojacht Jeroen van Meerwijk 29-36 1999")</f>
        <v>0</v>
      </c>
    </row>
    <row r="5736" spans="2:4">
      <c r="B5736">
        <v>100</v>
      </c>
      <c r="C5736" s="1">
        <f>hyperlink("https://hetutrechtsarchief.nl/collectie/DFC3E16C95E056A5A8A3B4B766513EAD","Huisvesting van het Utrecht Archief J T J Jamar 7 1999")</f>
        <v>0</v>
      </c>
      <c r="D5736" s="1">
        <f>hyperlink("http://dspace.library.uu.nl/handle/1874/294837","Huisvesting van het Utrecht Archief J T J Jamar 7 1999")</f>
        <v>0</v>
      </c>
    </row>
    <row r="5737" spans="2:4">
      <c r="B5737">
        <v>64</v>
      </c>
      <c r="C5737" s="1">
        <f>hyperlink("https://hetutrechtsarchief.nl/collectie/385A489BCA8A507D8BB9A16E60F575C6","Oosterspoorweg moet wijken J N van der Meulen 52-59 1999")</f>
        <v>0</v>
      </c>
      <c r="D5737" s="1">
        <f>hyperlink("http://dspace.library.uu.nl/handle/1874/294959","Oosterspoorweg moet wijken met een spoorweg door t plantsoen verliest Utrecht zijn fatsoen J N van der Meulen 52-59 1999")</f>
        <v>0</v>
      </c>
    </row>
    <row r="5738" spans="2:4">
      <c r="B5738">
        <v>95</v>
      </c>
      <c r="C5738" s="1">
        <f>hyperlink("https://hetutrechtsarchief.nl/collectie/FC55D50E68D351ADBAE49DF68682C104","Alcuin kreeg een bord pap in Utrecht aan de Rijn Kees Smit 67-69 1999")</f>
        <v>0</v>
      </c>
      <c r="D5738" s="1">
        <f>hyperlink("http://dspace.library.uu.nl/handle/1874/294960","Alcuin kreeg een bord pap in Utrecht aan de Rijn Kees Alcuin Smit 67-69 1999")</f>
        <v>0</v>
      </c>
    </row>
    <row r="5739" spans="2:4">
      <c r="B5739">
        <v>100</v>
      </c>
      <c r="C5739" s="1">
        <f>hyperlink("https://hetutrechtsarchief.nl/collectie/702ADBA4789B5B8CA4CFE6017A79F07C","Brieven van een gemobiliseerde 1939-1940 de mobilisatie van 1939-1940 op Fort bij Rhijnauwen en Fort bij Vleuten D C Leegwater 77-85 1999")</f>
        <v>0</v>
      </c>
      <c r="D5739" s="1">
        <f>hyperlink("http://dspace.library.uu.nl/handle/1874/294961","Brieven van een gemobiliseerde 1939-1940 de mobilisatie van 1939-1940 op Fort bij Rhijnauwen en Fort bij Vleuten D C Leegwater 77-85 1999")</f>
        <v>0</v>
      </c>
    </row>
    <row r="5740" spans="2:4">
      <c r="B5740">
        <v>100</v>
      </c>
      <c r="C5740" s="1">
        <f>hyperlink("https://hetutrechtsarchief.nl/collectie/A8F78858F40D5382A13C78BF01DAE923","De ambtsketen van Utrecht Janjaap Luijt 86-89 1999")</f>
        <v>0</v>
      </c>
      <c r="D5740" s="1">
        <f>hyperlink("http://dspace.library.uu.nl/handle/1874/294962","De ambtsketen van Utrecht Janjaap Luijt 86-89 1999")</f>
        <v>0</v>
      </c>
    </row>
    <row r="5741" spans="2:4">
      <c r="B5741">
        <v>99</v>
      </c>
      <c r="C5741" s="1">
        <f>hyperlink("https://hetutrechtsarchief.nl/collectie/8BA2B144292257F5A96FFC4FBB5374D8","Vooruitzien met een terugblik de Piramide van Austerlitz R Loenen 101-110 1999")</f>
        <v>0</v>
      </c>
      <c r="D5741" s="1">
        <f>hyperlink("http://dspace.library.uu.nl/handle/1874/294963","Vooruitzien met een terugblik de Piramide van Austerlitz R Loenen 101-111 1999")</f>
        <v>0</v>
      </c>
    </row>
    <row r="5742" spans="2:4">
      <c r="B5742">
        <v>100</v>
      </c>
      <c r="C5742" s="1">
        <f>hyperlink("https://hetutrechtsarchief.nl/collectie/A99A8867BA7759FD9096212AA6FB3E67","Neude en Kintgenshaven mythe over kind en water L A van der Tuuk 112-115 1999")</f>
        <v>0</v>
      </c>
      <c r="D5742" s="1">
        <f>hyperlink("http://dspace.library.uu.nl/handle/1874/294964","Neude en Kintgenshaven mythe over kind en water L A van der Tuuk 112-115 1999")</f>
        <v>0</v>
      </c>
    </row>
    <row r="5743" spans="2:4">
      <c r="B5743">
        <v>100</v>
      </c>
      <c r="C5743" s="1">
        <f>hyperlink("https://hetutrechtsarchief.nl/collectie/B3B9830FA5F45AC3809B6C4697347C3F","Onthulling console Olivier van Noort 116 1999")</f>
        <v>0</v>
      </c>
      <c r="D5743" s="1">
        <f>hyperlink("http://dspace.library.uu.nl/handle/1874/294965","Onthulling console Olivier van Noort 116 1999")</f>
        <v>0</v>
      </c>
    </row>
    <row r="5744" spans="2:4">
      <c r="B5744">
        <v>100</v>
      </c>
      <c r="C5744" s="1">
        <f>hyperlink("https://hetutrechtsarchief.nl/collectie/8B78BCAB22525528AEB9409F6C0E32CC","Het befaamde Utrechtse pompwater J G Bokma 125-130 1999")</f>
        <v>0</v>
      </c>
      <c r="D5744" s="1">
        <f>hyperlink("http://dspace.library.uu.nl/handle/1874/294966","Het befaamde Utrechtse pompwater J G Bokma 125-130 1999")</f>
        <v>0</v>
      </c>
    </row>
    <row r="5745" spans="2:4">
      <c r="B5745">
        <v>100</v>
      </c>
      <c r="C5745" s="1">
        <f>hyperlink("https://hetutrechtsarchief.nl/collectie/511E4670F3CA5DB4BD24D7524B701E52","Drinkgelagen en dobbelspelen in de Domstad P D t Hart 131-132 1999")</f>
        <v>0</v>
      </c>
      <c r="D5745" s="1">
        <f>hyperlink("http://dspace.library.uu.nl/handle/1874/294967","Drinkgelagen en dobbelspelen in de Domstad P D t Hart 131-132 1999")</f>
        <v>0</v>
      </c>
    </row>
    <row r="5746" spans="2:4">
      <c r="B5746">
        <v>96</v>
      </c>
      <c r="C5746" s="1">
        <f>hyperlink("https://hetutrechtsarchief.nl/collectie/F7795D1CE1425E9A888BC7117861BF64","Vondsten met een luchtje Tj Pot 135-139 1999")</f>
        <v>0</v>
      </c>
      <c r="D5746" s="1">
        <f>hyperlink("http://dspace.library.uu.nl/handle/1874/294968","Vondsten met een luchtje Tjeerd Pot 135-139 1999")</f>
        <v>0</v>
      </c>
    </row>
    <row r="5747" spans="2:4">
      <c r="B5747">
        <v>100</v>
      </c>
      <c r="C5747" s="1">
        <f>hyperlink("https://hetutrechtsarchief.nl/collectie/9C3CB2F5FDBC5DEBB8120B7968C82A34","Provinciemaagd met mijter de titelprent van het Groot placcaatboek van Van de Water Kees Smit 6-8 2000")</f>
        <v>0</v>
      </c>
      <c r="D5747" s="1">
        <f>hyperlink("http://dspace.library.uu.nl/handle/1874/295022","Provinciemaagd met mijter de titelprent van het Groot placcaatboek van Van de Water Kees Smit 6-8 2000")</f>
        <v>0</v>
      </c>
    </row>
    <row r="5748" spans="2:4">
      <c r="B5748">
        <v>100</v>
      </c>
      <c r="C5748" s="1">
        <f>hyperlink("https://hetutrechtsarchief.nl/collectie/EABA8A233E065E21B146898E8059B15B","Cajus en Titia geloof hoop en liefde in Utrecht rond een huwelijksdispensatie in de Tweede Wereldoorlog Henk Uppelschoten 9-14 2000")</f>
        <v>0</v>
      </c>
      <c r="D5748" s="1">
        <f>hyperlink("http://dspace.library.uu.nl/handle/1874/295023","Cajus en Titia geloof hoop en liefde in Utrecht rond een huwelijksdispensatie in de Tweede Wereldoorlog Henk Uppelschoten 9-14 2000")</f>
        <v>0</v>
      </c>
    </row>
    <row r="5749" spans="2:4">
      <c r="B5749">
        <v>97</v>
      </c>
      <c r="C5749" s="1">
        <f>hyperlink("https://hetutrechtsarchief.nl/collectie/81E3C3A1E78E5ECFA5D56601954D2C9C","Stadstuinen Tolien Wilmer 15-18 2000")</f>
        <v>0</v>
      </c>
      <c r="D5749" s="1">
        <f>hyperlink("http://dspace.library.uu.nl/handle/1874/295024","Stadstuinen Colien Wilmer 15-18 2000")</f>
        <v>0</v>
      </c>
    </row>
    <row r="5750" spans="2:4">
      <c r="B5750">
        <v>82</v>
      </c>
      <c r="C5750" s="1">
        <f>hyperlink("https://hetutrechtsarchief.nl/collectie/7970C1F9344358658766C1218A6AE45C","Aardkundige monumenten het zwerfsteneneiland Maarn Wim Hoogendoorn 23-24 2000")</f>
        <v>0</v>
      </c>
      <c r="D5750" s="1">
        <f>hyperlink("http://dspace.library.uu.nl/handle/1874/295025","Het zwerfsteneneiland Maarn Wim Hoogendoorn 23-24 2000")</f>
        <v>0</v>
      </c>
    </row>
    <row r="5751" spans="2:4">
      <c r="B5751">
        <v>100</v>
      </c>
      <c r="C5751" s="1">
        <f>hyperlink("https://hetutrechtsarchief.nl/collectie/F7C2DC4E2EA95961B5921C3496556C34","Het Duitse Huis een wonder in Utrecht Hedde Biesma 33-37 2000")</f>
        <v>0</v>
      </c>
      <c r="D5751" s="1">
        <f>hyperlink("http://dspace.library.uu.nl/handle/1874/295026","Het Duitse Huis een wonder in Utrecht Hedde Biesma 33-37 2000")</f>
        <v>0</v>
      </c>
    </row>
    <row r="5752" spans="2:4">
      <c r="B5752">
        <v>100</v>
      </c>
      <c r="C5752" s="1">
        <f>hyperlink("https://hetutrechtsarchief.nl/collectie/5F20B75C087B5F2CA7F018059E991C1F","Karel V en Utrecht 1528-1555 de haat-liefde verhouding tussen een stad en haar keizer Llewellyn Bogaers 38-49 2000")</f>
        <v>0</v>
      </c>
      <c r="D5752" s="1">
        <f>hyperlink("http://dspace.library.uu.nl/handle/1874/295027","Karel V en Utrecht 1528-1555 de haat-liefde verhouding tussen een stad en haar keizer Llewellyn Bogaers 38-49 2000")</f>
        <v>0</v>
      </c>
    </row>
    <row r="5753" spans="2:4">
      <c r="B5753">
        <v>93</v>
      </c>
      <c r="C5753" s="1">
        <f>hyperlink("https://hetutrechtsarchief.nl/collectie/BF942EB356275F568A5B064EDD9C82B0","Tuinen in Utrecht van Schoonoord tot Flora s Hof de leertijd van tuinarchitect Hendrik van Lunteren Pien Lammertse-Tjalma 50-53 2000")</f>
        <v>0</v>
      </c>
      <c r="D5753" s="1">
        <f>hyperlink("http://dspace.library.uu.nl/handle/1874/295028","Van Schoonoord tot Flora s Hof de leertijd van tuinarchitect Hendrik van Lunteren Pien Lammertse-Tjalma 50-53 2000")</f>
        <v>0</v>
      </c>
    </row>
    <row r="5754" spans="2:4">
      <c r="B5754">
        <v>100</v>
      </c>
      <c r="C5754" s="1">
        <f>hyperlink("https://hetutrechtsarchief.nl/collectie/CD50382E8CF959EEB6959C444E8CF81E","Laat maar waaien Wim Hoogendoorn 54-55 2000")</f>
        <v>0</v>
      </c>
      <c r="D5754" s="1">
        <f>hyperlink("http://dspace.library.uu.nl/handle/1874/295029","Laat maar waaien Wim Hoogendoorn 54-55 2000")</f>
        <v>0</v>
      </c>
    </row>
    <row r="5755" spans="2:4">
      <c r="B5755">
        <v>100</v>
      </c>
      <c r="C5755" s="1">
        <f>hyperlink("https://hetutrechtsarchief.nl/collectie/E414530FF2BF569A97A5FBDF4934773F","De eerste ambtsketen van de burgemeester van Zeist R P M Rhoen 65-68 2000")</f>
        <v>0</v>
      </c>
      <c r="D5755" s="1">
        <f>hyperlink("http://dspace.library.uu.nl/handle/1874/295101","De eerste ambtsketen van de burgemeester van Zeist R P M Rhoen 65-68 2000")</f>
        <v>0</v>
      </c>
    </row>
    <row r="5756" spans="2:4">
      <c r="B5756">
        <v>91</v>
      </c>
      <c r="C5756" s="1">
        <f>hyperlink("https://hetutrechtsarchief.nl/collectie/BE8FCAE2A5D350BBA38AE21AA72DBA2F","Tuinen in Utrecht de Nieuwe Baan met de plaatsen de Oorsprong en het Hoogeland Pien Lammertse-Tjalma 69-73 2000")</f>
        <v>0</v>
      </c>
      <c r="D5756" s="1">
        <f>hyperlink("http://dspace.library.uu.nl/handle/1874/295102","De Nieuwe Baan met de plaatsen de Oorsprong en het Hoogeland Pien Lammertse-Tjalma 69-73 2000")</f>
        <v>0</v>
      </c>
    </row>
    <row r="5757" spans="2:4">
      <c r="B5757">
        <v>84</v>
      </c>
      <c r="C5757" s="1">
        <f>hyperlink("https://hetutrechtsarchief.nl/collectie/E1B24751746A5B3E9121D54040119030","Een lied op een glas A G Rauws en Katrijn Kuypers 76-77 2000")</f>
        <v>0</v>
      </c>
      <c r="D5757" s="1">
        <f>hyperlink("http://dspace.library.uu.nl/handle/1874/295156","Een lied op een glas Katrijn Rauws A G Kuypers 76-77 2000")</f>
        <v>0</v>
      </c>
    </row>
    <row r="5758" spans="2:4">
      <c r="B5758">
        <v>100</v>
      </c>
      <c r="C5758" s="1">
        <f>hyperlink("https://hetutrechtsarchief.nl/collectie/4CE88F89F01E59ED9C43B996DE3FB265","Voorzetsels B J Martens van Vliet 78-80 2000")</f>
        <v>0</v>
      </c>
      <c r="D5758" s="1">
        <f>hyperlink("http://dspace.library.uu.nl/handle/1874/295157","Voorzetsels B J Martens van Vliet 78-80 2000")</f>
        <v>0</v>
      </c>
    </row>
    <row r="5759" spans="2:4">
      <c r="B5759">
        <v>83</v>
      </c>
      <c r="C5759" s="1">
        <f>hyperlink("https://hetutrechtsarchief.nl/collectie/78B2CF9AC2215A69B7BD6835B52D8340","Aardkundige monumenten waar de blanke top der duinen Wim Hoogendoorn 82-84 2000")</f>
        <v>0</v>
      </c>
      <c r="D5759" s="1">
        <f>hyperlink("http://dspace.library.uu.nl/handle/1874/295158","Waar de blanke top der duinen Wim Hoogendoorn 82-84 2000")</f>
        <v>0</v>
      </c>
    </row>
    <row r="5760" spans="2:4">
      <c r="B5760">
        <v>91</v>
      </c>
      <c r="C5760" s="1">
        <f>hyperlink("https://hetutrechtsarchief.nl/collectie/92B4786D184F51889EEE2232693FA9FE","In memoriam een weldoenster bis P A Blok 120 2000")</f>
        <v>0</v>
      </c>
      <c r="D5760" s="1">
        <f>hyperlink("http://dspace.library.uu.nl/handle/1874/295229","In memoriam een weldoenster bis P A Blok 64 nr 5 p 120 2000")</f>
        <v>0</v>
      </c>
    </row>
    <row r="5761" spans="2:4">
      <c r="B5761">
        <v>100</v>
      </c>
      <c r="C5761" s="1">
        <f>hyperlink("https://hetutrechtsarchief.nl/collectie/819021DF4D60561D87D5A535F147DA11","In de voetsporen van de meester Vincent van Drie 93-98 2000")</f>
        <v>0</v>
      </c>
      <c r="D5761" s="1">
        <f>hyperlink("http://dspace.library.uu.nl/handle/1874/295230","In de voetsporen van de meester Vincent van Drie 93-98 2000")</f>
        <v>0</v>
      </c>
    </row>
    <row r="5762" spans="2:4">
      <c r="B5762">
        <v>100</v>
      </c>
      <c r="C5762" s="1">
        <f>hyperlink("https://hetutrechtsarchief.nl/collectie/AE6A3A54D7F6566680AC4F9936FBDCD8","De Bruntenhoftuin van gesloten speelhoff naar openbare stadstuin Marijke Donkersloot-de Vrij 104-109 2000")</f>
        <v>0</v>
      </c>
      <c r="D5762" s="1">
        <f>hyperlink("http://dspace.library.uu.nl/handle/1874/295231","De Bruntenhoftuin van gesloten speelhoff naar openbare stadstuin Marijke Donkersloot-de Vrij 104-109 2000")</f>
        <v>0</v>
      </c>
    </row>
    <row r="5763" spans="2:4">
      <c r="B5763">
        <v>84</v>
      </c>
      <c r="C5763" s="1">
        <f>hyperlink("https://hetutrechtsarchief.nl/collectie/7D2BEF009A885609AFB4DAC23CA5C023","Aardkundige monumenten ramptoerisme naar het verleden Wim Hoogendoorn 110-111 2000")</f>
        <v>0</v>
      </c>
      <c r="D5763" s="1">
        <f>hyperlink("http://dspace.library.uu.nl/handle/1874/295232","Ramptoerisme naar het verleden Wim Hoogendoorn 110-111 2000")</f>
        <v>0</v>
      </c>
    </row>
    <row r="5764" spans="2:4">
      <c r="B5764">
        <v>100</v>
      </c>
      <c r="C5764" s="1">
        <f>hyperlink("https://hetutrechtsarchief.nl/collectie/17CF17F116CF5B8C948D5633F40E0043","Mevrouw drs A M Janssens kapitale bijdrage aan historie van Centraal Museum Jos de Meyere 99-103 2000")</f>
        <v>0</v>
      </c>
      <c r="D5764" s="1">
        <f>hyperlink("http://dspace.library.uu.nl/handle/1874/295233","Mevrouw drs A M Janssens kapitale bijdrage aan historie van Centraal Museum Jos de Meyere 99-103 2000")</f>
        <v>0</v>
      </c>
    </row>
    <row r="5765" spans="2:4">
      <c r="B5765">
        <v>91</v>
      </c>
      <c r="C5765" s="1">
        <f>hyperlink("https://hetutrechtsarchief.nl/collectie/BF93B56A84315F278163154B5B4343C7","De oprichting van het Centraal Isra litisch Weeshuis te Utrecht Henk Langenberg en Mieke van Zeben 121-128 2000")</f>
        <v>0</v>
      </c>
      <c r="D5765" s="1">
        <f>hyperlink("http://dspace.library.uu.nl/handle/1874/295304","De oprichting van het Centraal Isra litisch Weeshuis te Utrecht Mieke van Langenberg Henk Zeben 121-128 2000")</f>
        <v>0</v>
      </c>
    </row>
    <row r="5766" spans="2:4">
      <c r="B5766">
        <v>100</v>
      </c>
      <c r="C5766" s="1">
        <f>hyperlink("https://hetutrechtsarchief.nl/collectie/AC9DC710AD455528BB1EF56F33C3E011","Wedrennen in de Johannapolder 1904-1906 D Minkema 129-132 2000")</f>
        <v>0</v>
      </c>
      <c r="D5766" s="1">
        <f>hyperlink("http://dspace.library.uu.nl/handle/1874/295305","Wedrennen in de Johannapolder 1904-1906 D Minkema 129-132 2000")</f>
        <v>0</v>
      </c>
    </row>
    <row r="5767" spans="2:4">
      <c r="B5767">
        <v>100</v>
      </c>
      <c r="C5767" s="1">
        <f>hyperlink("https://hetutrechtsarchief.nl/collectie/076FA1A41EC45DABA008F7E9F3AD6E8D","Een Utrechts beeld van Karel V Jos de Meyere 149-156 2000")</f>
        <v>0</v>
      </c>
      <c r="D5767" s="1">
        <f>hyperlink("http://dspace.library.uu.nl/handle/1874/295306","Een Utrechts beeld van Karel V Jos de Meyere 149-156 2000")</f>
        <v>0</v>
      </c>
    </row>
    <row r="5768" spans="2:4">
      <c r="B5768">
        <v>100</v>
      </c>
      <c r="C5768" s="1">
        <f>hyperlink("https://hetutrechtsarchief.nl/collectie/D680C362CFE053EABEEC0711FC0763C3","De boerderij Groenewoud in de voormalige polder Papendorp Ren van der Mark 157-161 2000")</f>
        <v>0</v>
      </c>
      <c r="D5768" s="1">
        <f>hyperlink("http://dspace.library.uu.nl/handle/1874/295307","De boerderij Groenewoud in de voormalige polder Papendorp Ren van der Mark 157-161 2000")</f>
        <v>0</v>
      </c>
    </row>
    <row r="5769" spans="2:4">
      <c r="B5769">
        <v>93</v>
      </c>
      <c r="C5769" s="1">
        <f>hyperlink("https://hetutrechtsarchief.nl/collectie/6C1F54007A3E52E1873AE9720E95E97B","Tuinen in Utrecht natuur door de kunst geleid De Ruiterberg een buitenplaats in de Kaapse Bossen bij Doorn Sandra Lochem-van der Wel 162-164 2000")</f>
        <v>0</v>
      </c>
      <c r="D5769" s="1">
        <f>hyperlink("http://dspace.library.uu.nl/handle/1874/295308","Natuur door de kunst geleid De Ruiterberg een buitenplaats in de Kaapse Bossen bij Doorn Sandra Lochem-van der Wel 162-164 2000")</f>
        <v>0</v>
      </c>
    </row>
    <row r="5770" spans="2:4">
      <c r="B5770">
        <v>83</v>
      </c>
      <c r="C5770" s="1">
        <f>hyperlink("https://hetutrechtsarchief.nl/collectie/1A7FE3CE30BE5D8A96313C527ABA2333","Aardkundige monumenten Utrechtse dalen naar de top Wim Hoogendoorn 166-167 2000")</f>
        <v>0</v>
      </c>
      <c r="D5770" s="1">
        <f>hyperlink("http://dspace.library.uu.nl/handle/1874/295309","Utrechtse dalen naar de top Wim Hoogendoorn 166-167 2000")</f>
        <v>0</v>
      </c>
    </row>
    <row r="5771" spans="2:4">
      <c r="B5771">
        <v>81</v>
      </c>
      <c r="C5771" s="1">
        <f>hyperlink("https://hetutrechtsarchief.nl/collectie/8ABC790EF3EB5736B45EAA187991D13A","Aardkundige monumenten aangetast waardevol Wim Hoogendoorn 138-140 2000")</f>
        <v>0</v>
      </c>
      <c r="D5771" s="1">
        <f>hyperlink("http://dspace.library.uu.nl/handle/1874/295310","Aangetast waardevol Wim Hoogendoorn 138-140 2000")</f>
        <v>0</v>
      </c>
    </row>
    <row r="5772" spans="2:4">
      <c r="B5772">
        <v>97</v>
      </c>
      <c r="C5772" s="1">
        <f>hyperlink("https://hetutrechtsarchief.nl/collectie/6C8CCCFEB086533985B334273CCFDB7D","Aanvullende informatie over een zalfpotje Janjaap Luijt 134 2000")</f>
        <v>0</v>
      </c>
      <c r="D5772" s="1">
        <f>hyperlink("http://dspace.library.uu.nl/handle/1874/295311","Aanvullende informatie over een zalfpotje JanJaap Luijt 134-135 2000")</f>
        <v>0</v>
      </c>
    </row>
    <row r="5773" spans="2:4">
      <c r="B5773">
        <v>100</v>
      </c>
      <c r="C5773" s="1">
        <f>hyperlink("https://hetutrechtsarchief.nl/collectie/D110F209D2045EE68D63DD3E475945D3","Bij het overlijden van Chris Schut Tolien Wilmer 6-8 2001")</f>
        <v>0</v>
      </c>
      <c r="D5773" s="1">
        <f>hyperlink("http://dspace.library.uu.nl/handle/1874/295341","Bij het overlijden van Chris Schut Tolien Wilmer 6-8 2001")</f>
        <v>0</v>
      </c>
    </row>
    <row r="5774" spans="2:4">
      <c r="B5774">
        <v>100</v>
      </c>
      <c r="C5774" s="1">
        <f>hyperlink("https://hetutrechtsarchief.nl/collectie/6DFF5E0A7F2C521BA2E588315B0C7DDF","Archeologie in de provincie Utrecht S van Dockum 16-17 2001")</f>
        <v>0</v>
      </c>
      <c r="D5774" s="1">
        <f>hyperlink("http://dspace.library.uu.nl/handle/1874/295342","Archeologie in de provincie Utrecht S van Dockum 16-17 2001")</f>
        <v>0</v>
      </c>
    </row>
    <row r="5775" spans="2:4">
      <c r="B5775">
        <v>73</v>
      </c>
      <c r="C5775" s="1">
        <f>hyperlink("https://hetutrechtsarchief.nl/collectie/E5E16BC0232F5FCF86ECD87375EB93AB","Kleine landschapselementen koebochten eilandjes in het polderlandschap Martine Busz en H l ne Hine 22-25 2001")</f>
        <v>0</v>
      </c>
      <c r="D5775" s="1">
        <f>hyperlink("http://dspace.library.uu.nl/handle/1874/295343","Koebochten eilandjes in het polderlandschap H l ne Busz Martine Hine 23-25 2001")</f>
        <v>0</v>
      </c>
    </row>
    <row r="5776" spans="2:4">
      <c r="B5776">
        <v>100</v>
      </c>
      <c r="C5776" s="1">
        <f>hyperlink("https://hetutrechtsarchief.nl/collectie/BE1588CC53075629AD3E909DAD0817A0","Willibrord en de Utrechtse Dom in een Engelse dorpskerk M Verkade 33-35 2001")</f>
        <v>0</v>
      </c>
      <c r="D5776" s="1">
        <f>hyperlink("http://dspace.library.uu.nl/handle/1874/295412","Willibrord en de Utrechtse Dom in een Engelse dorpskerk M Verkade 33-35 2001")</f>
        <v>0</v>
      </c>
    </row>
    <row r="5777" spans="2:4">
      <c r="B5777">
        <v>100</v>
      </c>
      <c r="C5777" s="1">
        <f>hyperlink("https://hetutrechtsarchief.nl/collectie/6F7A78F2749450838A160D7DB44C0234","De geschiedenis van de glasbak of waarin een kleine stad groot kan zijn Milena Veenis 36-40 2001")</f>
        <v>0</v>
      </c>
      <c r="D5777" s="1">
        <f>hyperlink("http://dspace.library.uu.nl/handle/1874/295413","De geschiedenis van de glasbak of waarin een kleine stad groot kan zijn Milena Veenis 36-40 2001")</f>
        <v>0</v>
      </c>
    </row>
    <row r="5778" spans="2:4">
      <c r="B5778">
        <v>100</v>
      </c>
      <c r="C5778" s="1">
        <f>hyperlink("https://hetutrechtsarchief.nl/collectie/01B0270F138C5FB1A683EEDDCC90333C","Stichting Het Utrechts Monumentenfonds een van de kinderen van de Vereniging Oud-Utrecht Peter de Wit 45-46 2001")</f>
        <v>0</v>
      </c>
      <c r="D5778" s="1">
        <f>hyperlink("http://dspace.library.uu.nl/handle/1874/295414","Stichting Het Utrechts Monumentenfonds een van de kinderen van de Vereniging Oud-Utrecht Peter de Wit 45-46 2001")</f>
        <v>0</v>
      </c>
    </row>
    <row r="5779" spans="2:4">
      <c r="B5779">
        <v>90</v>
      </c>
      <c r="C5779" s="1">
        <f>hyperlink("https://hetutrechtsarchief.nl/collectie/7B78D7E7DD845CA284E11B4A6C5F2605","Cultuurhistorische waarden herstel van houtwallen op landgoed Maarsbergen Martine Busz en H l ne Hine 50-52 2001")</f>
        <v>0</v>
      </c>
      <c r="D5779" s="1">
        <f>hyperlink("http://dspace.library.uu.nl/handle/1874/295415","Cultuurhistorische waarden herstel van houtwallen op landgoed Maarsbergen H l ne Busz Martine Hine 50-52 2001")</f>
        <v>0</v>
      </c>
    </row>
    <row r="5780" spans="2:4">
      <c r="B5780">
        <v>100</v>
      </c>
      <c r="C5780" s="1">
        <f>hyperlink("https://hetutrechtsarchief.nl/collectie/F5ACCEB284275086B90194A66E20A2AA","De hennepwerven van Lopik Nettie Stoppelenburg 68-71 2001")</f>
        <v>0</v>
      </c>
      <c r="D5780" s="1">
        <f>hyperlink("http://dspace.library.uu.nl/handle/1874/295416","De hennepwerven van Lopik Nettie Stoppelenburg 68-71 2001")</f>
        <v>0</v>
      </c>
    </row>
    <row r="5781" spans="2:4">
      <c r="B5781">
        <v>86</v>
      </c>
      <c r="C5781" s="1">
        <f>hyperlink("https://hetutrechtsarchief.nl/collectie/B06522F236BF5AD6A7AE39C8972B8CE6","Het erf als spiegel van het landschap Martine Busz en H l ne Hine 78-79 2001")</f>
        <v>0</v>
      </c>
      <c r="D5781" s="1">
        <f>hyperlink("http://dspace.library.uu.nl/handle/1874/295417","Het erf als spiegel van het landschap H l ne Busz Martine Hine 78-79 2001")</f>
        <v>0</v>
      </c>
    </row>
    <row r="5782" spans="2:4">
      <c r="B5782">
        <v>100</v>
      </c>
      <c r="C5782" s="1">
        <f>hyperlink("https://hetutrechtsarchief.nl/collectie/093EDF159C9154DBBF8A76EEB565FA2E","Een school die te duur was de ontstaansgeschiedenis en de bouw van het Internaat van het Christelijk Lyceum te Zeist Geert van Nieuwstadt 61-67 2001")</f>
        <v>0</v>
      </c>
      <c r="D5782" s="1">
        <f>hyperlink("http://dspace.library.uu.nl/handle/1874/295418","Een school die te duur was de ontstaansgeschiedenis en de bouw van het Internaat van het Christelijk Lyceum te Zeist Geert van Nieuwstadt 61-67 2001")</f>
        <v>0</v>
      </c>
    </row>
    <row r="5783" spans="2:4">
      <c r="B5783">
        <v>100</v>
      </c>
      <c r="C5783" s="1">
        <f>hyperlink("https://hetutrechtsarchief.nl/collectie/A3D993359BDC5F3E8630FEBDDE02B0F1","Op zoek naar verborgen verhalen fietstocht door Hoogland en Amersfoort-Noord Imktje Thiecke 4-7 2013")</f>
        <v>0</v>
      </c>
      <c r="D5783" s="1">
        <f>hyperlink("http://dspace.library.uu.nl/handle/1874/295419","Op zoek naar verborgen verhalen fietstocht door Hoogland en Amersfoort-Noord Imktje Thiecke 4-7 2013")</f>
        <v>0</v>
      </c>
    </row>
    <row r="5784" spans="2:4">
      <c r="B5784">
        <v>51</v>
      </c>
      <c r="C5784" s="1">
        <f>hyperlink("https://hetutrechtsarchief.nl/collectie/C23C1C65EC935F5097BD0ECCC7C6866B","Ooit wordt Hoog Catharijne een monument van de functionele architectuur dertig jaar na de opening van Hoog Catharijne Martijn Blekendaal 20- 23 2003")</f>
        <v>0</v>
      </c>
      <c r="D5784" s="1">
        <f>hyperlink("http://dspace.library.uu.nl/handle/1874/29542","Zo werkt dat hier niet gevestigden en buitenstaanders in nieuwe sociale en ruimtelijke kaders Dani l van Hogenstijn Maarten Middelkoop 2008")</f>
        <v>0</v>
      </c>
    </row>
    <row r="5785" spans="2:4">
      <c r="B5785">
        <v>100</v>
      </c>
      <c r="C5785" s="1">
        <f>hyperlink("https://hetutrechtsarchief.nl/collectie/DCF8E9DF7EB25725B45AFD64AA07C5CD","Seminariegebouwen blijvende spil in de stad woonzorgappartementen op historische plek Lisette Breedveld 8-9 2013")</f>
        <v>0</v>
      </c>
      <c r="D5785" s="1">
        <f>hyperlink("http://dspace.library.uu.nl/handle/1874/295420","Seminariegebouwen blijvende spil in de stad woonzorgappartementen op historische plek Lisette Breedveld 8-9 2013")</f>
        <v>0</v>
      </c>
    </row>
    <row r="5786" spans="2:4">
      <c r="B5786">
        <v>100</v>
      </c>
      <c r="C5786" s="1">
        <f>hyperlink("https://hetutrechtsarchief.nl/collectie/308CC0B4B8A754ADBB8D2A60A75F085C","De Angry Young Men van Kattenbroek Fons Asselbergs Ashok Bhalotra Henk van den Broek Trudy de Mooy 10-12 2013")</f>
        <v>0</v>
      </c>
      <c r="D5786" s="1">
        <f>hyperlink("http://dspace.library.uu.nl/handle/1874/295421","De Angry Young Men van Kattenbroek Fons Asselbergs Ashok Bhalotra Henk van den Broek Trudy de Mooy 10-12 2013")</f>
        <v>0</v>
      </c>
    </row>
    <row r="5787" spans="2:4">
      <c r="B5787">
        <v>100</v>
      </c>
      <c r="C5787" s="1">
        <f>hyperlink("https://hetutrechtsarchief.nl/collectie/4CC7A28985F752FA90D6F28918C83F53","Alles water nieuwe vondsten op de Appelmarkt Mattijs Wijker 13 2013")</f>
        <v>0</v>
      </c>
      <c r="D5787" s="1">
        <f>hyperlink("http://dspace.library.uu.nl/handle/1874/295422","Alles water nieuwe vondsten op de Appelmarkt Mattijs Wijker 13 2013")</f>
        <v>0</v>
      </c>
    </row>
    <row r="5788" spans="2:4">
      <c r="B5788">
        <v>100</v>
      </c>
      <c r="C5788" s="1">
        <f>hyperlink("https://hetutrechtsarchief.nl/collectie/5FB6364CB2D2558CA66CADC89C877C61","Zoektocht naar het voorname geslacht Van Caldenborg een intrigerend wapenmedaillon Evelyn Scheepsma 18-19 2013")</f>
        <v>0</v>
      </c>
      <c r="D5788" s="1">
        <f>hyperlink("http://dspace.library.uu.nl/handle/1874/295423","Zoektocht naar het voorname geslacht Van Caldenborg een intrigerend wapenmedaillon Evelyn Scheepsma 18-19 2013")</f>
        <v>0</v>
      </c>
    </row>
    <row r="5789" spans="2:4">
      <c r="B5789">
        <v>54</v>
      </c>
      <c r="C5789" s="1">
        <f>hyperlink("https://hetutrechtsarchief.nl/collectie/474D19CA10AD53F1A8AE39416A3FAE52","Utrechtse regio canons gelanceerd regionaal verleden voor breed publiek toegankelijk Els van de Kam 20-21 2009")</f>
        <v>0</v>
      </c>
      <c r="D5789" s="1">
        <f>hyperlink("http://dspace.library.uu.nl/handle/1874/295424","Videofragmenten beschreven door het publiek 25 jaar Amersfoortse film toegankelijk Tessa van Santen 20-21 2013")</f>
        <v>0</v>
      </c>
    </row>
    <row r="5790" spans="2:4">
      <c r="B5790">
        <v>59</v>
      </c>
      <c r="C5790" s="1">
        <f>hyperlink("https://hetutrechtsarchief.nl/collectie/907564666EA86DA7E0534701000A04DD","Brug op instorten Wally Smits 74-76 2019")</f>
        <v>0</v>
      </c>
      <c r="D5790" s="1">
        <f>hyperlink("http://dspace.library.uu.nl/handle/1874/295425","SPOU Joz Rutten-Nass 74-75 2001")</f>
        <v>0</v>
      </c>
    </row>
    <row r="5791" spans="2:4">
      <c r="B5791">
        <v>100</v>
      </c>
      <c r="C5791" s="1">
        <f>hyperlink("https://hetutrechtsarchief.nl/collectie/B8D69830948151A0BB0C77BD96AA72D7","Die film moeten we hier niet Utrechtse katholieken feministen en voetbalsupporters in protest tegen bioscoopfilms Bert Hogenkamp 89-94 2001")</f>
        <v>0</v>
      </c>
      <c r="D5791" s="1">
        <f>hyperlink("http://dspace.library.uu.nl/handle/1874/295826","Die film moeten we hier niet Utrechtse katholieken feministen en voetbalsupporters in protest tegen bioscoopfilms Bert Hogenkamp 89-94 2001")</f>
        <v>0</v>
      </c>
    </row>
    <row r="5792" spans="2:4">
      <c r="B5792">
        <v>86</v>
      </c>
      <c r="C5792" s="1">
        <f>hyperlink("https://hetutrechtsarchief.nl/collectie/3DAF8B1B02DE5CE6BDF1D5BAEAB9D493","Nieuwe ruimte voor de meanderende beek Martine Busz en H l ne Hine 106-108 2001")</f>
        <v>0</v>
      </c>
      <c r="D5792" s="1">
        <f>hyperlink("http://dspace.library.uu.nl/handle/1874/295827","Nieuwe ruimte voor de meanderende beek H l ne Busz Martine Hine 106-108 2001")</f>
        <v>0</v>
      </c>
    </row>
    <row r="5793" spans="2:4">
      <c r="B5793">
        <v>100</v>
      </c>
      <c r="C5793" s="1">
        <f>hyperlink("https://hetutrechtsarchief.nl/collectie/A4B53BBB7A105C588F8B31B673109E53","Jan Jongerius een bloeiend bedrijf aan het Merwedekanaal Bettina van Santen 96-102 2001")</f>
        <v>0</v>
      </c>
      <c r="D5793" s="1">
        <f>hyperlink("http://dspace.library.uu.nl/handle/1874/295828","Jan Jongerius een bloeiend bedrijf aan het Merwedekanaal Bettina van Santen 96-102 2001")</f>
        <v>0</v>
      </c>
    </row>
    <row r="5794" spans="2:4">
      <c r="B5794">
        <v>80</v>
      </c>
      <c r="C5794" s="1">
        <f>hyperlink("https://hetutrechtsarchief.nl/collectie/62283842E4675B77B07D184C793FB1B1","De familie van Oud-Utrecht Stichting Utrechtse Kastelen Renger de Bruin 103 2001")</f>
        <v>0</v>
      </c>
      <c r="D5794" s="1">
        <f>hyperlink("http://dspace.library.uu.nl/handle/1874/295829","Stichting Utrechtse Kastelen Renger de Bruin 103 2001")</f>
        <v>0</v>
      </c>
    </row>
    <row r="5795" spans="2:4">
      <c r="B5795">
        <v>100</v>
      </c>
      <c r="C5795" s="1">
        <f>hyperlink("https://hetutrechtsarchief.nl/collectie/B7AF13F95AEC5ACDA81BE6EE35DD61E9","Automobiliteit in stad en provincie UItrecht Peter-Eloy Staal 117-122 2001")</f>
        <v>0</v>
      </c>
      <c r="D5795" s="1">
        <f>hyperlink("http://dspace.library.uu.nl/handle/1874/296366","Automobiliteit in stad en provincie UItrecht Peter-Eloy Staal 117-122 2001")</f>
        <v>0</v>
      </c>
    </row>
    <row r="5796" spans="2:4">
      <c r="B5796">
        <v>100</v>
      </c>
      <c r="C5796" s="1">
        <f>hyperlink("https://hetutrechtsarchief.nl/collectie/ACC413622FD655158DFC3DF8FBD8E431","Een autominnend dorp auto s en hun eigenaren in Zeist tussen 1899 en 1919 R P M Rhoen 123-128 2001")</f>
        <v>0</v>
      </c>
      <c r="D5796" s="1">
        <f>hyperlink("http://dspace.library.uu.nl/handle/1874/296367","Een autominnend dorp auto s en hun eigenaren in Zeist tussen 1899 en 1919 R P M Rhoen 123-128 2001")</f>
        <v>0</v>
      </c>
    </row>
    <row r="5797" spans="2:4">
      <c r="B5797">
        <v>100</v>
      </c>
      <c r="C5797" s="1">
        <f>hyperlink("https://hetutrechtsarchief.nl/collectie/15CD60AE049E518489BEDEF51770A676","Aantasting van de Lustwarande of Kogelflesjespolitiek strijd rond de modernisering in de jaren twintig van Rijksweg 25 Hans Buiter 129-133 2001")</f>
        <v>0</v>
      </c>
      <c r="D5797" s="1">
        <f>hyperlink("http://dspace.library.uu.nl/handle/1874/296368","Aantasting van de Lustwarande of Kogelflesjespolitiek strijd rond de modernisering in de jaren twintig van Rijksweg 25 Hans Buiter 129-133 2001")</f>
        <v>0</v>
      </c>
    </row>
    <row r="5798" spans="2:4">
      <c r="B5798">
        <v>84</v>
      </c>
      <c r="C5798" s="1">
        <f>hyperlink("https://hetutrechtsarchief.nl/collectie/EEE50FCBA9EA54198E2F734897AAC52A","Het landschap van Mandron Martine Busz en H l ne Hine 135-136 2001")</f>
        <v>0</v>
      </c>
      <c r="D5798" s="1">
        <f>hyperlink("http://dspace.library.uu.nl/handle/1874/296369","Het landschap van Mandron H l ne Busz Martine Hine 135-136 2001")</f>
        <v>0</v>
      </c>
    </row>
    <row r="5799" spans="2:4">
      <c r="B5799">
        <v>100</v>
      </c>
      <c r="C5799" s="1">
        <f>hyperlink("https://hetutrechtsarchief.nl/collectie/5AA965160FDE51AF804978CD7D870829","Limes en landschap over de uitrusting van de Romeinse rijksgrens in het rivierengebied Erik Graafstal 145-158 2001")</f>
        <v>0</v>
      </c>
      <c r="D5799" s="1">
        <f>hyperlink("http://dspace.library.uu.nl/handle/1874/296370","Limes en landschap over de uitrusting van de Romeinse rijksgrens in het rivierengebied Erik Graafstal 145-158 2001")</f>
        <v>0</v>
      </c>
    </row>
    <row r="5800" spans="2:4">
      <c r="B5800">
        <v>100</v>
      </c>
      <c r="C5800" s="1">
        <f>hyperlink("https://hetutrechtsarchief.nl/collectie/DFCC19765CD2582A97B9B418DFA45C31","De naam het water en de stad de vroegste ontwikkeling van Amersfoort vanuit archeologisch perspectief Francien Snieder 159-163 2001")</f>
        <v>0</v>
      </c>
      <c r="D5800" s="1">
        <f>hyperlink("http://dspace.library.uu.nl/handle/1874/296371","De naam het water en de stad de vroegste ontwikkeling van Amersfoort vanuit archeologisch perspectief Francien Snieder 159-163 2001")</f>
        <v>0</v>
      </c>
    </row>
    <row r="5801" spans="2:4">
      <c r="B5801">
        <v>100</v>
      </c>
      <c r="C5801" s="1">
        <f>hyperlink("https://hetutrechtsarchief.nl/collectie/F52894EE21955F2489B2DA2BB50CAAAC","De vroege topografie van de Utrechtse buitengerechten Oudwijk en Abstede L A van der Tuuk 173-183 2001")</f>
        <v>0</v>
      </c>
      <c r="D5801" s="1">
        <f>hyperlink("http://dspace.library.uu.nl/handle/1874/296372","De vroege topografie van de Utrechtse buitengerechten Oudwijk en Abstede L A van der Tuuk 173-183 2001")</f>
        <v>0</v>
      </c>
    </row>
    <row r="5802" spans="2:4">
      <c r="B5802">
        <v>100</v>
      </c>
      <c r="C5802" s="1">
        <f>hyperlink("https://hetutrechtsarchief.nl/collectie/95A98D0770335C45940631328EDE24E0","Geen enkel liefdewerk is hem vreemd de andere kant van Jan Jongerius Ton H M van Schaik 184-189 2001")</f>
        <v>0</v>
      </c>
      <c r="D5802" s="1">
        <f>hyperlink("http://dspace.library.uu.nl/handle/1874/296373","Geen enkel liefdewerk is hem vreemd de andere kant van Jan Jongerius Ton H M van Schaik 184-189 2001")</f>
        <v>0</v>
      </c>
    </row>
    <row r="5803" spans="2:4">
      <c r="B5803">
        <v>86</v>
      </c>
      <c r="C5803" s="1">
        <f>hyperlink("https://hetutrechtsarchief.nl/collectie/F47219698CBC58C8BC33FF2296B8F092","Herstel van historische voetpaden Martine Busz en H l ne Hine 191-192 2001")</f>
        <v>0</v>
      </c>
      <c r="D5803" s="1">
        <f>hyperlink("http://dspace.library.uu.nl/handle/1874/296374","Herstel van historische voetpaden H l ne Busz Martine Hine 191-192 2001")</f>
        <v>0</v>
      </c>
    </row>
    <row r="5804" spans="2:4">
      <c r="B5804">
        <v>100</v>
      </c>
      <c r="C5804" s="1">
        <f>hyperlink("https://hetutrechtsarchief.nl/collectie/140872DBCB8552CBB5B6E4BEA7458035","Zes vrouwen op een kast het verhaal van de panelen op de beeldenkast in kasteel Sypesteyn Miep Kuijper 6-13 2002")</f>
        <v>0</v>
      </c>
      <c r="D5804" s="1">
        <f>hyperlink("http://dspace.library.uu.nl/handle/1874/296475","Zes vrouwen op een kast het verhaal van de panelen op de beeldenkast in kasteel Sypesteyn Miep Kuijper 6-13 2002")</f>
        <v>0</v>
      </c>
    </row>
    <row r="5805" spans="2:4">
      <c r="B5805">
        <v>100</v>
      </c>
      <c r="C5805" s="1">
        <f>hyperlink("https://hetutrechtsarchief.nl/collectie/63450840268F567D90145C4888864DD3","De kariatide en de Cadillac zeshonderd jaar Stadskraan en Keulse Kraan Kees Smit 18-23 2002")</f>
        <v>0</v>
      </c>
      <c r="D5805" s="1">
        <f>hyperlink("http://dspace.library.uu.nl/handle/1874/296476","De kariatide en de Cadillac zeshonderd jaar Stadskraan en Keulse Kraan Kees Smit 18-23 2002")</f>
        <v>0</v>
      </c>
    </row>
    <row r="5806" spans="2:4">
      <c r="B5806">
        <v>100</v>
      </c>
      <c r="C5806" s="1">
        <f>hyperlink("https://hetutrechtsarchief.nl/collectie/578D238DE47358CBAAB2DC8F823E22FB","Een paerdeken om de luyden op te pijnegen Utrechtse gevangenissen 1 kasteel Vredenburg Tarq Hoekstra 14-16 2002")</f>
        <v>0</v>
      </c>
      <c r="D5806" s="1">
        <f>hyperlink("http://dspace.library.uu.nl/handle/1874/296477","Een paerdeken om de luyden op te pijnegen Utrechtse gevangenissen 1 kasteel Vredenburg Tarq Hoekstra 14-16 2002")</f>
        <v>0</v>
      </c>
    </row>
    <row r="5807" spans="2:4">
      <c r="B5807">
        <v>88</v>
      </c>
      <c r="C5807" s="1">
        <f>hyperlink("https://hetutrechtsarchief.nl/collectie/407E983A606F5D8295E149EB8899F48F","Een leraar in hart en nieren een interview met dr A van Hulzen Bini Biemans en Llewellyn Bogaers 34-37 2002")</f>
        <v>0</v>
      </c>
      <c r="D5807" s="1">
        <f>hyperlink("http://dspace.library.uu.nl/handle/1874/296522","Een leraar in hart en nieren een interview met dr A van Hulzen Llewellyn Biemans Bini Bogaers 34-37 2002")</f>
        <v>0</v>
      </c>
    </row>
    <row r="5808" spans="2:4">
      <c r="B5808">
        <v>95</v>
      </c>
      <c r="C5808" s="1">
        <f>hyperlink("https://hetutrechtsarchief.nl/collectie/FE80CC6B760D5DA0AF561E12C77233E6","Een zoon naar zijn vaders hart de korte Utrechtse academische carri re van Steven Jan van Geuns 1767-1795 Marianne Blaauboer")</f>
        <v>0</v>
      </c>
      <c r="D5808" s="1">
        <f>hyperlink("http://dspace.library.uu.nl/handle/1874/296523","Een zoon naar zijn vaders hart de korte Utrechtse academische carri re van Steven Jan van Geuns 1767 - 1795 Marianne Blaauboer 46-49 2002")</f>
        <v>0</v>
      </c>
    </row>
    <row r="5809" spans="2:4">
      <c r="B5809">
        <v>61</v>
      </c>
      <c r="C5809" s="1">
        <f>hyperlink("https://hetutrechtsarchief.nl/collectie/24A1367DFA215BD292330D493DE505CC","Trajecten door Utrecht de onderzoeksgidsen van Het Utrechts Archief Nettie Stoppelenburg 3-4 2001")</f>
        <v>0</v>
      </c>
      <c r="D5809" s="1">
        <f>hyperlink("http://dspace.library.uu.nl/handle/1874/296524","Een juweel in restauratie de roerige geschiedenis van kasteel Amerongen Nettie Stoppelenburg 62-64 2002")</f>
        <v>0</v>
      </c>
    </row>
    <row r="5810" spans="2:4">
      <c r="B5810">
        <v>60</v>
      </c>
      <c r="C5810" s="1">
        <f>hyperlink("https://hetutrechtsarchief.nl/collectie/ACF4D3960B4759D2B9FEA3895C27CD63","De Minstroom een Utrechts hoverniersgebied Bettina van Santen 24-25 2010")</f>
        <v>0</v>
      </c>
      <c r="D5810" s="1">
        <f>hyperlink("http://dspace.library.uu.nl/handle/1874/296525","De weldaden der eenzaamheid Utrechtse gevangenissen 3 het Wolvenplein Bettina van Santen 71-73 2002")</f>
        <v>0</v>
      </c>
    </row>
    <row r="5811" spans="2:4">
      <c r="B5811">
        <v>54</v>
      </c>
      <c r="C5811" s="1">
        <f>hyperlink("https://hetutrechtsarchief.nl/collectie/D680C362CFE053EABEEC0711FC0763C3","De boerderij Groenewoud in de voormalige polder Papendorp Ren van der Mark 157-161 2000")</f>
        <v>0</v>
      </c>
      <c r="D5811" s="1">
        <f>hyperlink("http://dspace.library.uu.nl/handle/1874/296526","Hoveniersboerderij trotseert de tijd over de dreigende sloop van een bijzonder Utrechts pand Martine Bakker 74-76 2002")</f>
        <v>0</v>
      </c>
    </row>
    <row r="5812" spans="2:4">
      <c r="B5812">
        <v>56</v>
      </c>
      <c r="C5812" s="1">
        <f>hyperlink("https://hetutrechtsarchief.nl/collectie/640ED104D90EA69CE0534701000AD44A","Op kamers studentenhuisvesting in Utrecht sinds 1945 Arien Heering en Bettina van Santen 4-10 2018")</f>
        <v>0</v>
      </c>
      <c r="D5812" s="1">
        <f>hyperlink("http://dspace.library.uu.nl/handle/1874/296527","De charme van regionale geschiedenis een interview met hoogleraren Utrecht Studies Piet t Hart en Renger de Bruin Bettina van Santen 66-70 2002")</f>
        <v>0</v>
      </c>
    </row>
    <row r="5813" spans="2:4">
      <c r="B5813">
        <v>100</v>
      </c>
      <c r="C5813" s="1">
        <f>hyperlink("https://hetutrechtsarchief.nl/collectie/C6980B6F1F3F5205932F2C91EDFE4712","De Criminele Ordonnanti n en het lot van gevangenen Utrechtse gevangenissen 2 het ancien regime Marijke van de Vrugt 38-39 2002")</f>
        <v>0</v>
      </c>
      <c r="D5813" s="1">
        <f>hyperlink("http://dspace.library.uu.nl/handle/1874/297828","De Criminele Ordonnanti n en het lot van gevangenen Utrechtse gevangenissen 2 het ancien regime Marijke van de Vrugt 38-39 2002")</f>
        <v>0</v>
      </c>
    </row>
    <row r="5814" spans="2:4">
      <c r="B5814">
        <v>93</v>
      </c>
      <c r="C5814" s="1">
        <f>hyperlink("https://hetutrechtsarchief.nl/collectie/B346F3195C045D73A8436A371E2EF187","Utrechtse kerken op een Californische heuvel de Saenredam-tentoonstelling in het Getty Museum in Los Angeles Renger de Bruin en Joyce Pennings 90-94 2002")</f>
        <v>0</v>
      </c>
      <c r="D5814" s="1">
        <f>hyperlink("http://dspace.library.uu.nl/handle/1874/297829","Utrechtse kerken op een Californische heuvel de Saenredam-tentoonstelling in het Getty Museum in Los Angeles Joyce Bruin Renger de Pennings 90-94 2002")</f>
        <v>0</v>
      </c>
    </row>
    <row r="5815" spans="2:4">
      <c r="B5815">
        <v>100</v>
      </c>
      <c r="C5815" s="1">
        <f>hyperlink("https://hetutrechtsarchief.nl/collectie/011D4E3808865DCD882BFD242B8D7C6F","Heropvoeding tot brave burger Utrechtse gevangenissen 4 Rijksopvoedingsgestichten Jan-Wilm Delicat 95-97 2002")</f>
        <v>0</v>
      </c>
      <c r="D5815" s="1">
        <f>hyperlink("http://dspace.library.uu.nl/handle/1874/297830","Heropvoeding tot brave burger Utrechtse gevangenissen 4 Rijksopvoedingsgestichten Jan-Wilm Delicat 95-97 2002")</f>
        <v>0</v>
      </c>
    </row>
    <row r="5816" spans="2:4">
      <c r="B5816">
        <v>100</v>
      </c>
      <c r="C5816" s="1">
        <f>hyperlink("https://hetutrechtsarchief.nl/collectie/646E19345C5A5D14A592328BD7D61924","Twee seminarieheiligen op Lombok Ton H M van Schaik 98-100 2002")</f>
        <v>0</v>
      </c>
      <c r="D5816" s="1">
        <f>hyperlink("http://dspace.library.uu.nl/handle/1874/297831","Twee seminarieheiligen op Lombok Ton H M van Schaik 98-100 2002")</f>
        <v>0</v>
      </c>
    </row>
    <row r="5817" spans="2:4">
      <c r="B5817">
        <v>100</v>
      </c>
      <c r="C5817" s="1">
        <f>hyperlink("https://hetutrechtsarchief.nl/collectie/65C0AFA4FBF35F3EAC0E4805C9EDF13A","Open Monumentendag in teken van handel en industrie Manon van der Wiel 102-103 2002")</f>
        <v>0</v>
      </c>
      <c r="D5817" s="1">
        <f>hyperlink("http://dspace.library.uu.nl/handle/1874/297832","Open Monumentendag in teken van handel en industrie Manon van der Wiel 102-103 2002")</f>
        <v>0</v>
      </c>
    </row>
    <row r="5818" spans="2:4">
      <c r="B5818">
        <v>100</v>
      </c>
      <c r="C5818" s="1">
        <f>hyperlink("https://hetutrechtsarchief.nl/collectie/9CACEAEAEDD65E6895E1F08FCE3E5D32","Park Voorn bedreigd in nieuwe stedelijke omgeving Wouter de Heus 118-121 2002")</f>
        <v>0</v>
      </c>
      <c r="D5818" s="1">
        <f>hyperlink("http://dspace.library.uu.nl/handle/1874/297833","Park Voorn bedreigd in nieuwe stedelijke omgeving Wouter de Heus 118-121 2002")</f>
        <v>0</v>
      </c>
    </row>
    <row r="5819" spans="2:4">
      <c r="B5819">
        <v>100</v>
      </c>
      <c r="C5819" s="1">
        <f>hyperlink("https://hetutrechtsarchief.nl/collectie/0BDC692B8EA659D884803F0A97FD0AF6","De omzwervingen van een Vrouw Justitia Nienke Vette 122-126 2002")</f>
        <v>0</v>
      </c>
      <c r="D5819" s="1">
        <f>hyperlink("http://dspace.library.uu.nl/handle/1874/297834","De omzwervingen van een Vrouw Justitia Nienke Vette 122-126 2002")</f>
        <v>0</v>
      </c>
    </row>
    <row r="5820" spans="2:4">
      <c r="B5820">
        <v>100</v>
      </c>
      <c r="C5820" s="1">
        <f>hyperlink("https://hetutrechtsarchief.nl/collectie/220473FB60D6583083DBBFF288B5D82C","Tucht en discipline voor Jan Soldaat Utrechtse gevangenissen 5 het Depot voor Discipline te Nieuwersluis Douwe Koen 128-130 2002")</f>
        <v>0</v>
      </c>
      <c r="D5820" s="1">
        <f>hyperlink("http://dspace.library.uu.nl/handle/1874/297835","Tucht en discipline voor Jan Soldaat Utrechtse gevangenissen 5 het Depot voor Discipline te Nieuwersluis Douwe Koen 128-130 2002")</f>
        <v>0</v>
      </c>
    </row>
    <row r="5821" spans="2:4">
      <c r="B5821">
        <v>100</v>
      </c>
      <c r="C5821" s="1">
        <f>hyperlink("https://hetutrechtsarchief.nl/collectie/A277F5B4A8F15B639A47DB0BA4D671F2","Dreigende opheffing Geveltekenfonds Maurice van Lieshout 131 2002")</f>
        <v>0</v>
      </c>
      <c r="D5821" s="1">
        <f>hyperlink("http://dspace.library.uu.nl/handle/1874/297836","Dreigende opheffing Geveltekenfonds Maurice van Lieshout 131 2002")</f>
        <v>0</v>
      </c>
    </row>
    <row r="5822" spans="2:4">
      <c r="B5822">
        <v>100</v>
      </c>
      <c r="C5822" s="1">
        <f>hyperlink("https://hetutrechtsarchief.nl/collectie/C749C69F398D5BE99746DC80F47CE0A9","Kolven het plaisir om sig in dezelve te diverteren beknopte geschiedenis van een spel met vele varianten C A M van Woerden 104-108 2002")</f>
        <v>0</v>
      </c>
      <c r="D5822" s="1">
        <f>hyperlink("http://dspace.library.uu.nl/handle/1874/297837","Kolven het plaisir om sig in dezelve te diverteren beknopte geschiedenis van een spel met vele varianten C A M van Woerden 104-108 2002")</f>
        <v>0</v>
      </c>
    </row>
    <row r="5823" spans="2:4">
      <c r="B5823">
        <v>100</v>
      </c>
      <c r="C5823" s="1">
        <f>hyperlink("https://hetutrechtsarchief.nl/collectie/FF6BB8BA23C05EFFBFFED002B511AB9E","Maliebaan 55 de architect het concept en de opdrachtgeefster Nettie Stoppelenburg 132-136 2002")</f>
        <v>0</v>
      </c>
      <c r="D5823" s="1">
        <f>hyperlink("http://dspace.library.uu.nl/handle/1874/297838","Maliebaan 55 de architect het concept en de opdrachtgeefster Nettie Stoppelenburg 132-136 2002")</f>
        <v>0</v>
      </c>
    </row>
    <row r="5824" spans="2:4">
      <c r="B5824">
        <v>53</v>
      </c>
      <c r="C5824" s="1">
        <f>hyperlink("https://hetutrechtsarchief.nl/collectie/B5386113246C59459200FA347E29BA8C","Schets van den watervloed hoe Renswoude in maart 1855 getroffen werd door een watersnoodramp Gert A van Beek 12-15 2000")</f>
        <v>0</v>
      </c>
      <c r="D5824" s="1">
        <f>hyperlink("http://dspace.library.uu.nl/handle/1874/297839","Rampen en catastrofes Utrecht geteisterd door watersnood treinongevallen gasontploffing brand storm en epidemie Gert A van Beek 143-165 2002")</f>
        <v>0</v>
      </c>
    </row>
    <row r="5825" spans="2:4">
      <c r="B5825">
        <v>100</v>
      </c>
      <c r="C5825" s="1">
        <f>hyperlink("https://hetutrechtsarchief.nl/collectie/6239BBE2B5DD50658CCEA183B9C39067","Veenendalers op de vlucht na doorbraak Grebbedijk Gert A van Beek 144-146 2002")</f>
        <v>0</v>
      </c>
      <c r="D5825" s="1">
        <f>hyperlink("http://dspace.library.uu.nl/handle/1874/297840","Veenendalers op de vlucht na doorbraak Grebbedijk Gert A van Beek 144-146 2002")</f>
        <v>0</v>
      </c>
    </row>
    <row r="5826" spans="2:4">
      <c r="B5826">
        <v>100</v>
      </c>
      <c r="C5826" s="1">
        <f>hyperlink("https://hetutrechtsarchief.nl/collectie/106A5953E91E5A08939B68383D870294","Kerels als boomen worden in n dag door de griep weggemaaid de Spaanse griep 1918-1920 P D t Hart 147-151 2002")</f>
        <v>0</v>
      </c>
      <c r="D5826" s="1">
        <f>hyperlink("http://dspace.library.uu.nl/handle/1874/297841","Kerels als boomen worden in n dag door de griep weggemaaid de Spaanse griep 1918-1920 P D t Hart 147-151 2002")</f>
        <v>0</v>
      </c>
    </row>
    <row r="5827" spans="2:4">
      <c r="B5827">
        <v>100</v>
      </c>
      <c r="C5827" s="1">
        <f>hyperlink("https://hetutrechtsarchief.nl/collectie/B4A8402ACF185F8E9CC33E64BA89626B","Noodlottige vergissingen spoorwegongevallen in en rond Utrecht tijdens de Tweede Wereldoorlog R T Jongerius 152-157 2002")</f>
        <v>0</v>
      </c>
      <c r="D5827" s="1">
        <f>hyperlink("http://dspace.library.uu.nl/handle/1874/297842","Noodlottige vergissingen spoorwegongevallen in en rond Utrecht tijdens de Tweede Wereldoorlog R T Jongerius 152-157 2002")</f>
        <v>0</v>
      </c>
    </row>
    <row r="5828" spans="2:4">
      <c r="B5828">
        <v>100</v>
      </c>
      <c r="C5828" s="1">
        <f>hyperlink("https://hetutrechtsarchief.nl/collectie/66DBDD3519AF55D683228F935D25FA66","De verschrikkelijke storm van 1911 Bettina van Santen 158-159 2002")</f>
        <v>0</v>
      </c>
      <c r="D5828" s="1">
        <f>hyperlink("http://dspace.library.uu.nl/handle/1874/297843","De verschrikkelijke storm van 1911 Bettina van Santen 158-159 2002")</f>
        <v>0</v>
      </c>
    </row>
    <row r="5829" spans="2:4">
      <c r="B5829">
        <v>100</v>
      </c>
      <c r="C5829" s="1">
        <f>hyperlink("https://hetutrechtsarchief.nl/collectie/68550262BACF5E9CA30D86D866E4502E","De brand van restaurant Azi Bettina van Santen 164-165 2002")</f>
        <v>0</v>
      </c>
      <c r="D5829" s="1">
        <f>hyperlink("http://dspace.library.uu.nl/handle/1874/297844","De brand van restaurant Azi Bettina van Santen 164-165 2002")</f>
        <v>0</v>
      </c>
    </row>
    <row r="5830" spans="2:4">
      <c r="B5830">
        <v>100</v>
      </c>
      <c r="C5830" s="1">
        <f>hyperlink("https://hetutrechtsarchief.nl/collectie/2733EB6AB6585E918514182ADADE5CAF","Uit mededoogen met het lijdende dier Stichts Asyl voor Dieren 100 jaar Jellie van der Meulen 174-180 2002")</f>
        <v>0</v>
      </c>
      <c r="D5830" s="1">
        <f>hyperlink("http://dspace.library.uu.nl/handle/1874/297845","Uit mededoogen met het lijdende dier Stichts Asyl voor Dieren 100 jaar Jellie van der Meulen 174-180 2002")</f>
        <v>0</v>
      </c>
    </row>
    <row r="5831" spans="2:4">
      <c r="B5831">
        <v>100</v>
      </c>
      <c r="C5831" s="1">
        <f>hyperlink("https://hetutrechtsarchief.nl/collectie/56C0E06D57EC57E4B339D65FED1F7306","De uitzichten zeer mooi en het huis solide het landhuis Molenbosch van J D Zocher jr 1791-1870 exact gedateerd R P M Rhoen 182-186 2002")</f>
        <v>0</v>
      </c>
      <c r="D5831" s="1">
        <f>hyperlink("http://dspace.library.uu.nl/handle/1874/297846","De uitzichten zeer mooi en het huis solide het landhuis Molenbosch van J D Zocher jr 1791-1870 exact gedateerd R P M Rhoen 182-186 2002")</f>
        <v>0</v>
      </c>
    </row>
    <row r="5832" spans="2:4">
      <c r="B5832">
        <v>100</v>
      </c>
      <c r="C5832" s="1">
        <f>hyperlink("https://hetutrechtsarchief.nl/collectie/CDC9B6DD5CE75F7B9DAF0DA9EB3F326E","Doelmatig veilig en sober maar wel humaan Utrechtse gevangenissen 6 slot de Penitentiaire Inrichting Nieuwegein Hans Seulijn 187-189 2002")</f>
        <v>0</v>
      </c>
      <c r="D5832" s="1">
        <f>hyperlink("http://dspace.library.uu.nl/handle/1874/297847","Doelmatig veilig en sober maar wel humaan Utrechtse gevangenissen 6 slot de Penitentiaire Inrichting Nieuwegein Has Seulijn 187-189 2002")</f>
        <v>0</v>
      </c>
    </row>
    <row r="5833" spans="2:4">
      <c r="B5833">
        <v>79</v>
      </c>
      <c r="C5833" s="1">
        <f>hyperlink("https://hetutrechtsarchief.nl/collectie/A2B4CEE9F0AC578CB9F737E5CDC03FC6","De sloop van de Stevensfundatie Bettina van Santen 190-192 2002")</f>
        <v>0</v>
      </c>
      <c r="D5833" s="1">
        <f>hyperlink("http://dspace.library.uu.nl/handle/1874/297848","De sloop van de Stevensfundatie Machteld Santen Bettina van Versnel-Schmitz 190-192 2002")</f>
        <v>0</v>
      </c>
    </row>
    <row r="5834" spans="2:4">
      <c r="B5834">
        <v>100</v>
      </c>
      <c r="C5834" s="1">
        <f>hyperlink("https://hetutrechtsarchief.nl/collectie/42C31A03D9415103ADFBC44610BBE6EA","Twee klappen een fluittoon en steekvlammen de ontploffing van een hogedruktank voor stadsgas in Zeist in 1962 R P M Rhoen 160-163 2002")</f>
        <v>0</v>
      </c>
      <c r="D5834" s="1">
        <f>hyperlink("http://dspace.library.uu.nl/handle/1874/297849","Twee klappen een fluittoon en steekvlammen de ontploffing van een hogedruktank voor stadsgas in Zeist in 1962 R P M Rhoen 160-163 2002")</f>
        <v>0</v>
      </c>
    </row>
    <row r="5835" spans="2:4">
      <c r="B5835">
        <v>100</v>
      </c>
      <c r="C5835" s="1">
        <f>hyperlink("https://hetutrechtsarchief.nl/collectie/50253F422F275A3DA9EA7D072FDD0C3C","Ziekenbroeders op de Utrechtse Muziekschool St Joannes de Deo op de Mariaplaats 1896-1971 Ton H M van Schaik 6-11 2003")</f>
        <v>0</v>
      </c>
      <c r="D5835" s="1">
        <f>hyperlink("http://dspace.library.uu.nl/handle/1874/298129","Ziekenbroeders op de Utrechtse Muziekschool St Joannes de Deo op de Mariaplaats 1896-1971 Ton H M van Schaik 6-11 2003")</f>
        <v>0</v>
      </c>
    </row>
    <row r="5836" spans="2:4">
      <c r="B5836">
        <v>100</v>
      </c>
      <c r="C5836" s="1">
        <f>hyperlink("https://hetutrechtsarchief.nl/collectie/D3F8CEE1F8615287956406BE38361659","Boerderijen in de provincie Utrecht 1 2003 Jaar van de Boerderij Paul Vesters 12 2003")</f>
        <v>0</v>
      </c>
      <c r="D5836" s="1">
        <f>hyperlink("http://dspace.library.uu.nl/handle/1874/298130","Boerderijen in de provincie Utrecht 1 2003 Jaar van de Boerderij Paul Vesters 12 2003")</f>
        <v>0</v>
      </c>
    </row>
    <row r="5837" spans="2:4">
      <c r="B5837">
        <v>100</v>
      </c>
      <c r="C5837" s="1">
        <f>hyperlink("https://hetutrechtsarchief.nl/collectie/FC385B261ADE577EADEDEC3B23598067","Het Mariaretabel in de Buurkerk Llewellyn Bogaers 17-18 2003")</f>
        <v>0</v>
      </c>
      <c r="D5837" s="1">
        <f>hyperlink("http://dspace.library.uu.nl/handle/1874/298131","Het Mariaretabel in de Buurkerk Llewellyn Bogaers 17-18 2003")</f>
        <v>0</v>
      </c>
    </row>
    <row r="5838" spans="2:4">
      <c r="B5838">
        <v>100</v>
      </c>
      <c r="C5838" s="1">
        <f>hyperlink("https://hetutrechtsarchief.nl/collectie/D5EE1DE676855D2CB07D08423DABC395","Zondeval en kruisdood een glas met religieuze voorstellingen van de Leidsche Rijn A G Rauws 19-20 2003")</f>
        <v>0</v>
      </c>
      <c r="D5838" s="1">
        <f>hyperlink("http://dspace.library.uu.nl/handle/1874/298132","Zondeval en kruisdood een glas met religieuze voorstellingen van de Leidsche Rijn A G Rauws 19-20 2003")</f>
        <v>0</v>
      </c>
    </row>
    <row r="5839" spans="2:4">
      <c r="B5839">
        <v>100</v>
      </c>
      <c r="C5839" s="1">
        <f>hyperlink("https://hetutrechtsarchief.nl/collectie/ECAA5D342E9558E58837590755BD9151","Frateronderwijs - beter onderwijs een beknopte geschiedenis van de Fraters van Utrecht 1873-2002 Joos van Vugt 34-39 2003")</f>
        <v>0</v>
      </c>
      <c r="D5839" s="1">
        <f>hyperlink("http://dspace.library.uu.nl/handle/1874/298133","Frateronderwijs - beter onderwijs een beknopte geschiedenis van de Fraters van Utrecht 1873-2002 Joos van Vugt 34-39 2003")</f>
        <v>0</v>
      </c>
    </row>
    <row r="5840" spans="2:4">
      <c r="B5840">
        <v>90</v>
      </c>
      <c r="C5840" s="1">
        <f>hyperlink("https://hetutrechtsarchief.nl/collectie/6EF76F7FA785593994B303C055CEF8C7","Een kolonie van Duitsers historisch onderzoek als leidraad voor actuele vraagstukken Xandra Knoth 40-43 2003")</f>
        <v>0</v>
      </c>
      <c r="D5840" s="1">
        <f>hyperlink("http://dspace.library.uu.nl/handle/1874/298134","Een kolonie van Duitsers historisch onderzoek als leidraad voor actuele vraagstukken Marlou Knoth Xandra Schrover 40-43 2003")</f>
        <v>0</v>
      </c>
    </row>
    <row r="5841" spans="2:4">
      <c r="B5841">
        <v>100</v>
      </c>
      <c r="C5841" s="1">
        <f>hyperlink("https://hetutrechtsarchief.nl/collectie/40058E05F5F655388AC9B8CF826DAEEE","Nette uitvoering en solide behandeling het succesverhaal van de Utrechtse drukker Jacobus van Boekhoven Mieke Breij 44-48 2003")</f>
        <v>0</v>
      </c>
      <c r="D5841" s="1">
        <f>hyperlink("http://dspace.library.uu.nl/handle/1874/298135","Nette uitvoering en solide behandeling het succesverhaal van de Utrechtse drukker Jacobus van Boekhoven Mieke Breij 44-48 2003")</f>
        <v>0</v>
      </c>
    </row>
    <row r="5842" spans="2:4">
      <c r="B5842">
        <v>100</v>
      </c>
      <c r="C5842" s="1">
        <f>hyperlink("https://hetutrechtsarchief.nl/collectie/A8927DAE395F5C058D344F9E7AD8E67E","Boerderijen in de provincie Utrecht 2 van ambachtelijk boerenhuis tot postmoderne boerderette Tom Blekkenhorst 50-51 2003")</f>
        <v>0</v>
      </c>
      <c r="D5842" s="1">
        <f>hyperlink("http://dspace.library.uu.nl/handle/1874/298136","Boerderijen in de provincie Utrecht 2 van ambachtelijk boerenhuis tot postmoderne boerderette Tom Blekkenhorst 50-51 2003")</f>
        <v>0</v>
      </c>
    </row>
    <row r="5843" spans="2:4">
      <c r="B5843">
        <v>100</v>
      </c>
      <c r="C5843" s="1">
        <f>hyperlink("https://hetutrechtsarchief.nl/collectie/4ED1292DEC0E53D6AB8B5E712183E86C","Utrechtse straatnamen 2 Zilverstraat Erik Tigelaar 49 2003")</f>
        <v>0</v>
      </c>
      <c r="D5843" s="1">
        <f>hyperlink("http://dspace.library.uu.nl/handle/1874/298137","Utrechtse straatnamen 2 Zilverstraat Erik Tigelaar 49 2003")</f>
        <v>0</v>
      </c>
    </row>
    <row r="5844" spans="2:4">
      <c r="B5844">
        <v>100</v>
      </c>
      <c r="C5844" s="1">
        <f>hyperlink("https://hetutrechtsarchief.nl/collectie/B1792223B8C45051BE84EEA2545AA21E","Utrechtse straatnamen 1 Oude Kerkstraat Erik Tigelaar 21 2003")</f>
        <v>0</v>
      </c>
      <c r="D5844" s="1">
        <f>hyperlink("http://dspace.library.uu.nl/handle/1874/298138","Utrechtse straatnamen 1 Oude Kerkstraat Erik Tigelaar 21 2003")</f>
        <v>0</v>
      </c>
    </row>
    <row r="5845" spans="2:4">
      <c r="B5845">
        <v>100</v>
      </c>
      <c r="C5845" s="1">
        <f>hyperlink("https://hetutrechtsarchief.nl/collectie/023E627B5DA85C8DB36CCAC0AC9D65B4","Bijzondere zonnewijzers in Utrecht Hans de Rijk 62-65 2003")</f>
        <v>0</v>
      </c>
      <c r="D5845" s="1">
        <f>hyperlink("http://dspace.library.uu.nl/handle/1874/298197","Bijzondere zonnewijzers in Utrecht Hans de Rijk 62-65 2003")</f>
        <v>0</v>
      </c>
    </row>
    <row r="5846" spans="2:4">
      <c r="B5846">
        <v>96</v>
      </c>
      <c r="C5846" s="1">
        <f>hyperlink("https://hetutrechtsarchief.nl/collectie/6A44C4F7980F5614AD1FD5DC08D77AD1","Utrechtse straatnamen 3 Nobeldwarsstraat H Tigelaar 77 2003")</f>
        <v>0</v>
      </c>
      <c r="D5846" s="1">
        <f>hyperlink("http://dspace.library.uu.nl/handle/1874/298198","Utrechtse straatnamen 3 Nobeldwarsstraat Erik Tigelaar 77 2003")</f>
        <v>0</v>
      </c>
    </row>
    <row r="5847" spans="2:4">
      <c r="B5847">
        <v>100</v>
      </c>
      <c r="C5847" s="1">
        <f>hyperlink("https://hetutrechtsarchief.nl/collectie/35B0C094597C5F4E8EE56A2EF6F2B2CB","Boerderijen in de provincie Utrecht 3 het boerenerf bedreigd Kees de Leeuw 78-79 2003")</f>
        <v>0</v>
      </c>
      <c r="D5847" s="1">
        <f>hyperlink("http://dspace.library.uu.nl/handle/1874/298199","Boerderijen in de provincie Utrecht 3 het boerenerf bedreigd Kees de Leeuw 78-79 2003")</f>
        <v>0</v>
      </c>
    </row>
    <row r="5848" spans="2:4">
      <c r="B5848">
        <v>100</v>
      </c>
      <c r="C5848" s="1">
        <f>hyperlink("https://hetutrechtsarchief.nl/collectie/0638EF7E68D65E9BB838E476B7BFF060","Het herwonnen water een beknopte geschiedenis van de Utrechtse singels Hans Zijlstra 90-96 2003")</f>
        <v>0</v>
      </c>
      <c r="D5848" s="1">
        <f>hyperlink("http://dspace.library.uu.nl/handle/1874/298200","Het herwonnen water een beknopte geschiedenis van de Utrechtse singels Hans Zijlstra 90-96 2003")</f>
        <v>0</v>
      </c>
    </row>
    <row r="5849" spans="2:4">
      <c r="B5849">
        <v>100</v>
      </c>
      <c r="C5849" s="1">
        <f>hyperlink("https://hetutrechtsarchief.nl/collectie/71315BBC136159A480162053DAE9343B","Utrechtse straatnamen 4 Zakkendragerssteeg Erik Tigelaar 97 2003")</f>
        <v>0</v>
      </c>
      <c r="D5849" s="1">
        <f>hyperlink("http://dspace.library.uu.nl/handle/1874/298201","Utrechtse straatnamen 4 Zakkendragerssteeg Erik Tigelaar 97 2003")</f>
        <v>0</v>
      </c>
    </row>
    <row r="5850" spans="2:4">
      <c r="B5850">
        <v>100</v>
      </c>
      <c r="C5850" s="1">
        <f>hyperlink("https://hetutrechtsarchief.nl/collectie/319A976FBA3B5362BDEEB7D6DF941A3A","De nette mensch blijft voor mij een absoluut probleem de dramatische Utrechtse jaren van Jan van Gilse Maurice van Lieshout 98-104 2003")</f>
        <v>0</v>
      </c>
      <c r="D5850" s="1">
        <f>hyperlink("http://dspace.library.uu.nl/handle/1874/298202","De nette mensch blijft voor mij een absoluut probleem de dramatische Utrechtse jaren van Jan van Gilse Maurice van Lieshout 98-104 2003")</f>
        <v>0</v>
      </c>
    </row>
    <row r="5851" spans="2:4">
      <c r="B5851">
        <v>100</v>
      </c>
      <c r="C5851" s="1">
        <f>hyperlink("https://hetutrechtsarchief.nl/collectie/D81F6426944E5FE0B3EE3F867E12E8CD","Drie historische spoorwegbolwerken langs het Moreelsepark C Douma 66-73 2003")</f>
        <v>0</v>
      </c>
      <c r="D5851" s="1">
        <f>hyperlink("http://dspace.library.uu.nl/handle/1874/298203","Drie historische spoorwegbolwerken langs het Moreelsepark C Douma 66-73 2003")</f>
        <v>0</v>
      </c>
    </row>
    <row r="5852" spans="2:4">
      <c r="B5852">
        <v>57</v>
      </c>
      <c r="C5852" s="1">
        <f>hyperlink("https://hetutrechtsarchief.nl/collectie/FD6526DFC648533AA7440A8562879219","Utrechtse straatnamen 5 Doelenstraat Erik Tigelaar 128 2003")</f>
        <v>0</v>
      </c>
      <c r="D5852" s="1">
        <f>hyperlink("http://dspace.library.uu.nl/handle/1874/298320","Utrechtse straatnamen Erik Tigelaar 21 nr 2 p 49 nr 3 p 77 nr 4 p 97 nr 5 p 128 nr 7 p 176 2003")</f>
        <v>0</v>
      </c>
    </row>
    <row r="5853" spans="2:4">
      <c r="B5853">
        <v>100</v>
      </c>
      <c r="C5853" s="1">
        <f>hyperlink("https://hetutrechtsarchief.nl/collectie/EF72083AC6C5514D8EF5112EC2508388","Boerderijen in de provincie Utrecht 4 een tweezijdig lint van boerderijen Ingrid de Wit 106-107 2003")</f>
        <v>0</v>
      </c>
      <c r="D5853" s="1">
        <f>hyperlink("http://dspace.library.uu.nl/handle/1874/298321","Boerderijen in de provincie Utrecht 4 een tweezijdig lint van boerderijen Ingrid de Wit 106-107 2003")</f>
        <v>0</v>
      </c>
    </row>
    <row r="5854" spans="2:4">
      <c r="B5854">
        <v>100</v>
      </c>
      <c r="C5854" s="1">
        <f>hyperlink("https://hetutrechtsarchief.nl/collectie/A6BA08A53AD954DBA56F3507DF771425","Jubilerende monumentenbeschermers Bettina van Santen 122-123 2003")</f>
        <v>0</v>
      </c>
      <c r="D5854" s="1">
        <f>hyperlink("http://dspace.library.uu.nl/handle/1874/298322","Jubilerende monumentenbeschermers Bettina van Santen 122-123 2003")</f>
        <v>0</v>
      </c>
    </row>
    <row r="5855" spans="2:4">
      <c r="B5855">
        <v>100</v>
      </c>
      <c r="C5855" s="1">
        <f>hyperlink("https://hetutrechtsarchief.nl/collectie/489F64C5CB2957DAA6B04FDD4F03B9A6","Een standbeeld voor Paul Kruger Kaj van Vliet 124-127 2003")</f>
        <v>0</v>
      </c>
      <c r="D5855" s="1">
        <f>hyperlink("http://dspace.library.uu.nl/handle/1874/298323","Een standbeeld voor Paul Kruger Kaj van Vliet 124-127 2003")</f>
        <v>0</v>
      </c>
    </row>
    <row r="5856" spans="2:4">
      <c r="B5856">
        <v>100</v>
      </c>
      <c r="C5856" s="1">
        <f>hyperlink("https://hetutrechtsarchief.nl/collectie/FD6526DFC648533AA7440A8562879219","Utrechtse straatnamen 5 Doelenstraat Erik Tigelaar 128 2003")</f>
        <v>0</v>
      </c>
      <c r="D5856" s="1">
        <f>hyperlink("http://dspace.library.uu.nl/handle/1874/298324","Utrechtse straatnamen 5 Doelenstraat Erik Tigelaar 128 2003")</f>
        <v>0</v>
      </c>
    </row>
    <row r="5857" spans="2:4">
      <c r="B5857">
        <v>100</v>
      </c>
      <c r="C5857" s="1">
        <f>hyperlink("https://hetutrechtsarchief.nl/collectie/060246C7E07F59608F6DAB2AB050337E","Boerderijen in de provincie Utrecht 5 de hofstede Slangenrode op de Lage Weide Nettie Stoppelenburg 129-131 2003")</f>
        <v>0</v>
      </c>
      <c r="D5857" s="1">
        <f>hyperlink("http://dspace.library.uu.nl/handle/1874/298325","Boerderijen in de provincie Utrecht 5 de hofstede Slangenrode op de Lage Weide Nettie Stoppelenburg 129-131 2003")</f>
        <v>0</v>
      </c>
    </row>
    <row r="5858" spans="2:4">
      <c r="B5858">
        <v>100</v>
      </c>
      <c r="C5858" s="1">
        <f>hyperlink("https://hetutrechtsarchief.nl/collectie/B85960E49FEE58DE9F570BBF4E2CDE6F","De koning waakt protestants protest tegen het herstel van de bisschoppelijke hi rarchie Otto J de Jong 144-153 2003")</f>
        <v>0</v>
      </c>
      <c r="D5858" s="1">
        <f>hyperlink("http://dspace.library.uu.nl/handle/1874/298326","De koning waakt protestants protest tegen het herstel van de bisschoppelijke hi rarchie Otto J de Jong 144-153 2003")</f>
        <v>0</v>
      </c>
    </row>
    <row r="5859" spans="2:4">
      <c r="B5859">
        <v>100</v>
      </c>
      <c r="C5859" s="1">
        <f>hyperlink("https://hetutrechtsarchief.nl/collectie/1F59E72677B85C75B1C489A7E2494038","In een gesloten koets door Utrecht de terugkeer van een aartsbisschop in stad en diocees in 1853 Ton H M van Schaik 154-159 2003")</f>
        <v>0</v>
      </c>
      <c r="D5859" s="1">
        <f>hyperlink("http://dspace.library.uu.nl/handle/1874/298327","In een gesloten koets door Utrecht de terugkeer van een aartsbisschop in stad en diocees in 1853 Ton H M van Schaik 154-159 2003")</f>
        <v>0</v>
      </c>
    </row>
    <row r="5860" spans="2:4">
      <c r="B5860">
        <v>99</v>
      </c>
      <c r="C5860" s="1">
        <f>hyperlink("https://hetutrechtsarchief.nl/collectie/0F2FA02E823E586B8252F230537DE2E8","Rooms vertoon in Utrecht de Kromstaffeesten van mei 1953 Ton H M van Schaik 160-165 2003")</f>
        <v>0</v>
      </c>
      <c r="D5860" s="1">
        <f>hyperlink("http://dspace.library.uu.nl/handle/1874/298328","Rooms vertoon in Utrecht de Kromstaffeesten van mei 1953 Ton H M van Schaik 160-165 2004")</f>
        <v>0</v>
      </c>
    </row>
    <row r="5861" spans="2:4">
      <c r="B5861">
        <v>99</v>
      </c>
      <c r="C5861" s="1">
        <f>hyperlink("https://hetutrechtsarchief.nl/collectie/AADE3739FF075D9E8197589378D57629","Een onderdak voor Utrechtse kunstcollecties de Stichting Kunstcollecties Utrecht 1900-2000 Marion Corn lie van Oudheusden 174-175 2003")</f>
        <v>0</v>
      </c>
      <c r="D5861" s="1">
        <f>hyperlink("http://dspace.library.uu.nl/handle/1874/298329","Een onderdak voor Utrechtse kunstcollecties de Stichting Kunstcollecties Utrecht 1900-2000 Marie Corn lie van Oudheusden 174-175 2003")</f>
        <v>0</v>
      </c>
    </row>
    <row r="5862" spans="2:4">
      <c r="B5862">
        <v>88</v>
      </c>
      <c r="C5862" s="1">
        <f>hyperlink("https://hetutrechtsarchief.nl/collectie/EEA39FEA4289538A8B5D75B3303EC299","Utrechtse straatnamen 6 slot Ridderhofstad H Tigelaar Erik Tigelaar 176 2003")</f>
        <v>0</v>
      </c>
      <c r="D5862" s="1">
        <f>hyperlink("http://dspace.library.uu.nl/handle/1874/298330","Utrechtse straatnamen 6 Ridderhofstad Erik Tigelaar 176 2003")</f>
        <v>0</v>
      </c>
    </row>
    <row r="5863" spans="2:4">
      <c r="B5863">
        <v>100</v>
      </c>
      <c r="C5863" s="1">
        <f>hyperlink("https://hetutrechtsarchief.nl/collectie/5A79ECA0738B55EC9BC6BE36E9248204","Pryslyk en verwonderlyk Utrechts stadhuis en Stadhuisbrug geschilderd door Jan van der Heyden Jos de Meyere 178-181 2003")</f>
        <v>0</v>
      </c>
      <c r="D5863" s="1">
        <f>hyperlink("http://dspace.library.uu.nl/handle/1874/298331","Pryslyk en verwonderlyk Utrechts stadhuis en Stadhuisbrug geschilderd door Jan van der Heyden Jos de Meyere 178-181 2003")</f>
        <v>0</v>
      </c>
    </row>
    <row r="5864" spans="2:4">
      <c r="B5864">
        <v>99</v>
      </c>
      <c r="C5864" s="1">
        <f>hyperlink("https://hetutrechtsarchief.nl/collectie/708E2EE4B9675047B68CE142D7DC74C4","De Engelse kerk in Utrecht de stichting en geschiedenis van Holy Trinity Church Utrecht x Arnold Rietveld 182-186 2003")</f>
        <v>0</v>
      </c>
      <c r="D5864" s="1">
        <f>hyperlink("http://dspace.library.uu.nl/handle/1874/298332","De Engelse kerk in Utrecht de stichting en geschiedenis van Holy Trinity Church Utrecht Arnold Rietveld 182-186 2003")</f>
        <v>0</v>
      </c>
    </row>
    <row r="5865" spans="2:4">
      <c r="B5865">
        <v>97</v>
      </c>
      <c r="C5865" s="1">
        <f>hyperlink("https://hetutrechtsarchief.nl/collectie/AF68DAFEC36B58EB9869E0E008FE72CD","Boerderijen in de provincie Utrecht 7 slot de Utrechtse Boerderij van het Jaar 2003 N Vugts 190-191 2003")</f>
        <v>0</v>
      </c>
      <c r="D5865" s="1">
        <f>hyperlink("http://dspace.library.uu.nl/handle/1874/298333","Boerderijen in de provincie Utrecht 7 slot de Utrechtse Boerderij van het Jaar 2003 Nanette Vugts 190-191 2003")</f>
        <v>0</v>
      </c>
    </row>
    <row r="5866" spans="2:4">
      <c r="B5866">
        <v>100</v>
      </c>
      <c r="C5866" s="1">
        <f>hyperlink("https://hetutrechtsarchief.nl/collectie/6369487B238F5F35B23945F66BFDA12B","Bulletje verboden opstand op het Gemeentelijk Atheneum Paul van der Gaag 118-121 2003")</f>
        <v>0</v>
      </c>
      <c r="D5866" s="1">
        <f>hyperlink("http://dspace.library.uu.nl/handle/1874/298334","Bulletje verboden opstand op het Gemeentelijk Atheneum Paul van der Gaag 118-121 2003")</f>
        <v>0</v>
      </c>
    </row>
    <row r="5867" spans="2:4">
      <c r="B5867">
        <v>100</v>
      </c>
      <c r="C5867" s="1">
        <f>hyperlink("https://hetutrechtsarchief.nl/collectie/E89F2A3ABCB25F1BB455B5EAD33D3538","Scholen als gemeenschapsruimten Utrechtse schoolgebouwen in de periode van de wederopbouw Martine Bakker 132-135 2003")</f>
        <v>0</v>
      </c>
      <c r="D5867" s="1">
        <f>hyperlink("http://dspace.library.uu.nl/handle/1874/298335","Scholen als gemeenschapsruimten Utrechtse schoolgebouwen in de periode van de wederopbouw Martine Bakker 132-135 2003")</f>
        <v>0</v>
      </c>
    </row>
    <row r="5868" spans="2:4">
      <c r="B5868">
        <v>71</v>
      </c>
      <c r="C5868" s="1">
        <f>hyperlink("https://hetutrechtsarchief.nl/collectie/B85960E49FEE58DE9F570BBF4E2CDE6F","De koning waakt protestants protest tegen het herstel van de bisschoppelijke hi rarchie Otto J de Jong 144-153 2003")</f>
        <v>0</v>
      </c>
      <c r="D5868" s="1">
        <f>hyperlink("http://dspace.library.uu.nl/handle/1874/298336","Roomse victorie en protestants protest 150 jaar herstel van de bisschoppelijke hi rarchie Ton H M van Jong Otto J de Schaik 2003")</f>
        <v>0</v>
      </c>
    </row>
    <row r="5869" spans="2:4">
      <c r="B5869">
        <v>100</v>
      </c>
      <c r="C5869" s="1">
        <f>hyperlink("https://hetutrechtsarchief.nl/collectie/B4492099FBEE58F09AAF1FB8BB6BFFAC","Boerderijen in de provincie Utrecht 6 de inventaris van de hoeve van Gerrit Langerak Nettie Stoppelenburg 187-189 2003")</f>
        <v>0</v>
      </c>
      <c r="D5869" s="1">
        <f>hyperlink("http://dspace.library.uu.nl/handle/1874/298337","Boerderijen in de provincie Utrecht 6 de inventaris van de hoeve van Gerrit Langerak Nettie Stoppelenburg 187-189 2003")</f>
        <v>0</v>
      </c>
    </row>
    <row r="5870" spans="2:4">
      <c r="B5870">
        <v>54</v>
      </c>
      <c r="C5870" s="1">
        <f>hyperlink("https://hetutrechtsarchief.nl/collectie/826A9BDC91E05F3092870F4BBA53EA0D","Petrus van Musschenbroek en de Utrechtse archieven J H M Jansen 29-42 1988")</f>
        <v>0</v>
      </c>
      <c r="D5870" s="1">
        <f>hyperlink("http://dspace.library.uu.nl/handle/1874/298417","Andries van Batenburg en de Pauselijke Zouaven Albert Lemmens 292-302 1985")</f>
        <v>0</v>
      </c>
    </row>
    <row r="5871" spans="2:4">
      <c r="B5871">
        <v>70</v>
      </c>
      <c r="C5871" s="1">
        <f>hyperlink("https://hetutrechtsarchief.nl/collectie/F5714E0774A05F0F857DED373219145C","Het kasteel de Haar 34-35 1949")</f>
        <v>0</v>
      </c>
      <c r="D5871" s="1">
        <f>hyperlink("http://dspace.library.uu.nl/handle/1874/298418","Gezicht op kasteel De Haar 138-140 1983")</f>
        <v>0</v>
      </c>
    </row>
    <row r="5872" spans="2:4">
      <c r="B5872">
        <v>54</v>
      </c>
      <c r="C5872" s="1">
        <f>hyperlink("https://hetutrechtsarchief.nl/collectie/340CB9A3A71A53BBAF97CA1AEAA7653E","De geest van de plek 17-eeuwse schilder Abraham Bloemaert Gonny Thijssen 23 ill 1996")</f>
        <v>0</v>
      </c>
      <c r="D5872" s="1">
        <f>hyperlink("http://dspace.library.uu.nl/handle/1874/298442","Reglement van orde voor het personeel der Firma Gebroeders van Rooyen te IJsselstein 3 1977")</f>
        <v>0</v>
      </c>
    </row>
    <row r="5873" spans="2:4">
      <c r="B5873">
        <v>56</v>
      </c>
      <c r="C5873" s="1">
        <f>hyperlink("https://hetutrechtsarchief.nl/collectie/E15405C46008530FBD86631D076922AA","Schaatsen in de binnenstad - Kos 10 ill 1985")</f>
        <v>0</v>
      </c>
      <c r="D5873" s="1">
        <f>hyperlink("http://dspace.library.uu.nl/handle/1874/298443","Hallehuizen in de Lopikerwaard H P J Nota 10-24 1978")</f>
        <v>0</v>
      </c>
    </row>
    <row r="5874" spans="2:4">
      <c r="B5874">
        <v>56</v>
      </c>
      <c r="C5874" s="1">
        <f>hyperlink("https://hetutrechtsarchief.nl/collectie/C8E2F67FC97851C2B07BE2839301B90A","De gemeente in en om de Jacobikerk A Kool 22-24 ill 1988")</f>
        <v>0</v>
      </c>
      <c r="D5874" s="1">
        <f>hyperlink("http://dspace.library.uu.nl/handle/1874/298444","De gemeentetoren van IJsselstein een wonder in baksteen A G Cool 14-18 1976")</f>
        <v>0</v>
      </c>
    </row>
    <row r="5875" spans="2:4">
      <c r="B5875">
        <v>62</v>
      </c>
      <c r="C5875" s="1">
        <f>hyperlink("https://hetutrechtsarchief.nl/collectie/9E209AAF542D5761A672DAFB480C1328","De ligging van Eiteren R J Ooyevaar 18-30 2017")</f>
        <v>0</v>
      </c>
      <c r="D5875" s="1">
        <f>hyperlink("http://dspace.library.uu.nl/handle/1874/298445","Eiteren in IJsselstein R J Ooyevaar 4-11 1976")</f>
        <v>0</v>
      </c>
    </row>
    <row r="5876" spans="2:4">
      <c r="B5876">
        <v>52</v>
      </c>
      <c r="C5876" s="1">
        <f>hyperlink("https://hetutrechtsarchief.nl/collectie/BFC852387DC45A209F81088F79E58CAB","De sneltram Utrecht-Nieuwegein IJsselstein 1 - van Tol 3-7 plgr 1981")</f>
        <v>0</v>
      </c>
      <c r="D5876" s="1">
        <f>hyperlink("http://dspace.library.uu.nl/handle/1874/298446","De Antonius en Corneliusstichting te IJsselstein W J A van Wijk 19-22 nr 2 1977 p 10-13 no 3 1977 p 17-18 1976")</f>
        <v>0</v>
      </c>
    </row>
    <row r="5877" spans="2:4">
      <c r="B5877">
        <v>57</v>
      </c>
      <c r="C5877" s="1">
        <f>hyperlink("https://hetutrechtsarchief.nl/collectie/D306FE329C225B7FA282C2C12055D471","Koning Lodewijk te IJsselstein - E 51-53 1939")</f>
        <v>0</v>
      </c>
      <c r="D5877" s="1">
        <f>hyperlink("http://dspace.library.uu.nl/handle/1874/298447","De pomp op de Plaats te IJsselstein Hennie Beenen 12-13 1977")</f>
        <v>0</v>
      </c>
    </row>
    <row r="5878" spans="2:4">
      <c r="B5878">
        <v>54</v>
      </c>
      <c r="C5878" s="1">
        <f>hyperlink("https://hetutrechtsarchief.nl/collectie/97DA6D80FB2EEC40E0534701000AEEB8","Familie in de kunst Aard van Bruggen 18-21 2019")</f>
        <v>0</v>
      </c>
      <c r="D5878" s="1">
        <f>hyperlink("http://dspace.library.uu.nl/handle/1874/298448","Alexander Pasqualini door Martin van Bruggen e a Martin van Bruggen 12-14 1977")</f>
        <v>0</v>
      </c>
    </row>
    <row r="5879" spans="2:4">
      <c r="B5879">
        <v>55</v>
      </c>
      <c r="C5879" s="1">
        <f>hyperlink("https://hetutrechtsarchief.nl/collectie/138C7483F456541C945818264D476F4E","Lotgevallen van Jan Seversz aanvulling M E Kronenberg 142 1924")</f>
        <v>0</v>
      </c>
      <c r="D5879" s="1">
        <f>hyperlink("http://dspace.library.uu.nl/handle/1874/298449","Nog eens Alexander Pasqualini M H H Doesburg 14-16 1977")</f>
        <v>0</v>
      </c>
    </row>
    <row r="5880" spans="2:4">
      <c r="B5880">
        <v>58</v>
      </c>
      <c r="C5880" s="1">
        <f>hyperlink("https://hetutrechtsarchief.nl/collectie/B3C18B073AB3558AB5C66811AB774FD0","Honderd jaar beieren op Nijenrode Irma Gondrie 15-24 2016")</f>
        <v>0</v>
      </c>
      <c r="D5880" s="1">
        <f>hyperlink("http://dspace.library.uu.nl/handle/1874/298450","Honderd jaar IJsselsteinse scholen L J Goedemondt 16-20 1977")</f>
        <v>0</v>
      </c>
    </row>
    <row r="5881" spans="2:4">
      <c r="B5881">
        <v>62</v>
      </c>
      <c r="C5881" s="1">
        <f>hyperlink("https://hetutrechtsarchief.nl/collectie/174D34B93417543AB44F5082E81BCD52","De geschiedenis van deken Roes 10 - 11 1982")</f>
        <v>0</v>
      </c>
      <c r="D5881" s="1">
        <f>hyperlink("http://dspace.library.uu.nl/handle/1874/298451","De geschiedenis van Rijpickerwaard en omgeving L Hamerslag 10-12 1977")</f>
        <v>0</v>
      </c>
    </row>
    <row r="5882" spans="2:4">
      <c r="B5882">
        <v>56</v>
      </c>
      <c r="C5882" s="1">
        <f>hyperlink("https://hetutrechtsarchief.nl/collectie/589042F352CC58968B8AD69ABDD2E54A","Vervolging van Roma en Sinti in IJsselstein 1943-1944 T A van Dijk 4-11 2015")</f>
        <v>0</v>
      </c>
      <c r="D5882" s="1">
        <f>hyperlink("http://dspace.library.uu.nl/handle/1874/298452","De overval op het gemeentehuis van IJsselstein op 13 maart 1944 A M Langerak 2-9 1977")</f>
        <v>0</v>
      </c>
    </row>
    <row r="5883" spans="2:4">
      <c r="B5883">
        <v>60</v>
      </c>
      <c r="C5883" s="1">
        <f>hyperlink("https://hetutrechtsarchief.nl/collectie/7FC8516545D85AABA27ED49292C52393","Het jaar 1848 Mieke Heurneman 238-241 2011")</f>
        <v>0</v>
      </c>
      <c r="D5883" s="1">
        <f>hyperlink("http://dspace.library.uu.nl/handle/1874/298453","Het rampjaar 1888 L Murk 18-21 1977")</f>
        <v>0</v>
      </c>
    </row>
    <row r="5884" spans="2:4">
      <c r="B5884">
        <v>57</v>
      </c>
      <c r="C5884" s="1">
        <f>hyperlink("https://hetutrechtsarchief.nl/collectie/00902FA9158A5375A5B8CF5A2184EA84","Herstelwerk Domtoren - K 50 1970")</f>
        <v>0</v>
      </c>
      <c r="D5884" s="1">
        <f>hyperlink("http://dspace.library.uu.nl/handle/1874/298454","Het uurwerk in de stadhuistoren L Murk 2 1977")</f>
        <v>0</v>
      </c>
    </row>
    <row r="5885" spans="2:4">
      <c r="B5885">
        <v>60</v>
      </c>
      <c r="C5885" s="1">
        <f>hyperlink("https://hetutrechtsarchief.nl/collectie/44F65C3DF2765182AEE70B8075703D5E","De boerderij-herberg Galgerwaard 2 Henk J van Es 77-85 1999")</f>
        <v>0</v>
      </c>
      <c r="D5885" s="1">
        <f>hyperlink("http://dspace.library.uu.nl/handle/1874/298455","De boerderij Rijpickerwaard R J Ooyevaar 14-18 1977")</f>
        <v>0</v>
      </c>
    </row>
    <row r="5886" spans="2:4">
      <c r="B5886">
        <v>66</v>
      </c>
      <c r="C5886" s="1">
        <f>hyperlink("https://hetutrechtsarchief.nl/collectie/9E209AAF542D5761A672DAFB480C1328","De ligging van Eiteren R J Ooyevaar 18-30 2017")</f>
        <v>0</v>
      </c>
      <c r="D5886" s="1">
        <f>hyperlink("http://dspace.library.uu.nl/handle/1874/298456","De kerk van Eiteren gelocaliseerd R J Ooyevaar 20-23 1977")</f>
        <v>0</v>
      </c>
    </row>
    <row r="5887" spans="2:4">
      <c r="B5887">
        <v>57</v>
      </c>
      <c r="C5887" s="1">
        <f>hyperlink("https://hetutrechtsarchief.nl/collectie/78ADDEAF966A513286D8D355D9B76E0C","IJsselstein - Abbink Spaink 33-36 1936")</f>
        <v>0</v>
      </c>
      <c r="D5887" s="1">
        <f>hyperlink("http://dspace.library.uu.nl/handle/1874/298457","IJsselstein 1840-1860 D sir e Paridaens 4-11 1977")</f>
        <v>0</v>
      </c>
    </row>
    <row r="5888" spans="2:4">
      <c r="B5888">
        <v>56</v>
      </c>
      <c r="C5888" s="1">
        <f>hyperlink("https://hetutrechtsarchief.nl/collectie/27F6EF5CE8365434A66DCC2B303681AB","Schadevergoeding voor afsluitingen binnenstad komt op gang Mark de Bruijn 5-7 ill 1997")</f>
        <v>0</v>
      </c>
      <c r="D5888" s="1">
        <f>hyperlink("http://dspace.library.uu.nl/handle/1874/298458","De wording van de IJsselsteinse binnenstad Roelof Pasman 7-8 1977")</f>
        <v>0</v>
      </c>
    </row>
    <row r="5889" spans="2:4">
      <c r="B5889">
        <v>57</v>
      </c>
      <c r="C5889" s="1">
        <f>hyperlink("https://hetutrechtsarchief.nl/collectie/7FBD24CD8ACE5FE48C620E916DE9FACF","Het ruisen van de Libanon P van der Kraan 26-35 1999")</f>
        <v>0</v>
      </c>
      <c r="D5889" s="1">
        <f>hyperlink("http://dspace.library.uu.nl/handle/1874/298459","Het lot van het IJsselsteinsche Slot J van der Roest 21-23 1977")</f>
        <v>0</v>
      </c>
    </row>
    <row r="5890" spans="2:4">
      <c r="B5890">
        <v>59</v>
      </c>
      <c r="C5890" s="1">
        <f>hyperlink("https://hetutrechtsarchief.nl/collectie/8B9AF0C03B1E5A7E9EEB63458684DDB8","De vrouwenbibliotheek Susanne van Capelleveen 9-11 1985")</f>
        <v>0</v>
      </c>
      <c r="D5890" s="1">
        <f>hyperlink("http://dspace.library.uu.nl/handle/1874/298460","De nieuwe bibliotheek A Schaik C van Swanink 3-6 1977")</f>
        <v>0</v>
      </c>
    </row>
    <row r="5891" spans="2:4">
      <c r="B5891">
        <v>66</v>
      </c>
      <c r="C5891" s="1">
        <f>hyperlink("https://hetutrechtsarchief.nl/collectie/1E00F4E16A5C517C8937F8C8E3B76E21","Utrechts middeleeuws zilver in Berlijn Louise van Tongerloo 122-124 2008")</f>
        <v>0</v>
      </c>
      <c r="D5891" s="1">
        <f>hyperlink("http://dspace.library.uu.nl/handle/1874/298461","Middeleeuws IJsselstein Louise van Tongerloo 1977")</f>
        <v>0</v>
      </c>
    </row>
    <row r="5892" spans="2:4">
      <c r="B5892">
        <v>54</v>
      </c>
      <c r="C5892" s="1">
        <f>hyperlink("https://hetutrechtsarchief.nl/collectie/EA66C7FF3F44568DB3E6FDBC6850358B","De boterkapel der St Nicolaaskerk E J Haslinghuis 50-51 1926")</f>
        <v>0</v>
      </c>
      <c r="D5892" s="1">
        <f>hyperlink("http://dspace.library.uu.nl/handle/1874/298462","De oude St Nicolaaskerk van IJsselstein Peter Vergouw Martijn Siccama 19-24 1977")</f>
        <v>0</v>
      </c>
    </row>
    <row r="5893" spans="2:4">
      <c r="B5893">
        <v>55</v>
      </c>
      <c r="C5893" s="1">
        <f>hyperlink("https://hetutrechtsarchief.nl/collectie/1CDAF7C8BFE55F6DA43012E9CD329D10","De glazen van de Cisterci nserkloosterkerk te IJsselstein en hun schenkers Louise van Tongerloo 18-41 ill 1982")</f>
        <v>0</v>
      </c>
      <c r="D5893" s="1">
        <f>hyperlink("http://dspace.library.uu.nl/handle/1874/298463","De herbouw van de Kloosterkerk binnen IJsselstein na de brand van 18 mei 1537 R Doesburg M H H Jonkers H Pasman 4-18 1978")</f>
        <v>0</v>
      </c>
    </row>
    <row r="5894" spans="2:4">
      <c r="B5894">
        <v>53</v>
      </c>
      <c r="C5894" s="1">
        <f>hyperlink("https://hetutrechtsarchief.nl/collectie/7D17B754F45A507481CB61BD23BE993C","Geschiedenis van het Ridderschapshuis te Utrecht 1781-heden L M Rutgers van Rozenburg 172-174 ill 1983")</f>
        <v>0</v>
      </c>
      <c r="D5894" s="1">
        <f>hyperlink("http://dspace.library.uu.nl/handle/1874/298464","Geschiedenis van de grienden in kort bestek Ch W Duuren C A van Goes A H Vink 6-15 no 8 1978 p 14-24 no 9 1978 p 2-10 1978")</f>
        <v>0</v>
      </c>
    </row>
    <row r="5895" spans="2:4">
      <c r="B5895">
        <v>58</v>
      </c>
      <c r="C5895" s="1">
        <f>hyperlink("https://hetutrechtsarchief.nl/collectie/6FAEF3ED405951E6802C96A1C545BD9E","De restauratie van de Domkerk Daan Jansen 73-88 ill 1939")</f>
        <v>0</v>
      </c>
      <c r="D5895" s="1">
        <f>hyperlink("http://dspace.library.uu.nl/handle/1874/298465","De aap en de doodsklok J A Jansen 20 1978")</f>
        <v>0</v>
      </c>
    </row>
    <row r="5896" spans="2:4">
      <c r="B5896">
        <v>61</v>
      </c>
      <c r="C5896" s="1">
        <f>hyperlink("https://hetutrechtsarchief.nl/collectie/B906D2BDBEA8555990EB91F8E9E6E7CC","Trekhond een hondenbaan de geschiedenis van de trekhond in IJsselstein L Murk en K Peeters 1-18 1999")</f>
        <v>0</v>
      </c>
      <c r="D5896" s="1">
        <f>hyperlink("http://dspace.library.uu.nl/handle/1874/298466","40 Jaar geleden begrafenis van Peter Petalo in IJsselstein L Murk 16-18 1978")</f>
        <v>0</v>
      </c>
    </row>
    <row r="5897" spans="2:4">
      <c r="B5897">
        <v>57</v>
      </c>
      <c r="C5897" s="1">
        <f>hyperlink("https://hetutrechtsarchief.nl/collectie/A9A834B4CCF45C8D91F1F9DE024ECF3F","Kardinaal de Jong L J Rogier 23-32 1955")</f>
        <v>0</v>
      </c>
      <c r="D5897" s="1">
        <f>hyperlink("http://dspace.library.uu.nl/handle/1874/298467","Naambordjes bij bomen G M Otter 23-24 1978")</f>
        <v>0</v>
      </c>
    </row>
    <row r="5898" spans="2:4">
      <c r="B5898">
        <v>57</v>
      </c>
      <c r="C5898" s="1">
        <f>hyperlink("https://hetutrechtsarchief.nl/collectie/5DB39C14E6FC5ABC8BDD6B940AEF57DF","De Nieuwpoort te IJsselstein - Abbink Spaink 39-40 1950")</f>
        <v>0</v>
      </c>
      <c r="D5898" s="1">
        <f>hyperlink("http://dspace.library.uu.nl/handle/1874/298468","Het distributiekantoor te IJsselstein M L M Pompe 19-22 1978")</f>
        <v>0</v>
      </c>
    </row>
    <row r="5899" spans="2:4">
      <c r="B5899">
        <v>55</v>
      </c>
      <c r="C5899" s="1">
        <f>hyperlink("https://hetutrechtsarchief.nl/collectie/E7A1093C3CFB53F3BE19730CC19ED098","De Vechtstreek - v C 29-31 1951")</f>
        <v>0</v>
      </c>
      <c r="D5899" s="1">
        <f>hyperlink("http://dspace.library.uu.nl/handle/1874/298469","Gevelstenen Ch M J Versteegh-Koch 2-3 1978")</f>
        <v>0</v>
      </c>
    </row>
    <row r="5900" spans="2:4">
      <c r="B5900">
        <v>62</v>
      </c>
      <c r="C5900" s="1">
        <f>hyperlink("https://hetutrechtsarchief.nl/collectie/8BBE588DCD77680FE0534701000AD29F","De restauraties van het Rietveld Schr derhuis een reflectie Marie-Th r sev an Thoor 15-31 2019")</f>
        <v>0</v>
      </c>
      <c r="D5900" s="1">
        <f>hyperlink("http://dspace.library.uu.nl/handle/1874/298470","De restauratie van het stadhuis te IJsselstein R Visser 2-10 12-13 1978")</f>
        <v>0</v>
      </c>
    </row>
    <row r="5901" spans="2:4">
      <c r="B5901">
        <v>57</v>
      </c>
      <c r="C5901" s="1">
        <f>hyperlink("https://hetutrechtsarchief.nl/collectie/BFCEABCC7BAE52D5BAF4266BEE0B1701","De ontwerpen van de Unie van Utrecht medeged door P J van Winter 108 -177 1943")</f>
        <v>0</v>
      </c>
      <c r="D5901" s="1">
        <f>hyperlink("http://dspace.library.uu.nl/handle/1874/298471","De ontwikkeling van de grondvormen van het voor-twintigste eeuwse stadhuis Floor van Erp Ad van Erp 10-11 1979")</f>
        <v>0</v>
      </c>
    </row>
    <row r="5902" spans="2:4">
      <c r="B5902">
        <v>55</v>
      </c>
      <c r="C5902" s="1">
        <f>hyperlink("https://hetutrechtsarchief.nl/collectie/2346EA7E4F6E5E7DBFB6DC3080D0624A","Eendenkooien groen cultuurerfgoed van internationale allure Tekst en Beeld D sir Karelse 18-21 2011")</f>
        <v>0</v>
      </c>
      <c r="D5902" s="1">
        <f>hyperlink("http://dspace.library.uu.nl/handle/1874/298472","Eendenkooien een kijkje achter de schermen D sir Karelse 2-17 no 12 1979 p 2-24 1979")</f>
        <v>0</v>
      </c>
    </row>
    <row r="5903" spans="2:4">
      <c r="B5903">
        <v>57</v>
      </c>
      <c r="C5903" s="1">
        <f>hyperlink("https://hetutrechtsarchief.nl/collectie/57CA02A83E8C5CAFBB68B019232E280E","Een viertal oude portretten op het kasteel Oudegein R T Muschart 332-336 1932")</f>
        <v>0</v>
      </c>
      <c r="D5903" s="1">
        <f>hyperlink("http://dspace.library.uu.nl/handle/1874/298473","Zijn er nog restanten van het stadje het Gein R J Ooyevaar 2-6 1979")</f>
        <v>0</v>
      </c>
    </row>
    <row r="5904" spans="2:4">
      <c r="B5904">
        <v>57</v>
      </c>
      <c r="C5904" s="1">
        <f>hyperlink("https://hetutrechtsarchief.nl/collectie/0823FD59A26F5FE495D614C59D0FC044","Meer over het Veer Wim Eimers 18-21 2017")</f>
        <v>0</v>
      </c>
      <c r="D5904" s="1">
        <f>hyperlink("http://dspace.library.uu.nl/handle/1874/298474","De kroon op het werk M Siccama P Vergouw 18-24 1979")</f>
        <v>0</v>
      </c>
    </row>
    <row r="5905" spans="2:4">
      <c r="B5905">
        <v>56</v>
      </c>
      <c r="C5905" s="1">
        <f>hyperlink("https://hetutrechtsarchief.nl/collectie/16EDD307E533521D9E90D316EE23F155","IJsselsteiners in de slag bij Waterloo Rinus Verweij 17-32 2015")</f>
        <v>0</v>
      </c>
      <c r="D5905" s="1">
        <f>hyperlink("http://dspace.library.uu.nl/handle/1874/298475","IJsselsteins verspreide kunstschatten M Vergouw 12-13 1979")</f>
        <v>0</v>
      </c>
    </row>
    <row r="5906" spans="2:4">
      <c r="B5906">
        <v>59</v>
      </c>
      <c r="C5906" s="1">
        <f>hyperlink("https://hetutrechtsarchief.nl/collectie/DC5070D8636B5241A879B5A7BFFF5145","Het verhaal van de vermiste Canadezen in Jaarsveld Joop van Vliet 43-46 2005")</f>
        <v>0</v>
      </c>
      <c r="D5906" s="1">
        <f>hyperlink("http://dspace.library.uu.nl/handle/1874/298476","Het relaas van de IJsselsteinse Heinkel HE III J van Vliet 14-16 1979")</f>
        <v>0</v>
      </c>
    </row>
    <row r="5907" spans="2:4">
      <c r="B5907">
        <v>58</v>
      </c>
      <c r="C5907" s="1">
        <f>hyperlink("https://hetutrechtsarchief.nl/collectie/0C2FA238B933536881F8DC68393387C4","Oude gebruiken op de eerste mei C Catharina van de Graft 34-36 ill 1966")</f>
        <v>0</v>
      </c>
      <c r="D5907" s="1">
        <f>hyperlink("http://dspace.library.uu.nl/handle/1874/298477","Oude gebruiken op de boerderij G van Wijk-Kromwijk 7-9 1979")</f>
        <v>0</v>
      </c>
    </row>
    <row r="5908" spans="2:4">
      <c r="B5908">
        <v>58</v>
      </c>
      <c r="C5908" s="1">
        <f>hyperlink("https://hetutrechtsarchief.nl/collectie/60432DEB57805D799446BFE0B02071A0","Verandering van namen van eenige straten L E Bosch 123-127 1866")</f>
        <v>0</v>
      </c>
      <c r="D5908" s="1">
        <f>hyperlink("http://dspace.library.uu.nl/handle/1874/298538","Verklaring van straatnamen in IJsselstein II De Nieuwpoort 2-10 1979")</f>
        <v>0</v>
      </c>
    </row>
    <row r="5909" spans="2:4">
      <c r="B5909">
        <v>81</v>
      </c>
      <c r="C5909" s="1">
        <f>hyperlink("https://hetutrechtsarchief.nl/collectie/5659FB41D8965E8F95F60EDDF977DEE2","Het cisterci nserklooster Onze Lieve Vrouweberg te IJsselstein W Stooker 168-177 ill 1938")</f>
        <v>0</v>
      </c>
      <c r="D5909" s="1">
        <f>hyperlink("http://dspace.library.uu.nl/handle/1874/298539","Het Cisterci nzerklooster Onze Lieve Vrouweberg te IJsselstein een verslag uit 1938 W Stooker 11-16 1979")</f>
        <v>0</v>
      </c>
    </row>
    <row r="5910" spans="2:4">
      <c r="B5910">
        <v>83</v>
      </c>
      <c r="C5910" s="1">
        <f>hyperlink("https://hetutrechtsarchief.nl/collectie/D306FE329C225B7FA282C2C12055D471","Koning Lodewijk te IJsselstein - E 51-53 1939")</f>
        <v>0</v>
      </c>
      <c r="D5910" s="1">
        <f>hyperlink("http://dspace.library.uu.nl/handle/1874/298540","Koning Lodewijk te IJsselstein G A Evers 22-23 1980")</f>
        <v>0</v>
      </c>
    </row>
    <row r="5911" spans="2:4">
      <c r="B5911">
        <v>52</v>
      </c>
      <c r="C5911" s="1">
        <f>hyperlink("https://hetutrechtsarchief.nl/collectie/7CC75FE4E54D5CAB91243F5721A93642","Straatnaamgeving in de nieuwbouw de herkomst van de naam De Milan Visconti J F K Kits Nieuwenkamp 66-71 1998")</f>
        <v>0</v>
      </c>
      <c r="D5911" s="1">
        <f>hyperlink("http://dspace.library.uu.nl/handle/1874/298541","Straatnaamgeving in IJsselstein III Mr Abbink Spainkstraat P F Abbink Spaink M M W Abbink Spaink 16-21 1980")</f>
        <v>0</v>
      </c>
    </row>
    <row r="5912" spans="2:4">
      <c r="B5912">
        <v>55</v>
      </c>
      <c r="C5912" s="1">
        <f>hyperlink("https://hetutrechtsarchief.nl/collectie/BA48F39C5D425BFBBED9FB4EBE936DA5","Stad en Lande ging uitkeren D Dekema 149-155 1999")</f>
        <v>0</v>
      </c>
      <c r="D5912" s="1">
        <f>hyperlink("http://dspace.library.uu.nl/handle/1874/298542","Stadswapenwandelingetje L J Goedemondt 19-23 1980")</f>
        <v>0</v>
      </c>
    </row>
    <row r="5913" spans="2:4">
      <c r="B5913">
        <v>62</v>
      </c>
      <c r="C5913" s="1">
        <f>hyperlink("https://hetutrechtsarchief.nl/collectie/1F1F681A40085486804FF213021B3615","De notariele archieven van IJsselstein Rob Alkemade 1-12 2010")</f>
        <v>0</v>
      </c>
      <c r="D5913" s="1">
        <f>hyperlink("http://dspace.library.uu.nl/handle/1874/298543","De Amstels van IJsselstein J Heniger 1-17 1980")</f>
        <v>0</v>
      </c>
    </row>
    <row r="5914" spans="2:4">
      <c r="B5914">
        <v>60</v>
      </c>
      <c r="C5914" s="1">
        <f>hyperlink("https://hetutrechtsarchief.nl/collectie/65D4F3D275CA56A299AF0CE199748750","Het Schoutenhuis en zijn bewoners O Dekkers 216-229 ill 1998")</f>
        <v>0</v>
      </c>
      <c r="D5914" s="1">
        <f>hyperlink("http://dspace.library.uu.nl/handle/1874/298544","Het huis s Heerendijk en zijn bewoners J Meerdink 5-22 no 15 1980 p 1-15 1980")</f>
        <v>0</v>
      </c>
    </row>
    <row r="5915" spans="2:4">
      <c r="B5915">
        <v>60</v>
      </c>
      <c r="C5915" s="1">
        <f>hyperlink("https://hetutrechtsarchief.nl/collectie/8A419E92711B56429E448DF294183E2F","Kastelen en hun toekomst 41-42 1969")</f>
        <v>0</v>
      </c>
      <c r="D5915" s="1">
        <f>hyperlink("http://dspace.library.uu.nl/handle/1874/298545","St Katrijnmelken E van Voorst 2-4 1980")</f>
        <v>0</v>
      </c>
    </row>
    <row r="5916" spans="2:4">
      <c r="B5916">
        <v>53</v>
      </c>
      <c r="C5916" s="1">
        <f>hyperlink("https://hetutrechtsarchief.nl/collectie/B400FB89A61153129AD05042314B64B9","Nalezing op de verhandeling over Nicolaas van Cusa E B Swalue 233 -283 1838")</f>
        <v>0</v>
      </c>
      <c r="D5916" s="1">
        <f>hyperlink("http://dspace.library.uu.nl/handle/1874/298547","Basiliek van de H Nicolaas A Jorna J B Witteveen K Hulsman 21-38 1981")</f>
        <v>0</v>
      </c>
    </row>
    <row r="5917" spans="2:4">
      <c r="B5917">
        <v>60</v>
      </c>
      <c r="C5917" s="1">
        <f>hyperlink("https://hetutrechtsarchief.nl/collectie/135997935DC654E9A5089282CC920727","Hoe de Sint-Nicolaaskerk haar kermisdag vierde P H Damst 47-48 1969")</f>
        <v>0</v>
      </c>
      <c r="D5917" s="1">
        <f>hyperlink("http://dspace.library.uu.nl/handle/1874/298548","De oude Sint Nicolaaskerk A Jorna J B Witteveen K Hulsman 2-20 1981")</f>
        <v>0</v>
      </c>
    </row>
    <row r="5918" spans="2:4">
      <c r="B5918">
        <v>61</v>
      </c>
      <c r="C5918" s="1">
        <f>hyperlink("https://hetutrechtsarchief.nl/collectie/8DCBC3DC1202D84AE0534701000AB7EC","Lagedijk-gebied IJsselstein Delta van de Lopikerwaard Bart Rietveld 18-20 2019")</f>
        <v>0</v>
      </c>
      <c r="D5918" s="1">
        <f>hyperlink("http://dspace.library.uu.nl/handle/1874/298712","IJsselstein in prent Bart Rietveld 1-21 1981")</f>
        <v>0</v>
      </c>
    </row>
    <row r="5919" spans="2:4">
      <c r="B5919">
        <v>58</v>
      </c>
      <c r="C5919" s="1">
        <f>hyperlink("https://hetutrechtsarchief.nl/collectie/14429DA3AA755091B3084F74D47AB22F","Na vijftig jaar J A Enklaar - van Foreest 122-125 ill 1951")</f>
        <v>0</v>
      </c>
      <c r="D5919" s="1">
        <f>hyperlink("http://dspace.library.uu.nl/handle/1874/298713","De rijtuig- en wagenmakerij J M van der Roest 20-26 1981")</f>
        <v>0</v>
      </c>
    </row>
    <row r="5920" spans="2:4">
      <c r="B5920">
        <v>56</v>
      </c>
      <c r="C5920" s="1">
        <f>hyperlink("https://hetutrechtsarchief.nl/collectie/98959B4977E6558B80D1A5594740DF76","Eijlers De Klerk 5 18-19 2006")</f>
        <v>0</v>
      </c>
      <c r="D5920" s="1">
        <f>hyperlink("http://dspace.library.uu.nl/handle/1874/298714","Nogmaals de Kloosterkerk 10 1982")</f>
        <v>0</v>
      </c>
    </row>
    <row r="5921" spans="2:4">
      <c r="B5921">
        <v>60</v>
      </c>
      <c r="C5921" s="1">
        <f>hyperlink("https://hetutrechtsarchief.nl/collectie/564960CABE255E45AAACDD1AAF4E287C","Projekt 2500 in het nieuws 16-17 ill 1984")</f>
        <v>0</v>
      </c>
      <c r="D5921" s="1">
        <f>hyperlink("http://dspace.library.uu.nl/handle/1874/298715","IJsselstein in het nieuws 1780-1850 36-38 1982")</f>
        <v>0</v>
      </c>
    </row>
    <row r="5922" spans="2:4">
      <c r="B5922">
        <v>52</v>
      </c>
      <c r="C5922" s="1">
        <f>hyperlink("https://hetutrechtsarchief.nl/collectie/589042F352CC58968B8AD69ABDD2E54A","Vervolging van Roma en Sinti in IJsselstein 1943-1944 T A van Dijk 4-11 2015")</f>
        <v>0</v>
      </c>
      <c r="D5922" s="1">
        <f>hyperlink("http://dspace.library.uu.nl/handle/1874/298716","s Heeren Windtmolen tot IJsselstein 250 jaar 1732-1982 Harry van den Akker 49-64 1982")</f>
        <v>0</v>
      </c>
    </row>
    <row r="5923" spans="2:4">
      <c r="B5923">
        <v>51</v>
      </c>
      <c r="C5923" s="1">
        <f>hyperlink("https://hetutrechtsarchief.nl/collectie/02383510B3FC509B960161A1E9482372","Een engelsch schrijver uit de 18e eeuw over het gevangeniswezen het gasthuis Leeuwenberch en de brandweer te Utrecht - v C 12-15 1932")</f>
        <v>0</v>
      </c>
      <c r="D5923" s="1">
        <f>hyperlink("http://dspace.library.uu.nl/handle/1874/298717","Goed gereedschap is het halve werk een bijdrage over een uniek stuk gereedschap en de mensen die er mee werkten Ch W Bunnik W T Vink 65-72 1982")</f>
        <v>0</v>
      </c>
    </row>
    <row r="5924" spans="2:4">
      <c r="B5924">
        <v>89</v>
      </c>
      <c r="C5924" s="1">
        <f>hyperlink("https://hetutrechtsarchief.nl/collectie/37E932B3AB2C59A4B2F37F07E76741F3","O L Vrouwenberg te IJsselstein B Heesters 41-51 ill 1968")</f>
        <v>0</v>
      </c>
      <c r="D5924" s="1">
        <f>hyperlink("http://dspace.library.uu.nl/handle/1874/298718","O L Vrouwenberg te IJsselstein B Heesters 42-48 1982")</f>
        <v>0</v>
      </c>
    </row>
    <row r="5925" spans="2:4">
      <c r="B5925">
        <v>56</v>
      </c>
      <c r="C5925" s="1">
        <f>hyperlink("https://hetutrechtsarchief.nl/collectie/3EB0E7BE9AC65CEEB0ABD83CE44AB7BA","Een tweetal wij-bisschoppen van Utrecht J H Hofman 149-154 1892")</f>
        <v>0</v>
      </c>
      <c r="D5925" s="1">
        <f>hyperlink("http://dspace.library.uu.nl/handle/1874/298719","Een bisschop hield zijn woord na zijn dood Willem Hoffman 14-15 1982")</f>
        <v>0</v>
      </c>
    </row>
    <row r="5926" spans="2:4">
      <c r="B5926">
        <v>58</v>
      </c>
      <c r="C5926" s="1">
        <f>hyperlink("https://hetutrechtsarchief.nl/collectie/DDB7EEFC985C50A998F57AE04D81C78D","Bijdrage tot een genealogie van de familie Soeterik P J Arpeau 5-22 1987")</f>
        <v>0</v>
      </c>
      <c r="D5926" s="1">
        <f>hyperlink("http://dspace.library.uu.nl/handle/1874/298720","J M van der Roest en enkele van zijn familieleden M Jensma-Marx 11-13 1982")</f>
        <v>0</v>
      </c>
    </row>
    <row r="5927" spans="2:4">
      <c r="B5927">
        <v>63</v>
      </c>
      <c r="C5927" s="1">
        <f>hyperlink("https://hetutrechtsarchief.nl/collectie/7141F1E027D4CFECE0534701000A2CF5","Het lager onderwijs in Vianen in de eerste helft van de 19e eeuw Froukje Leeuwenberg-Steegh en Ankie Overgauw 23-29 2015")</f>
        <v>0</v>
      </c>
      <c r="D5927" s="1">
        <f>hyperlink("http://dspace.library.uu.nl/handle/1874/298721","Het openbaar lager onderwijs in IJsselstein in de eerste helft der 19de eeuw Agnes Jonkers 18-22 no 26 27 1983 p 129-135 1982")</f>
        <v>0</v>
      </c>
    </row>
    <row r="5928" spans="2:4">
      <c r="B5928">
        <v>53</v>
      </c>
      <c r="C5928" s="1">
        <f>hyperlink("https://hetutrechtsarchief.nl/collectie/183CE6FDF47050788F9F3BB86C0B49F1","Verstoord evenwicht - E P D B 50 1971")</f>
        <v>0</v>
      </c>
      <c r="D5928" s="1">
        <f>hyperlink("http://dspace.library.uu.nl/handle/1874/298722","De stoombrandspuit Vecht L Klomp J A Murk 1982")</f>
        <v>0</v>
      </c>
    </row>
    <row r="5929" spans="2:4">
      <c r="B5929">
        <v>58</v>
      </c>
      <c r="C5929" s="1">
        <f>hyperlink("https://hetutrechtsarchief.nl/collectie/AEDF42AEA0D352288F24BAE5E3992AE7","Het dagelijks leven in de Biltse Grift 1 en 6 1984")</f>
        <v>0</v>
      </c>
      <c r="D5929" s="1">
        <f>hyperlink("http://dspace.library.uu.nl/handle/1874/298723","Het sluisje in de IJsseldam Bart Rietveld 1-9 1982")</f>
        <v>0</v>
      </c>
    </row>
    <row r="5930" spans="2:4">
      <c r="B5930">
        <v>51</v>
      </c>
      <c r="C5930" s="1">
        <f>hyperlink("https://hetutrechtsarchief.nl/collectie/6EC73DBD55155795803702315E4814A5","Iets over Paus Adriaan 236-241 1842")</f>
        <v>0</v>
      </c>
      <c r="D5930" s="1">
        <f>hyperlink("http://dspace.library.uu.nl/handle/1874/298724","Fulco geplaatst Peter Vergouw Martijn Siccama 39-41 1982")</f>
        <v>0</v>
      </c>
    </row>
    <row r="5931" spans="2:4">
      <c r="B5931">
        <v>60</v>
      </c>
      <c r="C5931" s="1">
        <f>hyperlink("https://hetutrechtsarchief.nl/collectie/686144233A032AFDE0534701000AE98D","IJsselstein in de jaren 80 dichtbij en ver weg Marcel Berkien en Bart Rietveld 3-30 2018")</f>
        <v>0</v>
      </c>
      <c r="D5931" s="1">
        <f>hyperlink("http://dspace.library.uu.nl/handle/1874/298725","IJsselstein en de prentbriefkaart Marcel Berkien 117-122 1983")</f>
        <v>0</v>
      </c>
    </row>
    <row r="5932" spans="2:4">
      <c r="B5932">
        <v>58</v>
      </c>
      <c r="C5932" s="1">
        <f>hyperlink("https://hetutrechtsarchief.nl/collectie/E0FF9D55B92E57A39899674EEC7C5A3F","De Bilt toen en nu 110-111 2013")</f>
        <v>0</v>
      </c>
      <c r="D5932" s="1">
        <f>hyperlink("http://dspace.library.uu.nl/handle/1874/298726","Het raadsel uit 1599 Ton de Beus 115-116 1983")</f>
        <v>0</v>
      </c>
    </row>
    <row r="5933" spans="2:4">
      <c r="B5933">
        <v>53</v>
      </c>
      <c r="C5933" s="1">
        <f>hyperlink("https://hetutrechtsarchief.nl/collectie/428A8077BAFC5308BF4BF9D57D4A32F4","Van maagden en engelen J A G Tans 263-275 1981")</f>
        <v>0</v>
      </c>
      <c r="D5933" s="1">
        <f>hyperlink("http://dspace.library.uu.nl/handle/1874/298727","Van Nassau tot Oranje-Nassau J G M Boon 123-128 1983")</f>
        <v>0</v>
      </c>
    </row>
    <row r="5934" spans="2:4">
      <c r="B5934">
        <v>66</v>
      </c>
      <c r="C5934" s="1">
        <f>hyperlink("https://hetutrechtsarchief.nl/collectie/2953CCED61FA5C3DBD6DD981C4D9CEDF","Geschiedenis en restauratie van de Doops-gezinde kerk te Utrecht C L Temminck Groll 89-92 1982")</f>
        <v>0</v>
      </c>
      <c r="D5934" s="1">
        <f>hyperlink("http://dspace.library.uu.nl/handle/1874/298728","Geschiedenis en restauratie van de St Nicolaaskerk en toren te IJsselstein L H Donga K Boot 73-99 1983")</f>
        <v>0</v>
      </c>
    </row>
    <row r="5935" spans="2:4">
      <c r="B5935">
        <v>58</v>
      </c>
      <c r="C5935" s="1">
        <f>hyperlink("https://hetutrechtsarchief.nl/collectie/D0BBDC4867FD5EB1B4142A38FA1C0062","Het stuijversgeld van de Nederlandse Hervormde Kerk te Soest E Heupers 105-111 1958")</f>
        <v>0</v>
      </c>
      <c r="D5935" s="1">
        <f>hyperlink("http://dspace.library.uu.nl/handle/1874/298729","De uitvoering van de Drankwet 1881 en het resultaat N A Murk L Peeters 105-114 1983")</f>
        <v>0</v>
      </c>
    </row>
    <row r="5936" spans="2:4">
      <c r="B5936">
        <v>50</v>
      </c>
      <c r="C5936" s="1">
        <f>hyperlink("https://hetutrechtsarchief.nl/collectie/2FE028F00A2150B88A0F937273D14506","USF op Radio Trans Dick den Drijver 10-11 1985")</f>
        <v>0</v>
      </c>
      <c r="D5936" s="1">
        <f>hyperlink("http://dspace.library.uu.nl/handle/1874/298730","Sic transit gloria mundi P Vergouw M Siccama 100-104 1983")</f>
        <v>0</v>
      </c>
    </row>
    <row r="5937" spans="2:4">
      <c r="B5937">
        <v>94</v>
      </c>
      <c r="C5937" s="1">
        <f>hyperlink("https://hetutrechtsarchief.nl/collectie/1CDAF7C8BFE55F6DA43012E9CD329D10","De glazen van de Cisterci nserkloosterkerk te IJsselstein en hun schenkers Louise van Tongerloo 18-41 ill 1982")</f>
        <v>0</v>
      </c>
      <c r="D5937" s="1">
        <f>hyperlink("http://dspace.library.uu.nl/handle/1874/299090","De glazen van de Cisterci nzerkloosterkerk te IJsselstein en hun schenkers Louise van Tongerloo 137-156 1984")</f>
        <v>0</v>
      </c>
    </row>
    <row r="5938" spans="2:4">
      <c r="B5938">
        <v>59</v>
      </c>
      <c r="C5938" s="1">
        <f>hyperlink("https://hetutrechtsarchief.nl/collectie/55420415F3BF5838A935D2155F24C6F1","Reizen in de Vechtstreek 63-65 1954")</f>
        <v>0</v>
      </c>
      <c r="D5938" s="1">
        <f>hyperlink("http://dspace.library.uu.nl/handle/1874/299091","Volksverhalen uit de streek 171-176 1984")</f>
        <v>0</v>
      </c>
    </row>
    <row r="5939" spans="2:4">
      <c r="B5939">
        <v>51</v>
      </c>
      <c r="C5939" s="1">
        <f>hyperlink("https://hetutrechtsarchief.nl/collectie/E39ED6DE459F52268E13A3BCD63DB283","Criminaliteit en rechtspraak in Leersum in de achttiende eeuw 1 Hans van Deukeren 18-21 2005")</f>
        <v>0</v>
      </c>
      <c r="D5939" s="1">
        <f>hyperlink("http://dspace.library.uu.nl/handle/1874/299092","Criminaliteit en straf in de Baronie van IJsselstein van 1750 tot 1795 Hanneke Bruynis Anke Ormeling 183-200 no 32 1985 p 221-240 1984-1985")</f>
        <v>0</v>
      </c>
    </row>
    <row r="5940" spans="2:4">
      <c r="B5940">
        <v>57</v>
      </c>
      <c r="C5940" s="1">
        <f>hyperlink("https://hetutrechtsarchief.nl/collectie/D306FE329C225B7FA282C2C12055D471","Koning Lodewijk te IJsselstein - E 51-53 1939")</f>
        <v>0</v>
      </c>
      <c r="D5940" s="1">
        <f>hyperlink("http://dspace.library.uu.nl/handle/1874/299093","Fotowedstrijd IJsselstein 1934 157-163 1984")</f>
        <v>0</v>
      </c>
    </row>
    <row r="5941" spans="2:4">
      <c r="B5941">
        <v>54</v>
      </c>
      <c r="C5941" s="1">
        <f>hyperlink("https://hetutrechtsarchief.nl/collectie/E44A730E9FC55B7EA08F17CC6734A4B6","Een schoolfoto uit 1946 156-157 1999")</f>
        <v>0</v>
      </c>
      <c r="D5941" s="1">
        <f>hyperlink("http://dspace.library.uu.nl/handle/1874/299094","Kerksloopprotest uit 1697 180-181 1984")</f>
        <v>0</v>
      </c>
    </row>
    <row r="5942" spans="2:4">
      <c r="B5942">
        <v>57</v>
      </c>
      <c r="C5942" s="1">
        <f>hyperlink("https://hetutrechtsarchief.nl/collectie/7424FF3267755710A21F40AF26C2B440","The Broads Wil Merkies 18-21 1984")</f>
        <v>0</v>
      </c>
      <c r="D5942" s="1">
        <f>hyperlink("http://dspace.library.uu.nl/handle/1874/299095","Stuivenbergweg L Murk 177-179 1984")</f>
        <v>0</v>
      </c>
    </row>
    <row r="5943" spans="2:4">
      <c r="B5943">
        <v>62</v>
      </c>
      <c r="C5943" s="1">
        <f>hyperlink("https://hetutrechtsarchief.nl/collectie/EDD0F59CEE16576DAA5DD6C09DCBDA6F","FIOM Utrecht special 1-7 1984")</f>
        <v>0</v>
      </c>
      <c r="D5943" s="1">
        <f>hyperlink("http://dspace.library.uu.nl/handle/1874/299096","Utrechtseweghuisjes 165-170 1984")</f>
        <v>0</v>
      </c>
    </row>
    <row r="5944" spans="2:4">
      <c r="B5944">
        <v>53</v>
      </c>
      <c r="C5944" s="1">
        <f>hyperlink("https://hetutrechtsarchief.nl/collectie/F377FC7FE99151E6AC62B680100F9D4C","Kaarten en kartografie C Koeman 2-4 1969")</f>
        <v>0</v>
      </c>
      <c r="D5944" s="1">
        <f>hyperlink("http://dspace.library.uu.nl/handle/1874/299442","Kersen en kersenboomgaarden C W Ooyevaar R J Vink 341-358 1986")</f>
        <v>0</v>
      </c>
    </row>
    <row r="5945" spans="2:4">
      <c r="B5945">
        <v>55</v>
      </c>
      <c r="C5945" s="1">
        <f>hyperlink("https://hetutrechtsarchief.nl/collectie/21EDD971A60159349EC6FDD5053A6746","Domtoren eredienst en kunst Carel Peeters 121-125 1982")</f>
        <v>0</v>
      </c>
      <c r="D5945" s="1">
        <f>hyperlink("http://dspace.library.uu.nl/handle/1874/299443","Meubelfabriek Van Rooyen K Bunnik W T Murk L Peeters 369-392 1986")</f>
        <v>0</v>
      </c>
    </row>
    <row r="5946" spans="2:4">
      <c r="B5946">
        <v>55</v>
      </c>
      <c r="C5946" s="1">
        <f>hyperlink("https://hetutrechtsarchief.nl/collectie/E0775A725E255B7F9D6AC52CDFDF5EE9","Een wandeling over Soestbergen Wim Smit 231-236 ill 1986")</f>
        <v>0</v>
      </c>
      <c r="D5946" s="1">
        <f>hyperlink("http://dspace.library.uu.nl/handle/1874/299444","Een tram voor IJsselstein Toto Berkien Marcel Mesman 317-337 1986")</f>
        <v>0</v>
      </c>
    </row>
    <row r="5947" spans="2:4">
      <c r="B5947">
        <v>53</v>
      </c>
      <c r="C5947" s="1">
        <f>hyperlink("https://hetutrechtsarchief.nl/collectie/CD2A217660E7503C97A4C1F52A27FF9E","Stedelijke aanvaringen economische treiterijen tussen Utrecht en IJsselstein Fred Vogelzang 76-79 2015")</f>
        <v>0</v>
      </c>
      <c r="D5947" s="1">
        <f>hyperlink("http://dspace.library.uu.nl/handle/1874/299445","Een aanvulling op de Latijnse en Franse school in IJsselstein R J Ooyevaar 338-340 1986")</f>
        <v>0</v>
      </c>
    </row>
    <row r="5948" spans="2:4">
      <c r="B5948">
        <v>53</v>
      </c>
      <c r="C5948" s="1">
        <f>hyperlink("https://hetutrechtsarchief.nl/collectie/665AFB4643BF50CA814A8E9B4EC52F21","Perkament in de middeleeuwen J P Gumbert 13-16 1987")</f>
        <v>0</v>
      </c>
      <c r="D5948" s="1">
        <f>hyperlink("http://dspace.library.uu.nl/handle/1874/299446","Een eindeloze grauwe stoet trok er op uit Bep Murk 393-401 1987")</f>
        <v>0</v>
      </c>
    </row>
    <row r="5949" spans="2:4">
      <c r="B5949">
        <v>53</v>
      </c>
      <c r="C5949" s="1">
        <f>hyperlink("https://hetutrechtsarchief.nl/collectie/BF51CF2F118D54A08998C183AEE7B493","IJsselstein - J D M B 42-43 1954")</f>
        <v>0</v>
      </c>
      <c r="D5949" s="1">
        <f>hyperlink("http://dspace.library.uu.nl/handle/1874/299447","Noord-IJsseldijk nummer twee A P F M Kemme 402-410 1987")</f>
        <v>0</v>
      </c>
    </row>
    <row r="5950" spans="2:4">
      <c r="B5950">
        <v>61</v>
      </c>
      <c r="C5950" s="1">
        <f>hyperlink("https://hetutrechtsarchief.nl/collectie/AA288B9E2F2E5ED298F7964DBBD46905","De Historische Kring te Utrecht 1947 - 1957 P van Hees 201 - 209 1982")</f>
        <v>0</v>
      </c>
      <c r="D5950" s="1">
        <f>hyperlink("http://dspace.library.uu.nl/handle/1874/299448","Tien jaar Historische Kring in vogelvlucht W van Peeters K Wijk 245-249 1985")</f>
        <v>0</v>
      </c>
    </row>
    <row r="5951" spans="2:4">
      <c r="B5951">
        <v>59</v>
      </c>
      <c r="C5951" s="1">
        <f>hyperlink("https://hetutrechtsarchief.nl/collectie/6A596E637BBB507491E2F15956C5B87B","De baronie van IJsselstein een 18e-eeuws Liechtenstein Huib Leeuwenberg 10-11 2011")</f>
        <v>0</v>
      </c>
      <c r="D5951" s="1">
        <f>hyperlink("http://dspace.library.uu.nl/handle/1874/299449","Jan van IJsselstein en Der Naturen Bloeme J Heniger 261-280 1985")</f>
        <v>0</v>
      </c>
    </row>
    <row r="5952" spans="2:4">
      <c r="B5952">
        <v>58</v>
      </c>
      <c r="C5952" s="1">
        <f>hyperlink("https://hetutrechtsarchief.nl/collectie/0EE423823D0C5A91AE7FC2FBEB88A8C8","Het adresboek Achter Sint Pieter 8 Joep Grave 2 1985")</f>
        <v>0</v>
      </c>
      <c r="D5952" s="1">
        <f>hyperlink("http://dspace.library.uu.nl/handle/1874/299450","Het Leidse handschrift van Der Naturen Bloeme Pieter F J Obbema 281-288 1985")</f>
        <v>0</v>
      </c>
    </row>
    <row r="5953" spans="2:4">
      <c r="B5953">
        <v>61</v>
      </c>
      <c r="C5953" s="1">
        <f>hyperlink("https://hetutrechtsarchief.nl/collectie/BD9B361A8BA7515E87373A1E5A149545","Historische kartografie 53-102 ill 1985")</f>
        <v>0</v>
      </c>
      <c r="D5953" s="1">
        <f>hyperlink("http://dspace.library.uu.nl/handle/1874/299451","Tien jaar Historische Kring 313-316 1985")</f>
        <v>0</v>
      </c>
    </row>
    <row r="5954" spans="2:4">
      <c r="B5954">
        <v>55</v>
      </c>
      <c r="C5954" s="1">
        <f>hyperlink("https://hetutrechtsarchief.nl/collectie/EB40F6E225CF50FD81DF145CA5182B78","Nieuwe gegevens over Van Oosterzee M van Rhijn 34-48 1949")</f>
        <v>0</v>
      </c>
      <c r="D5954" s="1">
        <f>hyperlink("http://dspace.library.uu.nl/handle/1874/299452","Mari nberg aan de IJsseldam nieuwe gegevens over klooster en priorij A M Fafiani 363-368 1986")</f>
        <v>0</v>
      </c>
    </row>
    <row r="5955" spans="2:4">
      <c r="B5955">
        <v>57</v>
      </c>
      <c r="C5955" s="1">
        <f>hyperlink("https://hetutrechtsarchief.nl/collectie/4F5E0D3934C05DCDA03011C50CCD686B","De monumentopname van Ton van Schaik 15 2005")</f>
        <v>0</v>
      </c>
      <c r="D5955" s="1">
        <f>hyperlink("http://dspace.library.uu.nl/handle/1874/299453","Mo nu mentopnamen 250-260 1985")</f>
        <v>0</v>
      </c>
    </row>
    <row r="5956" spans="2:4">
      <c r="B5956">
        <v>53</v>
      </c>
      <c r="C5956" s="1">
        <f>hyperlink("https://hetutrechtsarchief.nl/collectie/4B7B89E3E2AA583187E604DF6DC20DAA","Restauraties en vondsten in Utrecht C L Temminck Groll 13-18 54-58 77-80 89-90 98-108 134-135 149-151 ill tek 1960")</f>
        <v>0</v>
      </c>
      <c r="D5956" s="1">
        <f>hyperlink("http://dspace.library.uu.nl/handle/1874/299454","De restauratie van Marienberg vijf woningen in het restant van een klooster G Temminck Groll C L Berends 201-220 no 32 1985 p 243 1984-1985")</f>
        <v>0</v>
      </c>
    </row>
    <row r="5957" spans="2:4">
      <c r="B5957">
        <v>63</v>
      </c>
      <c r="C5957" s="1">
        <f>hyperlink("https://hetutrechtsarchief.nl/collectie/5DB39C14E6FC5ABC8BDD6B940AEF57DF","De Nieuwpoort te IJsselstein - Abbink Spaink 39-40 1950")</f>
        <v>0</v>
      </c>
      <c r="D5957" s="1">
        <f>hyperlink("http://dspace.library.uu.nl/handle/1874/299455","De Latijnse kostschool te IJsselstein A M Fafianie 293-309 1985")</f>
        <v>0</v>
      </c>
    </row>
    <row r="5958" spans="2:4">
      <c r="B5958">
        <v>83</v>
      </c>
      <c r="C5958" s="1">
        <f>hyperlink("https://hetutrechtsarchief.nl/collectie/39D36BC785D059D980DC19CC4850BE62","Zeevliet E van Oosterom 71-74 1969")</f>
        <v>0</v>
      </c>
      <c r="D5958" s="1">
        <f>hyperlink("http://dspace.library.uu.nl/handle/1874/299456","Zeevliet E van Oosterom 359-362 1986")</f>
        <v>0</v>
      </c>
    </row>
    <row r="5959" spans="2:4">
      <c r="B5959">
        <v>53</v>
      </c>
      <c r="C5959" s="1">
        <f>hyperlink("https://hetutrechtsarchief.nl/collectie/DC3767FD62475C568F0B525C072C4547","De regulierenbijbel van Utrecht vondsten en uitzicht M P van Buijtenen 57-63 ill 1987")</f>
        <v>0</v>
      </c>
      <c r="D5959" s="1">
        <f>hyperlink("http://dspace.library.uu.nl/handle/1874/299683","Het beleg van Utrecht voor IJsselstein in 1511 uit het Middelnederlands overgezet A M Fafianie 58-68 1987")</f>
        <v>0</v>
      </c>
    </row>
    <row r="5960" spans="2:4">
      <c r="B5960">
        <v>52</v>
      </c>
      <c r="C5960" s="1">
        <f>hyperlink("https://hetutrechtsarchief.nl/collectie/CC50A32FD64F55A08B1F0C249BA67FB3","Een Breukeleveens arbeidersgezin in de jaren 1940 Maarten M Manten 169-174 2001")</f>
        <v>0</v>
      </c>
      <c r="D5960" s="1">
        <f>hyperlink("http://dspace.library.uu.nl/handle/1874/299684","Een vertroostelijck antwoorde verwachtende het schoutambt IJsselstein in de jaren 1568-1590 A M Fafianie 22-37 1987")</f>
        <v>0</v>
      </c>
    </row>
    <row r="5961" spans="2:4">
      <c r="B5961">
        <v>51</v>
      </c>
      <c r="C5961" s="1">
        <f>hyperlink("https://hetutrechtsarchief.nl/collectie/F73F872044ED5983844E308B242B1859","Student in de nacht nachtwaker bij het Snurkhuis een asbak naar je hoofd krijgen daar moet je wel tegen kunnen Ninke Stukker 12 1997")</f>
        <v>0</v>
      </c>
      <c r="D5961" s="1">
        <f>hyperlink("http://dspace.library.uu.nl/handle/1874/299685","Rijst uit den slaap den dag genaakt instructie waarnaar de klapwakers binnen de stad IJsselstein zullen hebben te reguleren 17-21 1987")</f>
        <v>0</v>
      </c>
    </row>
    <row r="5962" spans="2:4">
      <c r="B5962">
        <v>59</v>
      </c>
      <c r="C5962" s="1">
        <f>hyperlink("https://hetutrechtsarchief.nl/collectie/B5E75DD517155C528D459704A275D009","De steen- pan- en tegelbakkerijen de Zonnebloem I en II F H Landzaat 189 - 192 ill 1982")</f>
        <v>0</v>
      </c>
      <c r="D5962" s="1">
        <f>hyperlink("http://dspace.library.uu.nl/handle/1874/299686","Steenbakkerijen te IJsselstein L Landzaat F H Murk 1-16 1987")</f>
        <v>0</v>
      </c>
    </row>
    <row r="5963" spans="2:4">
      <c r="B5963">
        <v>52</v>
      </c>
      <c r="C5963" s="1">
        <f>hyperlink("https://hetutrechtsarchief.nl/collectie/C74EA31D6C6454C2823635F849D224A4","De aanstelling van notarissen in de provincie Utrecht ten tijde der republiek A J van de Ven 10-12 1949")</f>
        <v>0</v>
      </c>
      <c r="D5963" s="1">
        <f>hyperlink("http://dspace.library.uu.nl/handle/1874/299687","Een ontdekking verslag van Gedeputeerde Staten een de Provinciale Staten van Utrecht over den toestand der provincie in 1908 uitgebracht in de zomervergadering van 1909 38-39 1987")</f>
        <v>0</v>
      </c>
    </row>
    <row r="5964" spans="2:4">
      <c r="B5964">
        <v>52</v>
      </c>
      <c r="C5964" s="1">
        <f>hyperlink("https://hetutrechtsarchief.nl/collectie/8D2578A1315858CC8502FE41CD98EF8B","Nieuw leven in Pieterskerk van Eemnes geschiedenis en restauratie van het Dikke Torentje beschreven Jaap Groeneveld 128-133 2017")</f>
        <v>0</v>
      </c>
      <c r="D5964" s="1">
        <f>hyperlink("http://dspace.library.uu.nl/handle/1874/299688","Den moolenaar zal de gemeynte goed meel maken restauratie van s Heren Korenmolen te IJsselstein G H Keunen 69-93 1988")</f>
        <v>0</v>
      </c>
    </row>
    <row r="5965" spans="2:4">
      <c r="B5965">
        <v>56</v>
      </c>
      <c r="C5965" s="1">
        <f>hyperlink("https://hetutrechtsarchief.nl/collectie/589042F352CC58968B8AD69ABDD2E54A","Vervolging van Roma en Sinti in IJsselstein 1943-1944 T A van Dijk 4-11 2015")</f>
        <v>0</v>
      </c>
      <c r="D5965" s="1">
        <f>hyperlink("http://dspace.library.uu.nl/handle/1874/299689","Verordening op s Heren Korenmolen in IJsselstein uit 1741 A M Fafianie 94-96 1988")</f>
        <v>0</v>
      </c>
    </row>
    <row r="5966" spans="2:4">
      <c r="B5966">
        <v>57</v>
      </c>
      <c r="C5966" s="1">
        <f>hyperlink("https://hetutrechtsarchief.nl/collectie/5659FB41D8965E8F95F60EDDF977DEE2","Het cisterci nserklooster Onze Lieve Vrouweberg te IJsselstein W Stooker 168-177 ill 1938")</f>
        <v>0</v>
      </c>
      <c r="D5966" s="1">
        <f>hyperlink("http://dspace.library.uu.nl/handle/1874/299690","Ter ere Gods en onze Lieve Vrouw van Eiteren een leprozengilde Karin Westerink 41-57 1987")</f>
        <v>0</v>
      </c>
    </row>
    <row r="5967" spans="2:4">
      <c r="B5967">
        <v>56</v>
      </c>
      <c r="C5967" s="1">
        <f>hyperlink("https://hetutrechtsarchief.nl/collectie/E210A45F547A5A75B4510FAD9683340A","Terugblik Historische Kring Baarn Marjo Stam 66-75 2014")</f>
        <v>0</v>
      </c>
      <c r="D5967" s="1">
        <f>hyperlink("http://dspace.library.uu.nl/handle/1874/300583","Angstelkroniek Historische Kring Abcoude Baambrugge 1999-")</f>
        <v>0</v>
      </c>
    </row>
    <row r="5968" spans="2:4">
      <c r="B5968">
        <v>59</v>
      </c>
      <c r="C5968" s="1">
        <f>hyperlink("https://hetutrechtsarchief.nl/collectie/C3D909DA544857C8B05E067C1D31B553","Een lijst van inwoners van IJsselstein uit 1678 W J Spies 465-469 2002")</f>
        <v>0</v>
      </c>
      <c r="D5968" s="1">
        <f>hyperlink("http://dspace.library.uu.nl/handle/1874/300584","Een kaart van IJsselstein uit 1812 A M Fafianie 97-110 1988")</f>
        <v>0</v>
      </c>
    </row>
    <row r="5969" spans="2:4">
      <c r="B5969">
        <v>59</v>
      </c>
      <c r="C5969" s="1">
        <f>hyperlink("https://hetutrechtsarchief.nl/collectie/1F1F681A40085486804FF213021B3615","De notariele archieven van IJsselstein Rob Alkemade 1-12 2010")</f>
        <v>0</v>
      </c>
      <c r="D5969" s="1">
        <f>hyperlink("http://dspace.library.uu.nl/handle/1874/300585","Tienden in het land van IJsselstein A M Fafianie 116-128 1988")</f>
        <v>0</v>
      </c>
    </row>
    <row r="5970" spans="2:4">
      <c r="B5970">
        <v>56</v>
      </c>
      <c r="C5970" s="1">
        <f>hyperlink("https://hetutrechtsarchief.nl/collectie/73D9C223C5A9D016E0534701000AF3D4","Uit de Oude Schoenendoos Deel 75 Hans Sagel 117-118 2018")</f>
        <v>0</v>
      </c>
      <c r="D5970" s="1">
        <f>hyperlink("http://dspace.library.uu.nl/handle/1874/300586","Uit de schooldoos 114-115 no 47 1988 p 138 1988")</f>
        <v>0</v>
      </c>
    </row>
    <row r="5971" spans="2:4">
      <c r="B5971">
        <v>54</v>
      </c>
      <c r="C5971" s="1">
        <f>hyperlink("https://hetutrechtsarchief.nl/collectie/8BCA9C2AE54D50E78B5BFF3F6442243A","Het schriftmuseum J A Dortmond C M Faas 113-115 1978")</f>
        <v>0</v>
      </c>
      <c r="D5971" s="1">
        <f>hyperlink("http://dspace.library.uu.nl/handle/1874/300587","t Wilhelmus ja of nee L Murk 111-113 1988")</f>
        <v>0</v>
      </c>
    </row>
    <row r="5972" spans="2:4">
      <c r="B5972">
        <v>50</v>
      </c>
      <c r="C5972" s="1">
        <f>hyperlink("https://hetutrechtsarchief.nl/collectie/A03B7A4FBC0D581AAA30E91B502094A0","Drie verdwenen buitenplaatsen aan de Angstel te Baambrugge de bewoners en hun buren D L H Slebos 49-85 1998")</f>
        <v>0</v>
      </c>
      <c r="D5972" s="1">
        <f>hyperlink("http://dspace.library.uu.nl/handle/1874/300588","Meerleveld wellustig landsieraad hoe kunt gij t oog vermaken met t prachtig hofgebouw D L H Slebos 3-6 1999")</f>
        <v>0</v>
      </c>
    </row>
    <row r="5973" spans="2:4">
      <c r="B5973">
        <v>62</v>
      </c>
      <c r="C5973" s="1">
        <f>hyperlink("https://hetutrechtsarchief.nl/collectie/684B910DEC5C53A0815A91F0802F1BC2","De brug over de Kerkvaart Jan Rouwenhorst 140-143 1999")</f>
        <v>0</v>
      </c>
      <c r="D5973" s="1">
        <f>hyperlink("http://dspace.library.uu.nl/handle/1874/300589","De vergaderplaats Harrie Hoogenhout 10-11 1999")</f>
        <v>0</v>
      </c>
    </row>
    <row r="5974" spans="2:4">
      <c r="B5974">
        <v>63</v>
      </c>
      <c r="C5974" s="1">
        <f>hyperlink("https://hetutrechtsarchief.nl/collectie/66CD5A856ADC5BD5AAB60673B0A6492A","Burgemeesters in Abcoude Wim Timmer 264 2006")</f>
        <v>0</v>
      </c>
      <c r="D5974" s="1">
        <f>hyperlink("http://dspace.library.uu.nl/handle/1874/300590","Eendekooien in Abcoude W W Timmer 6-7 1999")</f>
        <v>0</v>
      </c>
    </row>
    <row r="5975" spans="2:4">
      <c r="B5975">
        <v>55</v>
      </c>
      <c r="C5975" s="1">
        <f>hyperlink("https://hetutrechtsarchief.nl/collectie/30A9BEAFD478502AA6DCBC99F8784430","De archaeologie in Nederland 1899-1924 A W Byvanck 119-130 1924")</f>
        <v>0</v>
      </c>
      <c r="D5975" s="1">
        <f>hyperlink("http://dspace.library.uu.nl/handle/1874/300591","De Wilhelmina-linde in Abcoude 1898-1954 W W Timmer 9-10 1999")</f>
        <v>0</v>
      </c>
    </row>
    <row r="5976" spans="2:4">
      <c r="B5976">
        <v>59</v>
      </c>
      <c r="C5976" s="1">
        <f>hyperlink("https://hetutrechtsarchief.nl/collectie/979CADC1E4D5DCF8E0534701000A6613","De Utrechtsestraatweg in Amerongen Wim Eimers 12-15 2019")</f>
        <v>0</v>
      </c>
      <c r="D5976" s="1">
        <f>hyperlink("http://dspace.library.uu.nl/handle/1874/300592","Aasdomstraat de straat waar ik woon Wim Timmer 523-526 2013")</f>
        <v>0</v>
      </c>
    </row>
    <row r="5977" spans="2:4">
      <c r="B5977">
        <v>54</v>
      </c>
      <c r="C5977" s="1">
        <f>hyperlink("https://hetutrechtsarchief.nl/collectie/78528D0B80AD560FBAF81AFC1D91C9F7","Arien van Garderen 1707-1763 een Casanova in Driebergen Wout Spies 574-579 2003")</f>
        <v>0</v>
      </c>
      <c r="D5977" s="1">
        <f>hyperlink("http://dspace.library.uu.nl/handle/1874/300593","Piet van Wijngaerdt 1873-1964 een bewoner van de Sationsstraat 32 Louis Firet 527- 529 2013")</f>
        <v>0</v>
      </c>
    </row>
    <row r="5978" spans="2:4">
      <c r="B5978">
        <v>69</v>
      </c>
      <c r="C5978" s="1">
        <f>hyperlink("https://hetutrechtsarchief.nl/collectie/4DAB23336AB95902901699605A445908","Drinkwatervoorziening in Abcoude en Baambrugge in vroeger tijden Wim Timmer 507-515 2012")</f>
        <v>0</v>
      </c>
      <c r="D5978" s="1">
        <f>hyperlink("http://dspace.library.uu.nl/handle/1874/300594","Sprokkelingen uit Abcoude en Baambrugge in het jaar 1912 Wim Timmer 530-531 2013")</f>
        <v>0</v>
      </c>
    </row>
    <row r="5979" spans="2:4">
      <c r="B5979">
        <v>69</v>
      </c>
      <c r="C5979" s="1">
        <f>hyperlink("https://hetutrechtsarchief.nl/collectie/3A67AD04C74D5F6D80A26F8733196870","Het kunstwerk van de Schone Baadster een beeld van Gozen Doorn Marijke Carasso-Kok 503-504 2011")</f>
        <v>0</v>
      </c>
      <c r="D5979" s="1">
        <f>hyperlink("http://dspace.library.uu.nl/handle/1874/300595","Het kunstwerk van zonnewijzer en Vogel met Zon van Rinus van Duin Marijke Carasso-Kok 532-535 2013")</f>
        <v>0</v>
      </c>
    </row>
    <row r="5980" spans="2:4">
      <c r="B5980">
        <v>67</v>
      </c>
      <c r="C5980" s="1">
        <f>hyperlink("https://hetutrechtsarchief.nl/collectie/367C4B1FF61F58DEB6687ABCD3BEE826","Meetpunten in de toren van de Ned Herv kerk te Abcoude Wim Timmer 252 2005")</f>
        <v>0</v>
      </c>
      <c r="D5980" s="1">
        <f>hyperlink("http://dspace.library.uu.nl/handle/1874/300596","De restauratie van de toren van de Cosmas en Damianus Kerk in Aboude Wim Timmer 536-540 2013")</f>
        <v>0</v>
      </c>
    </row>
    <row r="5981" spans="2:4">
      <c r="B5981">
        <v>55</v>
      </c>
      <c r="C5981" s="1">
        <f>hyperlink("https://hetutrechtsarchief.nl/collectie/EFACB5F59D6855808CC86A461343058A","Interview in en over de Buurkerk Cees van Dijk en J N van der Meulen 14 - 19 1983")</f>
        <v>0</v>
      </c>
      <c r="D5981" s="1">
        <f>hyperlink("http://dspace.library.uu.nl/handle/1874/300696","De brieven van Pieter van der Meulen Pieter van der Meulen 145-148 no 48 1989 p 166-176 1988-1989")</f>
        <v>0</v>
      </c>
    </row>
    <row r="5982" spans="2:4">
      <c r="B5982">
        <v>53</v>
      </c>
      <c r="C5982" s="1">
        <f>hyperlink("https://hetutrechtsarchief.nl/collectie/BFD35F1DCE49558B8F8D57D30624FD4C","Waar speelden wij zestig jaren geleden door A J S v L 47-48 1948")</f>
        <v>0</v>
      </c>
      <c r="D5982" s="1">
        <f>hyperlink("http://dspace.library.uu.nl/handle/1874/300697","Waar gebeurd in IJsselstein verhalen uit de tijd voor 1800 A M Fafianie 129-137 1988")</f>
        <v>0</v>
      </c>
    </row>
    <row r="5983" spans="2:4">
      <c r="B5983">
        <v>58</v>
      </c>
      <c r="C5983" s="1">
        <f>hyperlink("https://hetutrechtsarchief.nl/collectie/37E932B3AB2C59A4B2F37F07E76741F3","O L Vrouwenberg te IJsselstein B Heesters 41-51 ill 1968")</f>
        <v>0</v>
      </c>
      <c r="D5983" s="1">
        <f>hyperlink("http://dspace.library.uu.nl/handle/1874/300698","Het zenderpark Lopik IJsselstein K Peeters 257-276 1990")</f>
        <v>0</v>
      </c>
    </row>
    <row r="5984" spans="2:4">
      <c r="B5984">
        <v>55</v>
      </c>
      <c r="C5984" s="1">
        <f>hyperlink("https://hetutrechtsarchief.nl/collectie/BB0CED2276DF54B596FEE4FA0D2DA277","Noord Nederlandsche beeldhouwwerken de meester van het sterfbed van Maria W Vogelsang 185-200 ill 1925")</f>
        <v>0</v>
      </c>
      <c r="D5984" s="1">
        <f>hyperlink("http://dspace.library.uu.nl/handle/1874/300699","Kabinet voor Nederlandsche en Kleefsche oudheden de stede Ysselstein in Holland 293-308 1990")</f>
        <v>0</v>
      </c>
    </row>
    <row r="5985" spans="2:4">
      <c r="B5985">
        <v>55</v>
      </c>
      <c r="C5985" s="1">
        <f>hyperlink("https://hetutrechtsarchief.nl/collectie/1F1F681A40085486804FF213021B3615","De notariele archieven van IJsselstein Rob Alkemade 1-12 2010")</f>
        <v>0</v>
      </c>
      <c r="D5985" s="1">
        <f>hyperlink("http://dspace.library.uu.nl/handle/1874/300700","Apenluiders een spotvertelling uit IJsselstein Olaf J de Landell 311-313 1990")</f>
        <v>0</v>
      </c>
    </row>
    <row r="5986" spans="2:4">
      <c r="B5986">
        <v>63</v>
      </c>
      <c r="C5986" s="1">
        <f>hyperlink("https://hetutrechtsarchief.nl/collectie/1F1F681A40085486804FF213021B3615","De notariele archieven van IJsselstein Rob Alkemade 1-12 2010")</f>
        <v>0</v>
      </c>
      <c r="D5986" s="1">
        <f>hyperlink("http://dspace.library.uu.nl/handle/1874/300701","De Apenluiders van IJsselstein Herman de Man 314-316 1990")</f>
        <v>0</v>
      </c>
    </row>
    <row r="5987" spans="2:4">
      <c r="B5987">
        <v>61</v>
      </c>
      <c r="C5987" s="1">
        <f>hyperlink("https://hetutrechtsarchief.nl/collectie/B906D2BDBEA8555990EB91F8E9E6E7CC","Trekhond een hondenbaan de geschiedenis van de trekhond in IJsselstein L Murk en K Peeters 1-18 1999")</f>
        <v>0</v>
      </c>
      <c r="D5987" s="1">
        <f>hyperlink("http://dspace.library.uu.nl/handle/1874/300702","Weecht wel doet ellick recht geschiedenis van het wegen te IJsselstein L Murk 317-330 1991")</f>
        <v>0</v>
      </c>
    </row>
    <row r="5988" spans="2:4">
      <c r="B5988">
        <v>54</v>
      </c>
      <c r="C5988" s="1">
        <f>hyperlink("https://hetutrechtsarchief.nl/collectie/BA48F39C5D425BFBBED9FB4EBE936DA5","Stad en Lande ging uitkeren D Dekema 149-155 1999")</f>
        <v>0</v>
      </c>
      <c r="D5988" s="1">
        <f>hyperlink("http://dspace.library.uu.nl/handle/1874/300703","IJsselsteins kerkorgel ontdekt in de Bethelkerk te Urk L Murk 149-155 1989")</f>
        <v>0</v>
      </c>
    </row>
    <row r="5989" spans="2:4">
      <c r="B5989">
        <v>55</v>
      </c>
      <c r="C5989" s="1">
        <f>hyperlink("https://hetutrechtsarchief.nl/collectie/DB99A7089FE45DC68C03222900ADE96C","De groteskendecoratie aan de gevel van het 16e eeuwse Utrechtse stadhuis E C van Santen 58-73 ill 1989")</f>
        <v>0</v>
      </c>
      <c r="D5989" s="1">
        <f>hyperlink("http://dspace.library.uu.nl/handle/1874/300704","Het vreeswekkende gevaar epidemie n in het 19e eeuwse IJsselstein Ton Berkien Marcel Fafianie 157-165 1989")</f>
        <v>0</v>
      </c>
    </row>
    <row r="5990" spans="2:4">
      <c r="B5990">
        <v>54</v>
      </c>
      <c r="C5990" s="1">
        <f>hyperlink("https://hetutrechtsarchief.nl/collectie/40AD1B3D259F5B318FD246BA4720DD30","Ruim baan voor de bus in de binnenstad Mark de Bruijn 12-13 ill 1997")</f>
        <v>0</v>
      </c>
      <c r="D5990" s="1">
        <f>hyperlink("http://dspace.library.uu.nl/handle/1874/300705","Brug in nood noodbrug en brug zonder nood zaak L Murk 177-183 1989")</f>
        <v>0</v>
      </c>
    </row>
    <row r="5991" spans="2:4">
      <c r="B5991">
        <v>57</v>
      </c>
      <c r="C5991" s="1">
        <f>hyperlink("https://hetutrechtsarchief.nl/collectie/9FDDEBFB73815B6C926E516CD4E3C870","Voor dertig jaren C J Gonnet 110-112 1918")</f>
        <v>0</v>
      </c>
      <c r="D5991" s="1">
        <f>hyperlink("http://dspace.library.uu.nl/handle/1874/300706","De jaren dertig 185- 192 1989")</f>
        <v>0</v>
      </c>
    </row>
    <row r="5992" spans="2:4">
      <c r="B5992">
        <v>51</v>
      </c>
      <c r="C5992" s="1">
        <f>hyperlink("https://hetutrechtsarchief.nl/collectie/6C5BB80A764953BB825296B5D0EEA66B","English Home School taalonderwijs naar maat Marianne Douma 22-23 1987")</f>
        <v>0</v>
      </c>
      <c r="D5992" s="1">
        <f>hyperlink("http://dspace.library.uu.nl/handle/1874/300707","IJsselsteinse stadsmuur beproefd weerbaar A M Fafianie 202-236 1989")</f>
        <v>0</v>
      </c>
    </row>
    <row r="5993" spans="2:4">
      <c r="B5993">
        <v>57</v>
      </c>
      <c r="C5993" s="1">
        <f>hyperlink("https://hetutrechtsarchief.nl/collectie/04EEA10A4D525B43B3CAFB99FDA6BE36","De kerk in het midden - maar hoe J Kronenburg 23-24 1986")</f>
        <v>0</v>
      </c>
      <c r="D5993" s="1">
        <f>hyperlink("http://dspace.library.uu.nl/handle/1874/300708","Kenmerk van stad-zijn J G M Boon 237-242 1989")</f>
        <v>0</v>
      </c>
    </row>
    <row r="5994" spans="2:4">
      <c r="B5994">
        <v>62</v>
      </c>
      <c r="C5994" s="1">
        <f>hyperlink("https://hetutrechtsarchief.nl/collectie/916C04CC5B5B5C0C939668FAB891C302","Zeist tijdens de crisis van de jaren dertig R P M Rhoen 133-137 2009")</f>
        <v>0</v>
      </c>
      <c r="D5994" s="1">
        <f>hyperlink("http://dspace.library.uu.nl/handle/1874/300710","Crisistijd in de jaren dertig L Murk 139-140 1988")</f>
        <v>0</v>
      </c>
    </row>
    <row r="5995" spans="2:4">
      <c r="B5995">
        <v>58</v>
      </c>
      <c r="C5995" s="1">
        <f>hyperlink("https://hetutrechtsarchief.nl/collectie/7F03E1D756A45C2E80B146E1E16217E6","Winkelen in Lombok Jos Mast 14-15 1987")</f>
        <v>0</v>
      </c>
      <c r="D5995" s="1">
        <f>hyperlink("http://dspace.library.uu.nl/handle/1874/300711","Winter in IJsselstein 141-144 1988")</f>
        <v>0</v>
      </c>
    </row>
    <row r="5996" spans="2:4">
      <c r="B5996">
        <v>54</v>
      </c>
      <c r="C5996" s="1">
        <f>hyperlink("https://hetutrechtsarchief.nl/collectie/F5DE112337AF511A8AB6BAC951C12118","Stadsvernieuwing in Lombok 1 4 1988")</f>
        <v>0</v>
      </c>
      <c r="D5996" s="1">
        <f>hyperlink("http://dspace.library.uu.nl/handle/1874/300712","Nieuwstijdinghe L Murk 193-200 1989")</f>
        <v>0</v>
      </c>
    </row>
    <row r="5997" spans="2:4">
      <c r="B5997">
        <v>56</v>
      </c>
      <c r="C5997" s="1">
        <f>hyperlink("https://hetutrechtsarchief.nl/collectie/87C1A067189E57ADB00CA848E23EFF5D","Herinneringen aan landgoed Eikenrode J P van der Meulen-Kuhn 122-125 1999")</f>
        <v>0</v>
      </c>
      <c r="D5997" s="1">
        <f>hyperlink("http://dspace.library.uu.nl/handle/1874/300713","De herinnering herinnert als het ligt geworpen op het ik geworden zijn Pim de Bler 253-256 1990")</f>
        <v>0</v>
      </c>
    </row>
    <row r="5998" spans="2:4">
      <c r="B5998">
        <v>58</v>
      </c>
      <c r="C5998" s="1">
        <f>hyperlink("https://hetutrechtsarchief.nl/collectie/E21021439CE3502FBF2B74A9EA629E7B","Uit de oude doos Wim Klever 24-25 1998")</f>
        <v>0</v>
      </c>
      <c r="D5998" s="1">
        <f>hyperlink("http://dspace.library.uu.nl/handle/1874/300714","Uit de fotodoos 156 1989")</f>
        <v>0</v>
      </c>
    </row>
    <row r="5999" spans="2:4">
      <c r="B5999">
        <v>100</v>
      </c>
      <c r="C5999" s="1">
        <f>hyperlink("https://hetutrechtsarchief.nl/collectie/250F29C3A28251B2BF14B22664C779C2","Op zoek naar het Kerkenpad bij Eemnes-Binnen Rom van der Schaaf 5-11 2008")</f>
        <v>0</v>
      </c>
      <c r="D5999" s="1">
        <f>hyperlink("http://dspace.library.uu.nl/handle/1874/300764","Op zoek naar het Kerkenpad bij Eemnes-Binnen Rom van der Schaaf 5-11 2008")</f>
        <v>0</v>
      </c>
    </row>
    <row r="6000" spans="2:4">
      <c r="B6000">
        <v>100</v>
      </c>
      <c r="C6000" s="1">
        <f>hyperlink("https://hetutrechtsarchief.nl/collectie/E68775B074545C6A9F11ED1ABEA5297A","De familie De Ruijter van de Baarnse muisjesfabriek oorspronkelijk afkomstig uit Eemnes Henk van Hees 13-23 2008")</f>
        <v>0</v>
      </c>
      <c r="D6000" s="1">
        <f>hyperlink("http://dspace.library.uu.nl/handle/1874/300765","De familie De Ruijter van de Baarnse muisjesfabriek oorspronkelijk afkomstig uit Eemnes Henk van Hees 13-23 2008")</f>
        <v>0</v>
      </c>
    </row>
    <row r="6001" spans="2:4">
      <c r="B6001">
        <v>100</v>
      </c>
      <c r="C6001" s="1">
        <f>hyperlink("https://hetutrechtsarchief.nl/collectie/6CC4353333F8541FBC17745656A02B29","Een Eemnesser familie Ruijter die in Blaricum terechtkwam Henk van Hees 24-29 2008")</f>
        <v>0</v>
      </c>
      <c r="D6001" s="1">
        <f>hyperlink("http://dspace.library.uu.nl/handle/1874/300766","Een Eemnesser familie Ruijter die in Blaricum terechtkwam Henk van Hees 24-29 2008")</f>
        <v>0</v>
      </c>
    </row>
    <row r="6002" spans="2:4">
      <c r="B6002">
        <v>100</v>
      </c>
      <c r="C6002" s="1">
        <f>hyperlink("https://hetutrechtsarchief.nl/collectie/50E66BD718655AC5964BCA38F2D427AC","Twee tuinbeelden van Eemlust een verlaat opgravingsverslag Jan Out 30-32 2008")</f>
        <v>0</v>
      </c>
      <c r="D6002" s="1">
        <f>hyperlink("http://dspace.library.uu.nl/handle/1874/300859","Twee tuinbeelden van Eemlust een verlaat opgravingsverslag Jan Out 30-32 2008")</f>
        <v>0</v>
      </c>
    </row>
    <row r="6003" spans="2:4">
      <c r="B6003">
        <v>97</v>
      </c>
      <c r="C6003" s="1">
        <f>hyperlink("https://hetutrechtsarchief.nl/collectie/F11534CBC5DA5D3495142ADD7A373896","Interview met Rinus van der Zwaan rijk zonder geld Wim Hilhorst Jzn 33-41 2008")</f>
        <v>0</v>
      </c>
      <c r="D6003" s="1">
        <f>hyperlink("http://dspace.library.uu.nl/handle/1874/300860","Interview met Rinus van der Zwaan rijk zonder geld Wim Hilhorst 33-41 2008")</f>
        <v>0</v>
      </c>
    </row>
    <row r="6004" spans="2:4">
      <c r="B6004">
        <v>100</v>
      </c>
      <c r="C6004" s="1">
        <f>hyperlink("https://hetutrechtsarchief.nl/collectie/BD3D6D1854045A13BF4CA17E9F80D1DD","Eemnes en Sir Donald Bailey Egbert van IJken 53-58 2008")</f>
        <v>0</v>
      </c>
      <c r="D6004" s="1">
        <f>hyperlink("http://dspace.library.uu.nl/handle/1874/300861","Eemnes en Sir Donald Bailey Egbert van IJken 53-58 2008")</f>
        <v>0</v>
      </c>
    </row>
    <row r="6005" spans="2:4">
      <c r="B6005">
        <v>100</v>
      </c>
      <c r="C6005" s="1">
        <f>hyperlink("https://hetutrechtsarchief.nl/collectie/D6F22A211DF55AC79190BF60C0516849","Meentweg 125 Evert van Andel 59-72 2008")</f>
        <v>0</v>
      </c>
      <c r="D6005" s="1">
        <f>hyperlink("http://dspace.library.uu.nl/handle/1874/300862","Meentweg 125 Evert van Andel 59-72 2008")</f>
        <v>0</v>
      </c>
    </row>
    <row r="6006" spans="2:4">
      <c r="B6006">
        <v>100</v>
      </c>
      <c r="C6006" s="1">
        <f>hyperlink("https://hetutrechtsarchief.nl/collectie/E983657A8DA158F984B933DD50BE119D","Een klokkenplan voor Eemnes Foeke de Wolf 73-79 2008")</f>
        <v>0</v>
      </c>
      <c r="D6006" s="1">
        <f>hyperlink("http://dspace.library.uu.nl/handle/1874/300863","Een klokkenplan voor Eemnes Foeke de Wolf 73-79 2008")</f>
        <v>0</v>
      </c>
    </row>
    <row r="6007" spans="2:4">
      <c r="B6007">
        <v>81</v>
      </c>
      <c r="C6007" s="1">
        <f>hyperlink("https://hetutrechtsarchief.nl/collectie/4284C8BC1A7A5FD1A6D5A9F4869ED0FC","Interview met Patricia Paddy Houwer-van Agtmaal Henk van Hees 82-94 2008")</f>
        <v>0</v>
      </c>
      <c r="D6007" s="1">
        <f>hyperlink("http://dspace.library.uu.nl/handle/1874/300864","Interview met Patricia Paddy Houwer-van Agtmaal Patricia Hees Henk van Houwer-van Agtmaal 82-94 2008")</f>
        <v>0</v>
      </c>
    </row>
    <row r="6008" spans="2:4">
      <c r="B6008">
        <v>100</v>
      </c>
      <c r="C6008" s="1">
        <f>hyperlink("https://hetutrechtsarchief.nl/collectie/1DFAAE017F8D566EAE7470D32D79E6E0","Achtergronden bij de foto s van Van Agtmaal Henk van Hees 95-108 2008")</f>
        <v>0</v>
      </c>
      <c r="D6008" s="1">
        <f>hyperlink("http://dspace.library.uu.nl/handle/1874/300865","Achtergronden bij de foto s van Van Agtmaal Henk van Hees 95-108 2008")</f>
        <v>0</v>
      </c>
    </row>
    <row r="6009" spans="2:4">
      <c r="B6009">
        <v>100</v>
      </c>
      <c r="C6009" s="1">
        <f>hyperlink("https://hetutrechtsarchief.nl/collectie/5F06BB5C99175A138794B50815598128","Ruim 75 jaar lang onthouden Marie Wiggerts-Hoofd 109 2008")</f>
        <v>0</v>
      </c>
      <c r="D6009" s="1">
        <f>hyperlink("http://dspace.library.uu.nl/handle/1874/300866","Ruim 75 jaar lang onthouden Marie Wiggerts-Hoofd 109 2008")</f>
        <v>0</v>
      </c>
    </row>
    <row r="6010" spans="2:4">
      <c r="B6010">
        <v>100</v>
      </c>
      <c r="C6010" s="1">
        <f>hyperlink("https://hetutrechtsarchief.nl/collectie/0DFDA0830BA85E0A91A1344A5ABDDC9F","75 Jaar KPJ-Eemnes Henk van Hees 117-139 2008")</f>
        <v>0</v>
      </c>
      <c r="D6010" s="1">
        <f>hyperlink("http://dspace.library.uu.nl/handle/1874/300867","75 jaar KPJ-Eemnes Henk van Hees 117-139 2008")</f>
        <v>0</v>
      </c>
    </row>
    <row r="6011" spans="2:4">
      <c r="B6011">
        <v>81</v>
      </c>
      <c r="C6011" s="1">
        <f>hyperlink("https://hetutrechtsarchief.nl/collectie/906181CB46205ECBBACAA39FBCB6A1EC","Interview met Wout Hagen Cees van Rijsdam 141-152 2008")</f>
        <v>0</v>
      </c>
      <c r="D6011" s="1">
        <f>hyperlink("http://dspace.library.uu.nl/handle/1874/300868","Interview met Wout Hagen Wout Rijsdam Cees van Hagen 141-152 2008")</f>
        <v>0</v>
      </c>
    </row>
    <row r="6012" spans="2:4">
      <c r="B6012">
        <v>100</v>
      </c>
      <c r="C6012" s="1">
        <f>hyperlink("https://hetutrechtsarchief.nl/collectie/33FF121176A05664B4458FCE10C29C9F","De naam Wiebe Wiebe van IJken 155-170 2008")</f>
        <v>0</v>
      </c>
      <c r="D6012" s="1">
        <f>hyperlink("http://dspace.library.uu.nl/handle/1874/300869","De naam Wiebe Wiebe van IJken 155-170 2008")</f>
        <v>0</v>
      </c>
    </row>
    <row r="6013" spans="2:4">
      <c r="B6013">
        <v>84</v>
      </c>
      <c r="C6013" s="1">
        <f>hyperlink("https://hetutrechtsarchief.nl/collectie/BD991AF7C7005C679A06FBC9D1B6D88A","Onderwijs overwint armoede Wim Hilhorst 202-211 2008")</f>
        <v>0</v>
      </c>
      <c r="D6013" s="1">
        <f>hyperlink("http://dspace.library.uu.nl/handle/1874/300870","Onderwijs overwint armoede Wijnand van Hilhorst Wim Wegen 202-211 2008")</f>
        <v>0</v>
      </c>
    </row>
    <row r="6014" spans="2:4">
      <c r="B6014">
        <v>92</v>
      </c>
      <c r="C6014" s="1">
        <f>hyperlink("https://hetutrechtsarchief.nl/collectie/B7A3F1FBF87E54A9BBF30C8F906171B6","Ernstig ongeval Kar Lammert Blom door auto aangereden 215-219 2008")</f>
        <v>0</v>
      </c>
      <c r="D6014" s="1">
        <f>hyperlink("http://dspace.library.uu.nl/handle/1874/300871","Ernstig ongeval 2 juni 1927 kar Lammert Blom door auto aangereden 215-219 2008")</f>
        <v>0</v>
      </c>
    </row>
    <row r="6015" spans="2:4">
      <c r="B6015">
        <v>100</v>
      </c>
      <c r="C6015" s="1">
        <f>hyperlink("https://hetutrechtsarchief.nl/collectie/67D70EBDED125FAFBCAA5CF86F49CF2F","Kwartierstaat van pater Wijnand van Wegen Henk van Hees 185-201 2008")</f>
        <v>0</v>
      </c>
      <c r="D6015" s="1">
        <f>hyperlink("http://dspace.library.uu.nl/handle/1874/300872","Kwartierstaat van pater Wijnand van Wegen Henk van Hees 185-201 2008")</f>
        <v>0</v>
      </c>
    </row>
    <row r="6016" spans="2:4">
      <c r="B6016">
        <v>100</v>
      </c>
      <c r="C6016" s="1">
        <f>hyperlink("https://hetutrechtsarchief.nl/collectie/C1385FDAC24852328A6BC997191298FD","Interview met Dien Loep-van Kempen Henk van Hees 5-16 2009")</f>
        <v>0</v>
      </c>
      <c r="D6016" s="1">
        <f>hyperlink("http://dspace.library.uu.nl/handle/1874/300873","Interview met Dien Loep-van Kempen Henk van Hees 5-16 2009")</f>
        <v>0</v>
      </c>
    </row>
    <row r="6017" spans="2:4">
      <c r="B6017">
        <v>100</v>
      </c>
      <c r="C6017" s="1">
        <f>hyperlink("https://hetutrechtsarchief.nl/collectie/A188060D639B5E59B7B8F1F2D28491C9","De klokken gaan weer luiden Foeke de Wolf 17-18 2009")</f>
        <v>0</v>
      </c>
      <c r="D6017" s="1">
        <f>hyperlink("http://dspace.library.uu.nl/handle/1874/300874","De klokken gaan weer luiden Foeke de Wolf 17-18 2009")</f>
        <v>0</v>
      </c>
    </row>
    <row r="6018" spans="2:4">
      <c r="B6018">
        <v>100</v>
      </c>
      <c r="C6018" s="1">
        <f>hyperlink("https://hetutrechtsarchief.nl/collectie/AD26DE821E7D53AE83A19E8C4808AE5D","Dringen langs de dijk vijf eeuwen bevolkingsontwikkeling van Eemnes Ronald Rommes 21-39 2009")</f>
        <v>0</v>
      </c>
      <c r="D6018" s="1">
        <f>hyperlink("http://dspace.library.uu.nl/handle/1874/300875","Dringen langs de dijk vijf eeuwen bevolkingsontwikkeling van Eemnes Ronald Rommes 21-39 2009")</f>
        <v>0</v>
      </c>
    </row>
    <row r="6019" spans="2:4">
      <c r="B6019">
        <v>100</v>
      </c>
      <c r="C6019" s="1">
        <f>hyperlink("https://hetutrechtsarchief.nl/collectie/2DAA3D805D7E53D2B9AE18650F0FF85E","Tweelingen en andere meerlingen in Eemnes 1675-1930 Henk van Hees 45-55 2009")</f>
        <v>0</v>
      </c>
      <c r="D6019" s="1">
        <f>hyperlink("http://dspace.library.uu.nl/handle/1874/300876","Tweelingen en andere meerlingen in Eemnes 1675-1930 Henk van Hees 45-55 2009")</f>
        <v>0</v>
      </c>
    </row>
    <row r="6020" spans="2:4">
      <c r="B6020">
        <v>99</v>
      </c>
      <c r="C6020" s="1">
        <f>hyperlink("https://hetutrechtsarchief.nl/collectie/C1AB97DD9E4F5D07B39DF0E9590CB2E2","Korte geschiedenis van de familie Van der Zwaan in Eemnes - Van kleermakers tot slagers Henk van Hees 61-78 2009")</f>
        <v>0</v>
      </c>
      <c r="D6020" s="1">
        <f>hyperlink("http://dspace.library.uu.nl/handle/1874/300877","Korte geschiedenis van de familie Van der Zwaan in Eemnes van kleermakers tot slagers Henk van Hees 61-78 2009")</f>
        <v>0</v>
      </c>
    </row>
    <row r="6021" spans="2:4">
      <c r="B6021">
        <v>100</v>
      </c>
      <c r="C6021" s="1">
        <f>hyperlink("https://hetutrechtsarchief.nl/collectie/4460F6A6696B56A58C15B5F91A79C29B","Meentweg 63 te Eemnes Evert van Andel 79-81 2009")</f>
        <v>0</v>
      </c>
      <c r="D6021" s="1">
        <f>hyperlink("http://dspace.library.uu.nl/handle/1874/300878","Meentweg 63 te Eemnes Evert van Andel 79-81 2009")</f>
        <v>0</v>
      </c>
    </row>
    <row r="6022" spans="2:4">
      <c r="B6022">
        <v>100</v>
      </c>
      <c r="C6022" s="1">
        <f>hyperlink("https://hetutrechtsarchief.nl/collectie/39D4A280B05A5184B4B604187C223DEB","Eerste fase van het Klokkenplan voltooid Foeke de Wolf 92-93 2009")</f>
        <v>0</v>
      </c>
      <c r="D6022" s="1">
        <f>hyperlink("http://dspace.library.uu.nl/handle/1874/300879","Eerste fase van het Klokkenplan voltooid Foeke de Wolf 92-93 2009")</f>
        <v>0</v>
      </c>
    </row>
    <row r="6023" spans="2:4">
      <c r="B6023">
        <v>100</v>
      </c>
      <c r="C6023" s="1">
        <f>hyperlink("https://hetutrechtsarchief.nl/collectie/55AFEB3879795DD792BFE37DD2E5BAA6","De Barones Albert Beintema 99-104 2009")</f>
        <v>0</v>
      </c>
      <c r="D6023" s="1">
        <f>hyperlink("http://dspace.library.uu.nl/handle/1874/300880","De Barones Albert Beintema 99-104 2009")</f>
        <v>0</v>
      </c>
    </row>
    <row r="6024" spans="2:4">
      <c r="B6024">
        <v>97</v>
      </c>
      <c r="C6024" s="1">
        <f>hyperlink("https://hetutrechtsarchief.nl/collectie/3ED2412BD4175BB0B61BA100EF3C8CAF","De gebroeders Hilhorst Dzn slachters sinds 1875 Wim Hilhorst Jzn 82-91 2009")</f>
        <v>0</v>
      </c>
      <c r="D6024" s="1">
        <f>hyperlink("http://dspace.library.uu.nl/handle/1874/300881","De gebroeders Hilhorst Dzn slachters sinds 1875 Wim Hilhorst 82-91 2009")</f>
        <v>0</v>
      </c>
    </row>
    <row r="6025" spans="2:4">
      <c r="B6025">
        <v>60</v>
      </c>
      <c r="C6025" s="1">
        <f>hyperlink("https://hetutrechtsarchief.nl/collectie/9D99E8C822AD5A7D8606A7CED2994106","Sieraden langs de Angstel Dick Slebos II-III 2001")</f>
        <v>0</v>
      </c>
      <c r="D6025" s="1">
        <f>hyperlink("http://dspace.library.uu.nl/handle/1874/300882","Ipenburg deugd en wellust aan de Angstel D L H Slebos 19-22 1999")</f>
        <v>0</v>
      </c>
    </row>
    <row r="6026" spans="2:4">
      <c r="B6026">
        <v>98</v>
      </c>
      <c r="C6026" s="1">
        <f>hyperlink("https://hetutrechtsarchief.nl/collectie/B3576966AA5756F399B43AA3C9F7D145","De geschiedenis van Botshol Ger van der Most 65-68 2000")</f>
        <v>0</v>
      </c>
      <c r="D6026" s="1">
        <f>hyperlink("http://dspace.library.uu.nl/handle/1874/300883","De geschiedenis van Botshol Ger van der Most 65-69 2000")</f>
        <v>0</v>
      </c>
    </row>
    <row r="6027" spans="2:4">
      <c r="B6027">
        <v>61</v>
      </c>
      <c r="C6027" s="1">
        <f>hyperlink("https://hetutrechtsarchief.nl/collectie/A6FDE52998995AFDB1D4E4CDA1754AE3","Smederijen aan De Meern F J Scheepens 5-13 1998")</f>
        <v>0</v>
      </c>
      <c r="D6027" s="1">
        <f>hyperlink("http://dspace.library.uu.nl/handle/1874/300884","Onder-duiken onder de koeien C Scherpenzeel 14-15 1999")</f>
        <v>0</v>
      </c>
    </row>
    <row r="6028" spans="2:4">
      <c r="B6028">
        <v>55</v>
      </c>
      <c r="C6028" s="1">
        <f>hyperlink("https://hetutrechtsarchief.nl/collectie/9D1CCA593AEE24F6E0534701000AB84C","Het dagboek van Has van Kooten gepubliceerd een levendig ooggetuigenverslag van de oorlogsjaren in Elst Toine Maas 46-47 2019")</f>
        <v>0</v>
      </c>
      <c r="D6028" s="1">
        <f>hyperlink("http://dspace.library.uu.nl/handle/1874/300885","Uit het archief van de Abcouder IJsclub een ooggetuigeverslag van de Abcouder schaatswedstrijden in de winter van 1890 T Pepping 16-17 1999")</f>
        <v>0</v>
      </c>
    </row>
    <row r="6029" spans="2:4">
      <c r="B6029">
        <v>58</v>
      </c>
      <c r="C6029" s="1">
        <f>hyperlink("https://hetutrechtsarchief.nl/collectie/1C8E9E0912675A71A1BFDF8A02205234","De winkelstraat Choorstraat 8-9 1985")</f>
        <v>0</v>
      </c>
      <c r="D6029" s="1">
        <f>hyperlink("http://dspace.library.uu.nl/handle/1874/300886","De Henk Oostveenstraat 18 1999")</f>
        <v>0</v>
      </c>
    </row>
    <row r="6030" spans="2:4">
      <c r="B6030">
        <v>62</v>
      </c>
      <c r="C6030" s="1">
        <f>hyperlink("https://hetutrechtsarchief.nl/collectie/5D7EAE916E60508BA8688F72D9B26D02","Honderd jaar Tooneel 41-44 tek 1979")</f>
        <v>0</v>
      </c>
      <c r="D6030" s="1">
        <f>hyperlink("http://dspace.library.uu.nl/handle/1874/300887","Honderd jaar aan de Angstel W W Timmer 22-23 1999")</f>
        <v>0</v>
      </c>
    </row>
    <row r="6031" spans="2:4">
      <c r="B6031">
        <v>61</v>
      </c>
      <c r="C6031" s="1">
        <f>hyperlink("https://hetutrechtsarchief.nl/collectie/28ACF4FA866D57EBADBA96B557017679","Het klooster Abcoude Ger van der Most 41-43 2000")</f>
        <v>0</v>
      </c>
      <c r="D6031" s="1">
        <f>hyperlink("http://dspace.library.uu.nl/handle/1874/300888","Van Abencennualde tot Abcoude Ger van der Most 26-27 1999")</f>
        <v>0</v>
      </c>
    </row>
    <row r="6032" spans="2:4">
      <c r="B6032">
        <v>57</v>
      </c>
      <c r="C6032" s="1">
        <f>hyperlink("https://hetutrechtsarchief.nl/collectie/1311F126AA0751FABAEA1919AEB52867","De tol aan de Rijnsteeg Wim Eimers 16-17 2015")</f>
        <v>0</v>
      </c>
      <c r="D6032" s="1">
        <f>hyperlink("http://dspace.library.uu.nl/handle/1874/300889","Een juweeltje aan de Molenweg Wim W Timmer 29-31 1999")</f>
        <v>0</v>
      </c>
    </row>
    <row r="6033" spans="2:4">
      <c r="B6033">
        <v>54</v>
      </c>
      <c r="C6033" s="1">
        <f>hyperlink("https://hetutrechtsarchief.nl/collectie/C524FD9CD46F52CC933522C2E53D67F2","De inrichting en het gebruik van de Domkerk 1 J Kronenburg 1-20 ill 1983")</f>
        <v>0</v>
      </c>
      <c r="D6033" s="1">
        <f>hyperlink("http://dspace.library.uu.nl/handle/1874/300890","N V Bad- en Zweminrichting aan het Abcoudemeer J E Wustenhoff 31-32 1999")</f>
        <v>0</v>
      </c>
    </row>
    <row r="6034" spans="2:4">
      <c r="B6034">
        <v>60</v>
      </c>
      <c r="C6034" s="1">
        <f>hyperlink("https://hetutrechtsarchief.nl/collectie/6641560B81AAF2EEE0534701000AE39F","Verdwenen buitenplaatsen langs de Vecht de Angstel en het Gein E Munnig Schmidt 22-43 2017")</f>
        <v>0</v>
      </c>
      <c r="D6034" s="1">
        <f>hyperlink("http://dspace.library.uu.nl/handle/1874/300891","Het onstaan van de buitenplaatsen langs Vecht en Angstel D L H Slebos 33-36 1999")</f>
        <v>0</v>
      </c>
    </row>
    <row r="6035" spans="2:4">
      <c r="B6035">
        <v>72</v>
      </c>
      <c r="C6035" s="1">
        <f>hyperlink("https://hetutrechtsarchief.nl/collectie/C81B7767990D5F98B894ADAA58B09CE3","Dorpskerk van Baambrugge Harrie Hoogenhout IV 2001")</f>
        <v>0</v>
      </c>
      <c r="D6035" s="1">
        <f>hyperlink("http://dspace.library.uu.nl/handle/1874/300892","Voetbal in Baambrugge Harrie Hoogenhout 36-37 1999")</f>
        <v>0</v>
      </c>
    </row>
    <row r="6036" spans="2:4">
      <c r="B6036">
        <v>57</v>
      </c>
      <c r="C6036" s="1">
        <f>hyperlink("https://hetutrechtsarchief.nl/collectie/145030419142598FA528A7545A65D546","Krijg de klere cholera in Abcoude en Baambrugge in de 19e eeuw Wim Timmer 491-499 2011")</f>
        <v>0</v>
      </c>
      <c r="D6036" s="1">
        <f>hyperlink("http://dspace.library.uu.nl/handle/1874/300893","Heelmeesters in Abcoude en Baambrugge 37 39 1999")</f>
        <v>0</v>
      </c>
    </row>
    <row r="6037" spans="2:4">
      <c r="B6037">
        <v>56</v>
      </c>
      <c r="C6037" s="1">
        <f>hyperlink("https://hetutrechtsarchief.nl/collectie/F85D8455D381580F9235C31583EAA62D","Stamlijst der Heeren van Abcoude W H Koomans 1-3 tab 1951")</f>
        <v>0</v>
      </c>
      <c r="D6037" s="1">
        <f>hyperlink("http://dspace.library.uu.nl/handle/1874/300894","Stamreeks van de Heren van Abcoude v r 1248 - 1459 Ger van der Most 38-39 1999")</f>
        <v>0</v>
      </c>
    </row>
    <row r="6038" spans="2:4">
      <c r="B6038">
        <v>58</v>
      </c>
      <c r="C6038" s="1">
        <f>hyperlink("https://hetutrechtsarchief.nl/collectie/CFF636395855552DBCEEA58838F733A7","Grepen uit de archieven een geval van dieverij J van der Meulen 76 1979")</f>
        <v>0</v>
      </c>
      <c r="D6038" s="1">
        <f>hyperlink("http://dspace.library.uu.nl/handle/1874/300895","Uit de archieven Aanleg van verlichting te Abcoude 1732 Ger van der Most 40 1999")</f>
        <v>0</v>
      </c>
    </row>
    <row r="6039" spans="2:4">
      <c r="B6039">
        <v>100</v>
      </c>
      <c r="C6039" s="1">
        <f>hyperlink("https://hetutrechtsarchief.nl/collectie/28ACF4FA866D57EBADBA96B557017679","Het klooster Abcoude Ger van der Most 41-43 2000")</f>
        <v>0</v>
      </c>
      <c r="D6039" s="1">
        <f>hyperlink("http://dspace.library.uu.nl/handle/1874/300896","Het klooster Abcoude Ger van der Most 41-43 2000")</f>
        <v>0</v>
      </c>
    </row>
    <row r="6040" spans="2:4">
      <c r="B6040">
        <v>58</v>
      </c>
      <c r="C6040" s="1">
        <f>hyperlink("https://hetutrechtsarchief.nl/collectie/AD6B0098CA5557AB8B0AB7868A3859F9","De verbinding Zeist-Soestd straatweg 24 2006")</f>
        <v>0</v>
      </c>
      <c r="D6040" s="1">
        <f>hyperlink("http://dspace.library.uu.nl/handle/1874/300897","De Th Snoekstraat 43 2000")</f>
        <v>0</v>
      </c>
    </row>
    <row r="6041" spans="2:4">
      <c r="B6041">
        <v>100</v>
      </c>
      <c r="C6041" s="1">
        <f>hyperlink("https://hetutrechtsarchief.nl/collectie/1323D42517C9514A8CD598AF9BD825E6","Langversweegen D L H Slebos 44-46 2000")</f>
        <v>0</v>
      </c>
      <c r="D6041" s="1">
        <f>hyperlink("http://dspace.library.uu.nl/handle/1874/300898","Langversweegen D L H Slebos 44-46 2000")</f>
        <v>0</v>
      </c>
    </row>
    <row r="6042" spans="2:4">
      <c r="B6042">
        <v>100</v>
      </c>
      <c r="C6042" s="1">
        <f>hyperlink("https://hetutrechtsarchief.nl/collectie/9AD10DDC363355F19E999E71A7E6445D","De Abcouder IJsclub rond de vorige eeuwwisseling T Pepping 47-48 2000")</f>
        <v>0</v>
      </c>
      <c r="D6042" s="1">
        <f>hyperlink("http://dspace.library.uu.nl/handle/1874/300899","De Abcouder IJsclub rond de vorige eeuwwisseling T Pepping 47-48 2000")</f>
        <v>0</v>
      </c>
    </row>
    <row r="6043" spans="2:4">
      <c r="B6043">
        <v>91</v>
      </c>
      <c r="C6043" s="1">
        <f>hyperlink("https://hetutrechtsarchief.nl/collectie/CD35CDCC863151B3A9F5EBBB803F0622","Abcoude Baambrugge en Abcoude Proosdij in 1815 GvdM 49-50 2000")</f>
        <v>0</v>
      </c>
      <c r="D6043" s="1">
        <f>hyperlink("http://dspace.library.uu.nl/handle/1874/300900","Abcoude Baambrugge en Abcoude Proostdij in 1815 Ger van der Most 49-50 2000")</f>
        <v>0</v>
      </c>
    </row>
    <row r="6044" spans="2:4">
      <c r="B6044">
        <v>91</v>
      </c>
      <c r="C6044" s="1">
        <f>hyperlink("https://hetutrechtsarchief.nl/collectie/AD98B4A18AFD5D9288E52332A32748DB","Onderhoudsperikelen met de Baambrugse kerk in 1744 GvdM 51 2000")</f>
        <v>0</v>
      </c>
      <c r="D6044" s="1">
        <f>hyperlink("http://dspace.library.uu.nl/handle/1874/300901","Onderhoudsperikelen met de Baambrugse Kerk in 1744 Ger van der Most 51 2000")</f>
        <v>0</v>
      </c>
    </row>
    <row r="6045" spans="2:4">
      <c r="B6045">
        <v>60</v>
      </c>
      <c r="C6045" s="1">
        <f>hyperlink("https://hetutrechtsarchief.nl/collectie/6038326654B757C2B7CF96AF2011EDA1","De Christelijke Naaischool te Breukelen-Nijenrode Henk van Walderveen 22-25 2000")</f>
        <v>0</v>
      </c>
      <c r="D6045" s="1">
        <f>hyperlink("http://dspace.library.uu.nl/handle/1874/300902","De Christelijke lagere school te Abcoude 52 nr 5 2000 p 61 2000")</f>
        <v>0</v>
      </c>
    </row>
    <row r="6046" spans="2:4">
      <c r="B6046">
        <v>100</v>
      </c>
      <c r="C6046" s="1">
        <f>hyperlink("https://hetutrechtsarchief.nl/collectie/4E2BCBEFA0805653AEAB3671C78EFC92","Indrukken over een school rond het jaar 1900 K Feringa 53-55 2000")</f>
        <v>0</v>
      </c>
      <c r="D6046" s="1">
        <f>hyperlink("http://dspace.library.uu.nl/handle/1874/300903","Indrukken over een school rond het jaar 1900 K Feringa 53-55 2000")</f>
        <v>0</v>
      </c>
    </row>
    <row r="6047" spans="2:4">
      <c r="B6047">
        <v>100</v>
      </c>
      <c r="C6047" s="1">
        <f>hyperlink("https://hetutrechtsarchief.nl/collectie/622981CF73915B4795E7500BFFC9900E","De familie Graafland op Langversweegen grootgrondbezit in Baambrugge Dick Slebos 56-58 2000")</f>
        <v>0</v>
      </c>
      <c r="D6047" s="1">
        <f>hyperlink("http://dspace.library.uu.nl/handle/1874/300904","De familie Graafland op Langversweegen grootgrondbezit in Baambrugge Dick Slebos 56-58 2000")</f>
        <v>0</v>
      </c>
    </row>
    <row r="6048" spans="2:4">
      <c r="B6048">
        <v>100</v>
      </c>
      <c r="C6048" s="1">
        <f>hyperlink("https://hetutrechtsarchief.nl/collectie/E5DDD0685F515BAE9040EA99D37C52DF","Willem Willam van Abcoude G van der Most 59-60 2000")</f>
        <v>0</v>
      </c>
      <c r="D6048" s="1">
        <f>hyperlink("http://dspace.library.uu.nl/handle/1874/300905","Willem Willam van Abcoude G van der Most 59-60 2000")</f>
        <v>0</v>
      </c>
    </row>
    <row r="6049" spans="2:4">
      <c r="B6049">
        <v>100</v>
      </c>
      <c r="C6049" s="1">
        <f>hyperlink("https://hetutrechtsarchief.nl/collectie/B20D2FB350855FB680A310D110291C32","Iets over het verenigingsleven in Abcoude en Baambrugge in het eerste kwart van de 20ste eeuw J E Wustenhoff 62-63 2000")</f>
        <v>0</v>
      </c>
      <c r="D6049" s="1">
        <f>hyperlink("http://dspace.library.uu.nl/handle/1874/300906","Iets over het verenigingsleven in Abcoude en Baambrugge in het eerste kwart van de 20ste eeuw J E Wustenhoff 62-63 2000")</f>
        <v>0</v>
      </c>
    </row>
    <row r="6050" spans="2:4">
      <c r="B6050">
        <v>100</v>
      </c>
      <c r="C6050" s="1">
        <f>hyperlink("https://hetutrechtsarchief.nl/collectie/1A5759D9EA205093B9F0F9C8F704F5F7","Het vaandel van de Abcouder Harmonie Willem Zwaard 64 2000")</f>
        <v>0</v>
      </c>
      <c r="D6050" s="1">
        <f>hyperlink("http://dspace.library.uu.nl/handle/1874/300907","Het vaandel van de Abcouder Harmonie Willem Zwaard 64 2000")</f>
        <v>0</v>
      </c>
    </row>
    <row r="6051" spans="2:4">
      <c r="B6051">
        <v>94</v>
      </c>
      <c r="C6051" s="1">
        <f>hyperlink("https://hetutrechtsarchief.nl/collectie/2405BCFF175B50DBBBAA9683475EBB0A","Het Dorstige Hert eenmaal per jaar trefpunt van rietboeren en rietkopers Dolf Hell 69 2000")</f>
        <v>0</v>
      </c>
      <c r="D6051" s="1">
        <f>hyperlink("http://dspace.library.uu.nl/handle/1874/300908","Het Dorstige Hert eenmaal per jaar trefpunt van rietboeren en rietkopers 69 2000")</f>
        <v>0</v>
      </c>
    </row>
    <row r="6052" spans="2:4">
      <c r="B6052">
        <v>97</v>
      </c>
      <c r="C6052" s="1">
        <f>hyperlink("https://hetutrechtsarchief.nl/collectie/FEAC9A7A1B1B585D80AC1C0B67DBB250","Het einde van Langversweegen Dick Slebos 70-71 2000")</f>
        <v>0</v>
      </c>
      <c r="D6052" s="1">
        <f>hyperlink("http://dspace.library.uu.nl/handle/1874/300909","Het einde van Langverswegen Dick Slebos 70-72 2000")</f>
        <v>0</v>
      </c>
    </row>
    <row r="6053" spans="2:4">
      <c r="B6053">
        <v>98</v>
      </c>
      <c r="C6053" s="1">
        <f>hyperlink("https://hetutrechtsarchief.nl/collectie/3CE724D2D79E5A0184700AEFFD2376A4","Johanna Judith Zeelt en Postwijck Harry Hoogenhout 72-74 2000")</f>
        <v>0</v>
      </c>
      <c r="D6053" s="1">
        <f>hyperlink("http://dspace.library.uu.nl/handle/1874/300910","Johanna Judith Zeelt en Postwijck Harrie Hoogenhout 72-74 2000")</f>
        <v>0</v>
      </c>
    </row>
    <row r="6054" spans="2:4">
      <c r="B6054">
        <v>56</v>
      </c>
      <c r="C6054" s="1">
        <f>hyperlink("https://hetutrechtsarchief.nl/collectie/82B88684C320596B9BCC9602E1A9910B","Baambrugge Ten Brink Brico Wim Timmer 270-273 2006")</f>
        <v>0</v>
      </c>
      <c r="D6054" s="1">
        <f>hyperlink("http://dspace.library.uu.nl/handle/1874/300911","Hulksbrug geeft geheim prijs W W Timmer 75 2000")</f>
        <v>0</v>
      </c>
    </row>
    <row r="6055" spans="2:4">
      <c r="B6055">
        <v>61</v>
      </c>
      <c r="C6055" s="1">
        <f>hyperlink("https://hetutrechtsarchief.nl/collectie/0F2E1D46BA9D5F85BB00E6651246589A","Wandelen in de Laanstraat 4 Riet Brey 2-5 2000")</f>
        <v>0</v>
      </c>
      <c r="D6055" s="1">
        <f>hyperlink("http://dspace.library.uu.nl/handle/1874/300912","De Leo Dongelmansstraat W W Timmer 76 2000")</f>
        <v>0</v>
      </c>
    </row>
    <row r="6056" spans="2:4">
      <c r="B6056">
        <v>100</v>
      </c>
      <c r="C6056" s="1">
        <f>hyperlink("https://hetutrechtsarchief.nl/collectie/65FA707B1B515AA5A204C90F75390031","Het Banwerkboek van de Neerweg en Goyergracht 1718-ca 1840 Wiebe van IJken 128-143 2009")</f>
        <v>0</v>
      </c>
      <c r="D6056" s="1">
        <f>hyperlink("http://dspace.library.uu.nl/handle/1874/300913","Het Banwerkboek van de Neerweg en Goyergracht 1718-ca 1840 Wiebe van IJken 128-143 2009")</f>
        <v>0</v>
      </c>
    </row>
    <row r="6057" spans="2:4">
      <c r="B6057">
        <v>100</v>
      </c>
      <c r="C6057" s="1">
        <f>hyperlink("https://hetutrechtsarchief.nl/collectie/A705AD39804B5AC09F6D320424FEDFDB","De Eemnesser boer vroeger en nu Rom van der Schaaf 171-188 2009")</f>
        <v>0</v>
      </c>
      <c r="D6057" s="1">
        <f>hyperlink("http://dspace.library.uu.nl/handle/1874/300914","De Eemnesser boer vroeger en nu Rom van der Schaaf 171-188 2009")</f>
        <v>0</v>
      </c>
    </row>
    <row r="6058" spans="2:4">
      <c r="B6058">
        <v>100</v>
      </c>
      <c r="C6058" s="1">
        <f>hyperlink("https://hetutrechtsarchief.nl/collectie/D55DFAC1185358D9A36671306905AB51","De voortgang van het Eemnesser Klokkenplan Foeke de Wolf 189-191 2009")</f>
        <v>0</v>
      </c>
      <c r="D6058" s="1">
        <f>hyperlink("http://dspace.library.uu.nl/handle/1874/300915","De voortgang van het Eemnesser Klokkenplan Foeke de Wolf 189-191 2009")</f>
        <v>0</v>
      </c>
    </row>
    <row r="6059" spans="2:4">
      <c r="B6059">
        <v>98</v>
      </c>
      <c r="C6059" s="1">
        <f>hyperlink("https://hetutrechtsarchief.nl/collectie/0BD94414B6C7507AB100E8981F1F54D6","Interview met Han van Oostrum boer en jager een leven dichtbij de natuur Wim Hilhorst Jzn 197-206 2009")</f>
        <v>0</v>
      </c>
      <c r="D6059" s="1">
        <f>hyperlink("http://dspace.library.uu.nl/handle/1874/300916","Interview met Han van Oostrum boer en jager een leven dichtbij de natuur Wim Hilhorst 197-206 2009")</f>
        <v>0</v>
      </c>
    </row>
    <row r="6060" spans="2:4">
      <c r="B6060">
        <v>92</v>
      </c>
      <c r="C6060" s="1">
        <f>hyperlink("https://hetutrechtsarchief.nl/collectie/56CDCB01F8BA5DF5A22DF9D47990AEAF","De families Schuijt Samuels Pennokius en Carbasius en de eigendommen rond Stadwijk 159-168 2009")</f>
        <v>0</v>
      </c>
      <c r="D6060" s="1">
        <f>hyperlink("http://dspace.library.uu.nl/handle/1874/300917","De families Schuijt Samuels Pennokius en Carbasius en de eigendommen rond Stadwijk Wiebe van IJken 159-168 2009")</f>
        <v>0</v>
      </c>
    </row>
    <row r="6061" spans="2:4">
      <c r="B6061">
        <v>64</v>
      </c>
      <c r="C6061" s="1">
        <f>hyperlink("https://hetutrechtsarchief.nl/collectie/96FC5FC1CC755303AD03B2FE0DAE2352","De God van Nederland Peter van der Ros 1-3 2006")</f>
        <v>0</v>
      </c>
      <c r="D6061" s="1">
        <f>hyperlink("http://dspace.library.uu.nl/handle/1874/300918","De doop van Neeltje Jan Out 117-139 2008")</f>
        <v>0</v>
      </c>
    </row>
    <row r="6062" spans="2:4">
      <c r="B6062">
        <v>63</v>
      </c>
      <c r="C6062" s="1">
        <f>hyperlink("https://hetutrechtsarchief.nl/collectie/944FF27E683641AFE0534701000A07C3","In gesprek met Gerard Wortel Cees van Rijsdam 175-189 2019")</f>
        <v>0</v>
      </c>
      <c r="D6062" s="1">
        <f>hyperlink("http://dspace.library.uu.nl/handle/1874/300919","Lammert van der Sleet in de hoofdrol Cees van Rijsdam 109-119 2009")</f>
        <v>0</v>
      </c>
    </row>
    <row r="6063" spans="2:4">
      <c r="B6063">
        <v>68</v>
      </c>
      <c r="C6063" s="1">
        <f>hyperlink("https://hetutrechtsarchief.nl/collectie/AA4B367C5106572298BAF9744CFEB52D","Pontjes tussen Eemndijk en Eemnes Rom van der Schaaf 169-177 2007")</f>
        <v>0</v>
      </c>
      <c r="D6063" s="1">
        <f>hyperlink("http://dspace.library.uu.nl/handle/1874/300920","Kroniek van Eemnes nu openbaar Rom van der Schaaf 123-127 2009")</f>
        <v>0</v>
      </c>
    </row>
    <row r="6064" spans="2:4">
      <c r="B6064">
        <v>64</v>
      </c>
      <c r="C6064" s="1">
        <f>hyperlink("https://hetutrechtsarchief.nl/collectie/018F80E3212658DE88B1EAD43195FFB7","Een diefstal in Eemnes Jan Out 157-161 2010")</f>
        <v>0</v>
      </c>
      <c r="D6064" s="1">
        <f>hyperlink("http://dspace.library.uu.nl/handle/1874/300921","Een manslag in Eemnes T Pluim 146-147 2009")</f>
        <v>0</v>
      </c>
    </row>
    <row r="6065" spans="2:4">
      <c r="B6065">
        <v>100</v>
      </c>
      <c r="C6065" s="1">
        <f>hyperlink("https://hetutrechtsarchief.nl/collectie/EE87C8AFB65D5EE3B4B53F52888D3800","Hoe Zweder van Abcoude Zweder van Gaasbeek werd Ger van der Most 114-118 2002")</f>
        <v>0</v>
      </c>
      <c r="D6065" s="1">
        <f>hyperlink("http://dspace.library.uu.nl/handle/1874/300950","Hoe Zweder van Abcoude Zweder van Gaasbeek werd Ger van der Most 114-118 2002")</f>
        <v>0</v>
      </c>
    </row>
    <row r="6066" spans="2:4">
      <c r="B6066">
        <v>100</v>
      </c>
      <c r="C6066" s="1">
        <f>hyperlink("https://hetutrechtsarchief.nl/collectie/6DAE616EFF735AAF8C93F10CBE2FE4D1","De tijd van de trekschuit op de Angstel Han Wustenhoff 136-139 2002")</f>
        <v>0</v>
      </c>
      <c r="D6066" s="1">
        <f>hyperlink("http://dspace.library.uu.nl/handle/1874/300951","De tijd van de trekschuit op de Angstel Han Wustenhoff 136-139 2002")</f>
        <v>0</v>
      </c>
    </row>
    <row r="6067" spans="2:4">
      <c r="B6067">
        <v>99</v>
      </c>
      <c r="C6067" s="1">
        <f>hyperlink("https://hetutrechtsarchief.nl/collectie/70632D7A5C5D599F92D219DF43C17B6B","De Abcouder boerderijen van de Ridderlijke Duitse Orde G van der Most 78-82 2001")</f>
        <v>0</v>
      </c>
      <c r="D6067" s="1">
        <f>hyperlink("http://dspace.library.uu.nl/handle/1874/300952","De Abcouder boerderijen van de Ridderlijke Duitsche Orde G van der Most 78-82 2001")</f>
        <v>0</v>
      </c>
    </row>
    <row r="6068" spans="2:4">
      <c r="B6068">
        <v>90</v>
      </c>
      <c r="C6068" s="1">
        <f>hyperlink("https://hetutrechtsarchief.nl/collectie/602EEE23E7F55A66A2A9DCEA5318CDB5","Heintje Verwey-Meijers een werkzaam leven in Abcoude Ileen Montijn 82-83 2001")</f>
        <v>0</v>
      </c>
      <c r="D6068" s="1">
        <f>hyperlink("http://dspace.library.uu.nl/handle/1874/300953","Heintje Verwey-Meijers een werkzaam leven in Abcoude Ileen Montijn 82-83 nr 8 2001 p 92-93 2001")</f>
        <v>0</v>
      </c>
    </row>
    <row r="6069" spans="2:4">
      <c r="B6069">
        <v>87</v>
      </c>
      <c r="C6069" s="1">
        <f>hyperlink("https://hetutrechtsarchief.nl/collectie/699DEE8C7B22578FA5BEEBB32E76F6D7","Vreede Rijk een zomerhuis in Baambrugge Dick Slebos 84-87 2001")</f>
        <v>0</v>
      </c>
      <c r="D6069" s="1">
        <f>hyperlink("http://dspace.library.uu.nl/handle/1874/300954","Vreede Rijk een zomerhuis in Baambrugge Dick Slebos 84-87 nr 8 2001 p 94-95 2001")</f>
        <v>0</v>
      </c>
    </row>
    <row r="6070" spans="2:4">
      <c r="B6070">
        <v>57</v>
      </c>
      <c r="C6070" s="1">
        <f>hyperlink("https://hetutrechtsarchief.nl/collectie/6038326654B757C2B7CF96AF2011EDA1","De Christelijke Naaischool te Breukelen-Nijenrode Henk van Walderveen 22-25 2000")</f>
        <v>0</v>
      </c>
      <c r="D6070" s="1">
        <f>hyperlink("http://dspace.library.uu.nl/handle/1874/300955","Christelijke Nationale School De Vreeze des Heren is het beginsel der wijsheid ca 1955 87 2001")</f>
        <v>0</v>
      </c>
    </row>
    <row r="6071" spans="2:4">
      <c r="B6071">
        <v>100</v>
      </c>
      <c r="C6071" s="1">
        <f>hyperlink("https://hetutrechtsarchief.nl/collectie/63EE995D45AC5258845BC7CF52C59D8A","Gerrit van Arkel J E Wustenhoff 90-91 2001")</f>
        <v>0</v>
      </c>
      <c r="D6071" s="1">
        <f>hyperlink("http://dspace.library.uu.nl/handle/1874/300956","Gerrit van Arkel J E Wustenhoff 90-91 2001")</f>
        <v>0</v>
      </c>
    </row>
    <row r="6072" spans="2:4">
      <c r="B6072">
        <v>60</v>
      </c>
      <c r="C6072" s="1">
        <f>hyperlink("https://hetutrechtsarchief.nl/collectie/4683B912C6185ACB8AE1D959FC02E0F6","Koninklijke bezoeken aan de Ronde Venen 1 Fons Compier 50-54 2007")</f>
        <v>0</v>
      </c>
      <c r="D6072" s="1">
        <f>hyperlink("http://dspace.library.uu.nl/handle/1874/300957","Koninklijk bezoek aan Baambrugge W W Timmer 96 2001")</f>
        <v>0</v>
      </c>
    </row>
    <row r="6073" spans="2:4">
      <c r="B6073">
        <v>78</v>
      </c>
      <c r="C6073" s="1">
        <f>hyperlink("https://hetutrechtsarchief.nl/collectie/2FA0ECAEBE0155CB8089F1D64899A69C","Joannes Vennicx dl 1 Oscar Swijnenberg 100-101 2001")</f>
        <v>0</v>
      </c>
      <c r="D6073" s="1">
        <f>hyperlink("http://dspace.library.uu.nl/handle/1874/300959","Joannes Vennicx Oscar Swijnenberg 100-101 nr 10 2001 p 118-119 2001")</f>
        <v>0</v>
      </c>
    </row>
    <row r="6074" spans="2:4">
      <c r="B6074">
        <v>60</v>
      </c>
      <c r="C6074" s="1">
        <f>hyperlink("https://hetutrechtsarchief.nl/collectie/D50B07CD2C535D76A82955D83603F308","Een kleipijpenvondst Jan Immerzeel 125-130 2001")</f>
        <v>0</v>
      </c>
      <c r="D6074" s="1">
        <f>hyperlink("http://dspace.library.uu.nl/handle/1874/300960","Een oud lijf in een modern jasje W W Timmer 102-103 2001")</f>
        <v>0</v>
      </c>
    </row>
    <row r="6075" spans="2:4">
      <c r="B6075">
        <v>100</v>
      </c>
      <c r="C6075" s="1">
        <f>hyperlink("https://hetutrechtsarchief.nl/collectie/A5C43FFC41765B738D35325B32BC69C5","Een van Rembrandt s Staalmeesters in Abcoude Dick Slebos 104-107 2001")</f>
        <v>0</v>
      </c>
      <c r="D6075" s="1">
        <f>hyperlink("http://dspace.library.uu.nl/handle/1874/300961","Een van Rembrandt s Staalmeesters in Abcoude Dick Slebos 104-107 2001")</f>
        <v>0</v>
      </c>
    </row>
    <row r="6076" spans="2:4">
      <c r="B6076">
        <v>69</v>
      </c>
      <c r="C6076" s="1">
        <f>hyperlink("https://hetutrechtsarchief.nl/collectie/A9C5991BF02CE4A6E0534701000A13C0","Geen eten in overvloed Harmen Hoogenhout 108-111 2020")</f>
        <v>0</v>
      </c>
      <c r="D6076" s="1">
        <f>hyperlink("http://dspace.library.uu.nl/handle/1874/300962","Belijden en Beleven Harrie Hoogenhout 108 2001")</f>
        <v>0</v>
      </c>
    </row>
    <row r="6077" spans="2:4">
      <c r="B6077">
        <v>100</v>
      </c>
      <c r="C6077" s="1">
        <f>hyperlink("https://hetutrechtsarchief.nl/collectie/5D77E0B8EB775A63BD1ADD1D328DD8B7","Het Chirurgijnshuis van Baambrugge Dick Slebos 109-113 2002")</f>
        <v>0</v>
      </c>
      <c r="D6077" s="1">
        <f>hyperlink("http://dspace.library.uu.nl/handle/1874/300963","Het chirurgijnshuis van Baambrugge Dick Slebos 109-113 2002")</f>
        <v>0</v>
      </c>
    </row>
    <row r="6078" spans="2:4">
      <c r="B6078">
        <v>68</v>
      </c>
      <c r="C6078" s="1">
        <f>hyperlink("https://hetutrechtsarchief.nl/collectie/28ACF4FA866D57EBADBA96B557017679","Het klooster Abcoude Ger van der Most 41-43 2000")</f>
        <v>0</v>
      </c>
      <c r="D6078" s="1">
        <f>hyperlink("http://dspace.library.uu.nl/handle/1874/300964","Een roerige geboorte Ger van der Most 120 2002")</f>
        <v>0</v>
      </c>
    </row>
    <row r="6079" spans="2:4">
      <c r="B6079">
        <v>100</v>
      </c>
      <c r="C6079" s="1">
        <f>hyperlink("https://hetutrechtsarchief.nl/collectie/0A82C6D2F018524A910AF925A256A164","Oud-tijdse verbindingen of hoe Abcoude en Baambrugge aan hun Coupures kwamen Dick Slebos 121-125 2002")</f>
        <v>0</v>
      </c>
      <c r="D6079" s="1">
        <f>hyperlink("http://dspace.library.uu.nl/handle/1874/300965","Oud-tijdse verbindingen of hoe Abcoude en Baambrugge aan hun coupures kwamen Dick Slebos 121-125 2002")</f>
        <v>0</v>
      </c>
    </row>
    <row r="6080" spans="2:4">
      <c r="B6080">
        <v>100</v>
      </c>
      <c r="C6080" s="1">
        <f>hyperlink("https://hetutrechtsarchief.nl/collectie/4BF60671F68258CAB485C442C167687A","De kwartieren van het echtpaar De Leeuw-De Smet Ger van der Most 125-128 2002")</f>
        <v>0</v>
      </c>
      <c r="D6080" s="1">
        <f>hyperlink("http://dspace.library.uu.nl/handle/1874/300966","De kwartieren van het echtpaar De Leeuw-De Smet Ger van der Most 125-128 2002")</f>
        <v>0</v>
      </c>
    </row>
    <row r="6081" spans="2:4">
      <c r="B6081">
        <v>100</v>
      </c>
      <c r="C6081" s="1">
        <f>hyperlink("https://hetutrechtsarchief.nl/collectie/B7422AB1ED2D5F6D8BEC5BEF99A4D392","Ontwikkeling van de middenstand in Baambrugge na de Tweede Wereldoorlog tot heden Harrie Hoogenhout 128-131 2002")</f>
        <v>0</v>
      </c>
      <c r="D6081" s="1">
        <f>hyperlink("http://dspace.library.uu.nl/handle/1874/300967","Ontwikkeling van de middenstand in Baambrugge na de Tweede Wereldoorlog tot heden Harrie Hoogenhout 128-131 2002")</f>
        <v>0</v>
      </c>
    </row>
    <row r="6082" spans="2:4">
      <c r="B6082">
        <v>100</v>
      </c>
      <c r="C6082" s="1">
        <f>hyperlink("https://hetutrechtsarchief.nl/collectie/317426358C2458C08C8E5BC3A714D432","De Angstelkroniek en de Angstel-Post Wim W Timmer 132 2002")</f>
        <v>0</v>
      </c>
      <c r="D6082" s="1">
        <f>hyperlink("http://dspace.library.uu.nl/handle/1874/300968","De Angstelkroniek en de Angstel-Post Wim W Timmer 132 2002")</f>
        <v>0</v>
      </c>
    </row>
    <row r="6083" spans="2:4">
      <c r="B6083">
        <v>100</v>
      </c>
      <c r="C6083" s="1">
        <f>hyperlink("https://hetutrechtsarchief.nl/collectie/AE31BAF8FA72561D9D1767EABB6F773C","Opsporing verzocht Wim W Timmer 133-135 2002")</f>
        <v>0</v>
      </c>
      <c r="D6083" s="1">
        <f>hyperlink("http://dspace.library.uu.nl/handle/1874/300969","Opsporing verzocht Wim W Timmer 133-135 2002")</f>
        <v>0</v>
      </c>
    </row>
    <row r="6084" spans="2:4">
      <c r="B6084">
        <v>100</v>
      </c>
      <c r="C6084" s="1">
        <f>hyperlink("https://hetutrechtsarchief.nl/collectie/79127BDC2EB15BC4AD97E9F5E17DEFBF","Kroondomein in Abcou ja maar niet van het Huis van Oranje doch van het Habsburgse Huis Dick Slebos 140-142 2002")</f>
        <v>0</v>
      </c>
      <c r="D6084" s="1">
        <f>hyperlink("http://dspace.library.uu.nl/handle/1874/300970","Kroondomein in Abcou ja maar niet van het Huis van Oranje doch van het Habsburgse Huis Dick Slebos 140-142 2002")</f>
        <v>0</v>
      </c>
    </row>
    <row r="6085" spans="2:4">
      <c r="B6085">
        <v>100</v>
      </c>
      <c r="C6085" s="1">
        <f>hyperlink("https://hetutrechtsarchief.nl/collectie/43F0935E735C5010B453ADE899C6BE68","Geen Euro s voor Jacob van Gaasbeek Mies Vreeken-van Brink 143 2002")</f>
        <v>0</v>
      </c>
      <c r="D6085" s="1">
        <f>hyperlink("http://dspace.library.uu.nl/handle/1874/300971","Geen Euro s voor Jacob van Gaasbeek Mies Vreeken-van Brink 143 2002")</f>
        <v>0</v>
      </c>
    </row>
    <row r="6086" spans="2:4">
      <c r="B6086">
        <v>56</v>
      </c>
      <c r="C6086" s="1">
        <f>hyperlink("https://hetutrechtsarchief.nl/collectie/1A5759D9EA205093B9F0F9C8F704F5F7","Het vaandel van de Abcouder Harmonie Willem Zwaard 64 2000")</f>
        <v>0</v>
      </c>
      <c r="D6086" s="1">
        <f>hyperlink("http://dspace.library.uu.nl/handle/1874/300972","Fraaie oorkonde door gebroeders Grevenstuk is thuis Willem Zwaard 144 2002")</f>
        <v>0</v>
      </c>
    </row>
    <row r="6087" spans="2:4">
      <c r="B6087">
        <v>100</v>
      </c>
      <c r="C6087" s="1">
        <f>hyperlink("https://hetutrechtsarchief.nl/collectie/9C9E26589BA5550A9C0104D0DD6B1FEB","De jacht op zangvogels D L H Slebos 162-165 2003")</f>
        <v>0</v>
      </c>
      <c r="D6087" s="1">
        <f>hyperlink("http://dspace.library.uu.nl/handle/1874/301089","De jacht op zangvogels D L H Slebos 162-165 2003")</f>
        <v>0</v>
      </c>
    </row>
    <row r="6088" spans="2:4">
      <c r="B6088">
        <v>60</v>
      </c>
      <c r="C6088" s="1">
        <f>hyperlink("https://hetutrechtsarchief.nl/collectie/0C6F591829C4541889C565F177A98EB7","De Buitenplaats Hoolendregt Dick Slebos 200-203 2004")</f>
        <v>0</v>
      </c>
      <c r="D6088" s="1">
        <f>hyperlink("http://dspace.library.uu.nl/handle/1874/301090","De buitenplaats Hoolendregt Dick Slebos 200-203 nr 18 2004 p 211-214 nr 19 2005 p 227-228 nr 20 2005 p 230-234 2004-2005")</f>
        <v>0</v>
      </c>
    </row>
    <row r="6089" spans="2:4">
      <c r="B6089">
        <v>74</v>
      </c>
      <c r="C6089" s="1">
        <f>hyperlink("https://hetutrechtsarchief.nl/collectie/6482C6694032529D8EF0C22FB6913A46","Wegwijzers naar het verleden Arriaantje Loenen Wim Timmer 384-385 2008")</f>
        <v>0</v>
      </c>
      <c r="D6089" s="1">
        <f>hyperlink("http://dspace.library.uu.nl/handle/1874/301091","Wegwijzers naar het verleden Wim W Timmer 146-147 2003")</f>
        <v>0</v>
      </c>
    </row>
    <row r="6090" spans="2:4">
      <c r="B6090">
        <v>100</v>
      </c>
      <c r="C6090" s="1">
        <f>hyperlink("https://hetutrechtsarchief.nl/collectie/0A813C367A2C5660BE75CD505E9F9938","De Tronie van Gaasbeek Ger van der Most 147-149 2003")</f>
        <v>0</v>
      </c>
      <c r="D6090" s="1">
        <f>hyperlink("http://dspace.library.uu.nl/handle/1874/301092","De tronie van Gaasbeek Ger van der Most 147-149 2003")</f>
        <v>0</v>
      </c>
    </row>
    <row r="6091" spans="2:4">
      <c r="B6091">
        <v>100</v>
      </c>
      <c r="C6091" s="1">
        <f>hyperlink("https://hetutrechtsarchief.nl/collectie/82EB88A94C395AEB909DE50927BC880F","Bergvliet een oude buitenplaats die geheel verdwenen is D L H Slebos 150-153 2003")</f>
        <v>0</v>
      </c>
      <c r="D6091" s="1">
        <f>hyperlink("http://dspace.library.uu.nl/handle/1874/301093","Bergvliet een oude buitenplaats die geheel verdwenen is D L H Slebos 150-153 2003")</f>
        <v>0</v>
      </c>
    </row>
    <row r="6092" spans="2:4">
      <c r="B6092">
        <v>97</v>
      </c>
      <c r="C6092" s="1">
        <f>hyperlink("https://hetutrechtsarchief.nl/collectie/0D4161FFF0D050A8883614E2AAF46837","In gesprek met Mevrouw Ouwersloot Mies Vreeken-van Brink 154-155 2003")</f>
        <v>0</v>
      </c>
      <c r="D6092" s="1">
        <f>hyperlink("http://dspace.library.uu.nl/handle/1874/301094","In gesprek met mevrouw Ouwersloot Mies Vreeken-van Brink 154 2003")</f>
        <v>0</v>
      </c>
    </row>
    <row r="6093" spans="2:4">
      <c r="B6093">
        <v>57</v>
      </c>
      <c r="C6093" s="1">
        <f>hyperlink("https://hetutrechtsarchief.nl/collectie/C82F091B3B05C1EBE0538F04000ABA45","Italiaanse pracht en praal een schilderij van Neroccio de Landi in ere hersteld Micha Leeflang Caroline van der Elst 10-12 2021")</f>
        <v>0</v>
      </c>
      <c r="D6093" s="1">
        <f>hyperlink("http://dspace.library.uu.nl/handle/1874/301095","Willem Roelofs en Paul Gabri l twee schilders van het Abcouse landschap uit de Haagse School Ger van der Most 157-161 2003")</f>
        <v>0</v>
      </c>
    </row>
    <row r="6094" spans="2:4">
      <c r="B6094">
        <v>100</v>
      </c>
      <c r="C6094" s="1">
        <f>hyperlink("https://hetutrechtsarchief.nl/collectie/986B9EB8B43F5D78BA5A891A3BE71E52","Meer dan een eeuw grafische geschiedenis in Abcoude Wim W Timmer 166-168 2003")</f>
        <v>0</v>
      </c>
      <c r="D6094" s="1">
        <f>hyperlink("http://dspace.library.uu.nl/handle/1874/301096","Meer dan een eeuw grafische geschiedenis in Abcoude Wim W Timmer 166-168 2003")</f>
        <v>0</v>
      </c>
    </row>
    <row r="6095" spans="2:4">
      <c r="B6095">
        <v>82</v>
      </c>
      <c r="C6095" s="1">
        <f>hyperlink("https://hetutrechtsarchief.nl/collectie/14D4E2DC58F35EBBA5A424797327CB8D","Het Baambrugse geslacht Van Caspel Dick Slebos 169-174 2003")</f>
        <v>0</v>
      </c>
      <c r="D6095" s="1">
        <f>hyperlink("http://dspace.library.uu.nl/handle/1874/301097","Het Baambrugse geslacht Van Caspel Dick Slebos 169-174 nr 16 2004 p 181-186 2003-2004")</f>
        <v>0</v>
      </c>
    </row>
    <row r="6096" spans="2:4">
      <c r="B6096">
        <v>100</v>
      </c>
      <c r="C6096" s="1">
        <f>hyperlink("https://hetutrechtsarchief.nl/collectie/8590C1830864590DB910F8752816D276","In gesprek met het echtpaar Bosman Mies Vreeken-van Brink 176-177 2003")</f>
        <v>0</v>
      </c>
      <c r="D6096" s="1">
        <f>hyperlink("http://dspace.library.uu.nl/handle/1874/301098","In gesprek met het echtpaar Bosman Mies Vreeken-van Brink 176-177 2003")</f>
        <v>0</v>
      </c>
    </row>
    <row r="6097" spans="2:4">
      <c r="B6097">
        <v>100</v>
      </c>
      <c r="C6097" s="1">
        <f>hyperlink("https://hetutrechtsarchief.nl/collectie/7A716ECF54B05B92AEC5FFC518A43A47","Van schoenen de dingen die voorbij gaan Wim W Timmer 178-179 2003")</f>
        <v>0</v>
      </c>
      <c r="D6097" s="1">
        <f>hyperlink("http://dspace.library.uu.nl/handle/1874/301099","Van schoenen de dingen die voorbij gaan Wim W Timmer 178-179 2003")</f>
        <v>0</v>
      </c>
    </row>
    <row r="6098" spans="2:4">
      <c r="B6098">
        <v>100</v>
      </c>
      <c r="C6098" s="1">
        <f>hyperlink("https://hetutrechtsarchief.nl/collectie/1EAB8BDFC9435ABDA4ACF120A6E9A9DC","Groeten uit Abcoude ansichtkaarten dromen hun eigen verhaal 180 2003")</f>
        <v>0</v>
      </c>
      <c r="D6098" s="1">
        <f>hyperlink("http://dspace.library.uu.nl/handle/1874/301100","Groeten uit Abcoude ansichtkaarten dromen hun eigen verhaal 180 2003")</f>
        <v>0</v>
      </c>
    </row>
    <row r="6099" spans="2:4">
      <c r="B6099">
        <v>100</v>
      </c>
      <c r="C6099" s="1">
        <f>hyperlink("https://hetutrechtsarchief.nl/collectie/1B34AC1EA0A35C4AAAFD343777CB19A3","Vrouw Marsen en de dorpsbrug te Baambrugge Harrie Hoogenhout 187-191 2004")</f>
        <v>0</v>
      </c>
      <c r="D6099" s="1">
        <f>hyperlink("http://dspace.library.uu.nl/handle/1874/301101","Vrouw Marsen en de dorpsbrug te Baambrugge Harrie Hoogenhout 187-191 2004")</f>
        <v>0</v>
      </c>
    </row>
    <row r="6100" spans="2:4">
      <c r="B6100">
        <v>78</v>
      </c>
      <c r="C6100" s="1">
        <f>hyperlink("https://hetutrechtsarchief.nl/collectie/EEB387FBD4A55E5EBBACD4AB3DEF67FA","Bij een foto van Maria Aarsman 1817-1912 uit Abcoude Wim Timmer 192 2004")</f>
        <v>0</v>
      </c>
      <c r="D6100" s="1">
        <f>hyperlink("http://dspace.library.uu.nl/handle/1874/301102","Bij een foto Maria Aarsman Wim Timmer 192 2004")</f>
        <v>0</v>
      </c>
    </row>
    <row r="6101" spans="2:4">
      <c r="B6101">
        <v>100</v>
      </c>
      <c r="C6101" s="1">
        <f>hyperlink("https://hetutrechtsarchief.nl/collectie/C9DE603A30585C90AEA3057113BE8AE8","De zaak des Pausen is de zaak van God Wim Timmer 194-197 2004")</f>
        <v>0</v>
      </c>
      <c r="D6101" s="1">
        <f>hyperlink("http://dspace.library.uu.nl/handle/1874/301103","De zaak des Pausen is de zaak van God Wim Timmer 194-197 2004")</f>
        <v>0</v>
      </c>
    </row>
    <row r="6102" spans="2:4">
      <c r="B6102">
        <v>100</v>
      </c>
      <c r="C6102" s="1">
        <f>hyperlink("https://hetutrechtsarchief.nl/collectie/D946B589D8CE56F5B3A352954CAB0B66","Twee Abcouse bekers J E Wustenhoff 204 2004")</f>
        <v>0</v>
      </c>
      <c r="D6102" s="1">
        <f>hyperlink("http://dspace.library.uu.nl/handle/1874/301104","Twee Abcouse bekers J E Wustenhoff 204 2004")</f>
        <v>0</v>
      </c>
    </row>
    <row r="6103" spans="2:4">
      <c r="B6103">
        <v>100</v>
      </c>
      <c r="C6103" s="1">
        <f>hyperlink("https://hetutrechtsarchief.nl/collectie/FF5DC64FD24B5F0CAAEB0086BDD51FFE","Ook de Amandelboom geveld Wim Timmer 206-211 2004")</f>
        <v>0</v>
      </c>
      <c r="D6103" s="1">
        <f>hyperlink("http://dspace.library.uu.nl/handle/1874/301105","Ook de Amandelboom geveld Wim Timmer 206-211 2004")</f>
        <v>0</v>
      </c>
    </row>
    <row r="6104" spans="2:4">
      <c r="B6104">
        <v>100</v>
      </c>
      <c r="C6104" s="1">
        <f>hyperlink("https://hetutrechtsarchief.nl/collectie/377D97FCD6715E7D941580408FFB5A13","Drukken op Bijdorp voorbij Wim Timmer 218-222 2005")</f>
        <v>0</v>
      </c>
      <c r="D6104" s="1">
        <f>hyperlink("http://dspace.library.uu.nl/handle/1874/301106","Drukken op Bijdorp voorbij Wim Timmer 218-222 2005")</f>
        <v>0</v>
      </c>
    </row>
    <row r="6105" spans="2:4">
      <c r="B6105">
        <v>100</v>
      </c>
      <c r="C6105" s="1">
        <f>hyperlink("https://hetutrechtsarchief.nl/collectie/215732BD297B58F1819A834347E202EC","Op Baambrugge was Werneke gelijk aan schoenmaker Harrie Hoogenhout 223-227 2005")</f>
        <v>0</v>
      </c>
      <c r="D6105" s="1">
        <f>hyperlink("http://dspace.library.uu.nl/handle/1874/301107","Op Baambrugge was Werneke gelijk aan schoenmaker Harrie Hoogenhout 223-227 2005")</f>
        <v>0</v>
      </c>
    </row>
    <row r="6106" spans="2:4">
      <c r="B6106">
        <v>100</v>
      </c>
      <c r="C6106" s="1">
        <f>hyperlink("https://hetutrechtsarchief.nl/collectie/23067B14EC05586BB634904DF42BA714","Van vurige ziekten naar vurige werkzaamheden Wim Timmer 234-240 2005")</f>
        <v>0</v>
      </c>
      <c r="D6106" s="1">
        <f>hyperlink("http://dspace.library.uu.nl/handle/1874/301108","Van vurige ziekten naar vurige werkzaamheden Wim Timmer 234-240 2005")</f>
        <v>0</v>
      </c>
    </row>
    <row r="6107" spans="2:4">
      <c r="B6107">
        <v>98</v>
      </c>
      <c r="C6107" s="1">
        <f>hyperlink("https://hetutrechtsarchief.nl/collectie/BD73CDB4D19F5DC78D8D8DE9CB5E0995","Dood en begraven in de gemeente Abcoude Wim Timmer 274-276 2006")</f>
        <v>0</v>
      </c>
      <c r="D6107" s="1">
        <f>hyperlink("http://dspace.library.uu.nl/handle/1874/301428","Dood en begraven in de gemeente Abcoude W Timmer 274-276 2006")</f>
        <v>0</v>
      </c>
    </row>
    <row r="6108" spans="2:4">
      <c r="B6108">
        <v>100</v>
      </c>
      <c r="C6108" s="1">
        <f>hyperlink("https://hetutrechtsarchief.nl/collectie/29801706DCBA5A54A2465FC03A41D618","De Valckeniers in Baambrugge Dick Slebos 266-269 2006")</f>
        <v>0</v>
      </c>
      <c r="D6108" s="1">
        <f>hyperlink("http://dspace.library.uu.nl/handle/1874/301429","De Valckeniers in Baambrugge Dick Slebos 266-269 2006")</f>
        <v>0</v>
      </c>
    </row>
    <row r="6109" spans="2:4">
      <c r="B6109">
        <v>99</v>
      </c>
      <c r="C6109" s="1">
        <f>hyperlink("https://hetutrechtsarchief.nl/collectie/508D7C21A49F55D791DCCCFDB41CA2D0","Politiek geweld bij het Abcouder Meer Gertjan Broek 254-258 2006")</f>
        <v>0</v>
      </c>
      <c r="D6109" s="1">
        <f>hyperlink("http://dspace.library.uu.nl/handle/1874/301430","Politiek geweld bij het Abcouder Meer Gert Jan Broek 254-258 2006")</f>
        <v>0</v>
      </c>
    </row>
    <row r="6110" spans="2:4">
      <c r="B6110">
        <v>100</v>
      </c>
      <c r="C6110" s="1">
        <f>hyperlink("https://hetutrechtsarchief.nl/collectie/EB0111A4BFA95CA49D06D1C4404F4084","Een hersteld geschonden gezicht in de Kerkstraat Wim Timmer 259-262 2006")</f>
        <v>0</v>
      </c>
      <c r="D6110" s="1">
        <f>hyperlink("http://dspace.library.uu.nl/handle/1874/301431","Een hersteld geschonden gezicht in de Kerkstraat Wim Timmer 259-262 2006")</f>
        <v>0</v>
      </c>
    </row>
    <row r="6111" spans="2:4">
      <c r="B6111">
        <v>100</v>
      </c>
      <c r="C6111" s="1">
        <f>hyperlink("https://hetutrechtsarchief.nl/collectie/6C8E29DF9BA95F0CBA652D946A9900B7","Paddenburg en Barchman Wuytiers Dick Slebos 262-263 2006")</f>
        <v>0</v>
      </c>
      <c r="D6111" s="1">
        <f>hyperlink("http://dspace.library.uu.nl/handle/1874/301432","Paddenburg en Barchman Wuytiers Dick Slebos 262-263 2006")</f>
        <v>0</v>
      </c>
    </row>
    <row r="6112" spans="2:4">
      <c r="B6112">
        <v>100</v>
      </c>
      <c r="C6112" s="1">
        <f>hyperlink("https://hetutrechtsarchief.nl/collectie/66CD5A856ADC5BD5AAB60673B0A6492A","Burgemeesters in Abcoude Wim Timmer 264 2006")</f>
        <v>0</v>
      </c>
      <c r="D6112" s="1">
        <f>hyperlink("http://dspace.library.uu.nl/handle/1874/301433","Burgemeesters in Abcoude Wim Timmer 264 2006")</f>
        <v>0</v>
      </c>
    </row>
    <row r="6113" spans="2:4">
      <c r="B6113">
        <v>100</v>
      </c>
      <c r="C6113" s="1">
        <f>hyperlink("https://hetutrechtsarchief.nl/collectie/82B88684C320596B9BCC9602E1A9910B","Baambrugge Ten Brink Brico Wim Timmer 270-273 2006")</f>
        <v>0</v>
      </c>
      <c r="D6113" s="1">
        <f>hyperlink("http://dspace.library.uu.nl/handle/1874/301434","Baambrugge Ten Brink Brico Wim Timmer 270-273 2006")</f>
        <v>0</v>
      </c>
    </row>
    <row r="6114" spans="2:4">
      <c r="B6114">
        <v>79</v>
      </c>
      <c r="C6114" s="1">
        <f>hyperlink("https://hetutrechtsarchief.nl/collectie/BDC9063F3D7B5713A21E6D90A862CF48","Wat moesten zij hier 284-285 2006")</f>
        <v>0</v>
      </c>
      <c r="D6114" s="1">
        <f>hyperlink("http://dspace.library.uu.nl/handle/1874/301435","Wat moesten zij hier Han Wustenhoff 274-285 2006")</f>
        <v>0</v>
      </c>
    </row>
    <row r="6115" spans="2:4">
      <c r="B6115">
        <v>100</v>
      </c>
      <c r="C6115" s="1">
        <f>hyperlink("https://hetutrechtsarchief.nl/collectie/828D2B0402B25399B123C307D7A94CB4","Van smederij tot ijzerwaren en gereedschappen juweel Wim Timmer 286-288 2006")</f>
        <v>0</v>
      </c>
      <c r="D6115" s="1">
        <f>hyperlink("http://dspace.library.uu.nl/handle/1874/301436","Van smederij tot ijzerwaren en gereedschappen juweel Wim Timmer 286-288 2006")</f>
        <v>0</v>
      </c>
    </row>
    <row r="6116" spans="2:4">
      <c r="B6116">
        <v>57</v>
      </c>
      <c r="C6116" s="1">
        <f>hyperlink("https://hetutrechtsarchief.nl/collectie/B5516021D5B8539EB177DAA03CF7C910","Vecht voor de oorlog even smerig als nu - K 66-68 ill 1971")</f>
        <v>0</v>
      </c>
      <c r="D6116" s="1">
        <f>hyperlink("http://dspace.library.uu.nl/handle/1874/301469","De voor-de-oorlogse VVV L Murk 331-334 1991")</f>
        <v>0</v>
      </c>
    </row>
    <row r="6117" spans="2:4">
      <c r="B6117">
        <v>55</v>
      </c>
      <c r="C6117" s="1">
        <f>hyperlink("https://hetutrechtsarchief.nl/collectie/BA574194903A5D679F34742350CB6452","Van school tot garage C W P Bloemendaal 33-36 2000")</f>
        <v>0</v>
      </c>
      <c r="D6117" s="1">
        <f>hyperlink("http://dspace.library.uu.nl/handle/1874/301470","Van waag tot vraagbaak Joop Bloemheuvel 335-340 1991")</f>
        <v>0</v>
      </c>
    </row>
    <row r="6118" spans="2:4">
      <c r="B6118">
        <v>53</v>
      </c>
      <c r="C6118" s="1">
        <f>hyperlink("https://hetutrechtsarchief.nl/collectie/05969B4CB3B050699A43B49970A7B369","De omzwervingen van een klooster de historie van Mari nberg te IJsselstein C A van Kalveen 118-122 2006")</f>
        <v>0</v>
      </c>
      <c r="D6118" s="1">
        <f>hyperlink("http://dspace.library.uu.nl/handle/1874/301471","De kuiper een bijdrage van de werkgroep Oude Ambachten IJsselstein C A van Bunnik W T Duuren 341-364 1991")</f>
        <v>0</v>
      </c>
    </row>
    <row r="6119" spans="2:4">
      <c r="B6119">
        <v>60</v>
      </c>
      <c r="C6119" s="1">
        <f>hyperlink("https://hetutrechtsarchief.nl/collectie/838199B28A975F1AADDAA65BF5AF827E","Het ontstaan van de Annastraat en de ligging van het Oude kerkhof J Prakken 42-46 1950")</f>
        <v>0</v>
      </c>
      <c r="D6119" s="1">
        <f>hyperlink("http://dspace.library.uu.nl/handle/1874/301472","Het ontstaan van het rivierenlandschap in de omgeving van IJsselstein H J A Berendsen 365-384 1991")</f>
        <v>0</v>
      </c>
    </row>
    <row r="6120" spans="2:4">
      <c r="B6120">
        <v>62</v>
      </c>
      <c r="C6120" s="1">
        <f>hyperlink("https://hetutrechtsarchief.nl/collectie/D306FE329C225B7FA282C2C12055D471","Koning Lodewijk te IJsselstein - E 51-53 1939")</f>
        <v>0</v>
      </c>
      <c r="D6120" s="1">
        <f>hyperlink("http://dspace.library.uu.nl/handle/1874/301473","Wolven in de buurt van IJsselstein P W A Broeders 385-386 1991")</f>
        <v>0</v>
      </c>
    </row>
    <row r="6121" spans="2:4">
      <c r="B6121">
        <v>52</v>
      </c>
      <c r="C6121" s="1">
        <f>hyperlink("https://hetutrechtsarchief.nl/collectie/5175683BBA1C5DF0B75DEF91EEFB5F97","Het huis Hamelenberg in de Slaag te Soest Jos G M Hilhorst 30-32 1999")</f>
        <v>0</v>
      </c>
      <c r="D6121" s="1">
        <f>hyperlink("http://dspace.library.uu.nl/handle/1874/301474","Het Maarschalkerweerd-orgel in de Nicolaasbasiliek te IJsselstein Ren Verwer 387-396 1991")</f>
        <v>0</v>
      </c>
    </row>
    <row r="6122" spans="2:4">
      <c r="B6122">
        <v>51</v>
      </c>
      <c r="C6122" s="1">
        <f>hyperlink("https://hetutrechtsarchief.nl/collectie/88D63636130D5F59BEB3941199091259","Kleine geschiedenis van IJsselstein in jaartallen Tobias van Dijk 1-10 2009")</f>
        <v>0</v>
      </c>
      <c r="D6122" s="1">
        <f>hyperlink("http://dspace.library.uu.nl/handle/1874/301475","IJsselsteinse jaartallen IJsselsteinse jaartallenlijst tot aan de inlijving bij Frankrijk C G M Noordam 51-56 1992")</f>
        <v>0</v>
      </c>
    </row>
    <row r="6123" spans="2:4">
      <c r="B6123">
        <v>57</v>
      </c>
      <c r="C6123" s="1">
        <f>hyperlink("https://hetutrechtsarchief.nl/collectie/10DA302F2BD8503583688BC87C775F3E","De zijl van St Marie en andere punten J Prakken 4-5 1952")</f>
        <v>0</v>
      </c>
      <c r="D6123" s="1">
        <f>hyperlink("http://dspace.library.uu.nl/handle/1874/301476","De Spiegel van 1960 heruitgave een rustend veehouder die geen rust kent 47-50 1992")</f>
        <v>0</v>
      </c>
    </row>
    <row r="6124" spans="2:4">
      <c r="B6124">
        <v>56</v>
      </c>
      <c r="C6124" s="1">
        <f>hyperlink("https://hetutrechtsarchief.nl/collectie/E20C74D0978D56F1ACD08039AA4E2194","Het silhouet in de bouwkunst Chris Schut 81-86 ill 1942")</f>
        <v>0</v>
      </c>
      <c r="D6124" s="1">
        <f>hyperlink("http://dspace.library.uu.nl/handle/1874/301477","Het lot van Saintje en Cornelis J Wilschut 33-39 1992")</f>
        <v>0</v>
      </c>
    </row>
    <row r="6125" spans="2:4">
      <c r="B6125">
        <v>58</v>
      </c>
      <c r="C6125" s="1">
        <f>hyperlink("https://hetutrechtsarchief.nl/collectie/A4739F3900AB5B10AE036A07F6BC09BC","De laatste inschrijving in het burgerboek - K 13-14 1928")</f>
        <v>0</v>
      </c>
      <c r="D6125" s="1">
        <f>hyperlink("http://dspace.library.uu.nl/handle/1874/301478","De IJsselsteinse schutterij L Peeters K Murk 1-31 1992")</f>
        <v>0</v>
      </c>
    </row>
    <row r="6126" spans="2:4">
      <c r="B6126">
        <v>54</v>
      </c>
      <c r="C6126" s="1">
        <f>hyperlink("https://hetutrechtsarchief.nl/collectie/5DB39C14E6FC5ABC8BDD6B940AEF57DF","De Nieuwpoort te IJsselstein - Abbink Spaink 39-40 1950")</f>
        <v>0</v>
      </c>
      <c r="D6126" s="1">
        <f>hyperlink("http://dspace.library.uu.nl/handle/1874/301480","Die waech ende maet de IJsselsteinse waag tot 1779 Saskia Raue 397-412 1992")</f>
        <v>0</v>
      </c>
    </row>
    <row r="6127" spans="2:4">
      <c r="B6127">
        <v>100</v>
      </c>
      <c r="C6127" s="1">
        <f>hyperlink("https://hetutrechtsarchief.nl/collectie/E95B6CC74B2154F89C893058AE9570C3","Algemene begraafplaats te Baambrugge Wim Timmer 290-292 2007")</f>
        <v>0</v>
      </c>
      <c r="D6127" s="1">
        <f>hyperlink("http://dspace.library.uu.nl/handle/1874/301481","Algemene begraafplaats te Baambrugge Wim Timmer 290-292 2007")</f>
        <v>0</v>
      </c>
    </row>
    <row r="6128" spans="2:4">
      <c r="B6128">
        <v>100</v>
      </c>
      <c r="C6128" s="1">
        <f>hyperlink("https://hetutrechtsarchief.nl/collectie/6D79B3B2C68F50589A6545A34A012737","Waarvan akte de jodenvervolging op papier Gertjan Broek 293-298 2007")</f>
        <v>0</v>
      </c>
      <c r="D6128" s="1">
        <f>hyperlink("http://dspace.library.uu.nl/handle/1874/301482","Waarvan akte de jodenvervolging op papier Gertjan Broek 293-298 2007")</f>
        <v>0</v>
      </c>
    </row>
    <row r="6129" spans="2:4">
      <c r="B6129">
        <v>82</v>
      </c>
      <c r="C6129" s="1">
        <f>hyperlink("https://hetutrechtsarchief.nl/collectie/924033A2AE08510C9A1D3EE81354AA16","Botshol de geschiedenis van uitgebleven droogmakingen deel 2 Fons Compier 318-321 2007")</f>
        <v>0</v>
      </c>
      <c r="D6129" s="1">
        <f>hyperlink("http://dspace.library.uu.nl/handle/1874/301483","Botshol de geschiedenis van uitgebleven droogmakerijen Fons Compier 298-300 nr 27 2007 p 318-321 2007")</f>
        <v>0</v>
      </c>
    </row>
    <row r="6130" spans="2:4">
      <c r="B6130">
        <v>61</v>
      </c>
      <c r="C6130" s="1">
        <f>hyperlink("https://hetutrechtsarchief.nl/collectie/9BB6C227CF0959CB87D8CBCF3759B693","Graven bij de Mariakerk C A M van Rooijen 95-100 plgr 1990")</f>
        <v>0</v>
      </c>
      <c r="D6130" s="1">
        <f>hyperlink("http://dspace.library.uu.nl/handle/1874/301639","Opgravingen bij Eiteren 1985 W J van Tent 100-105 1993")</f>
        <v>0</v>
      </c>
    </row>
    <row r="6131" spans="2:4">
      <c r="B6131">
        <v>64</v>
      </c>
      <c r="C6131" s="1">
        <f>hyperlink("https://hetutrechtsarchief.nl/collectie/B906D2BDBEA8555990EB91F8E9E6E7CC","Trekhond een hondenbaan de geschiedenis van de trekhond in IJsselstein L Murk en K Peeters 1-18 1999")</f>
        <v>0</v>
      </c>
      <c r="D6131" s="1">
        <f>hyperlink("http://dspace.library.uu.nl/handle/1874/301640","Een snottebel in de maneschijn geschiedenis van de IJsselsteinse muziektent L Murk 113-128 1993")</f>
        <v>0</v>
      </c>
    </row>
    <row r="6132" spans="2:4">
      <c r="B6132">
        <v>55</v>
      </c>
      <c r="C6132" s="1">
        <f>hyperlink("https://hetutrechtsarchief.nl/collectie/92A87830A5015299E0534701000A148F","Het grafmonument van Jan-Herman Insinger Ren ten Dam 66-71 2019")</f>
        <v>0</v>
      </c>
      <c r="D6132" s="1">
        <f>hyperlink("http://dspace.library.uu.nl/handle/1874/301641","Wie is wie namen bij het grafmonument van Amstel Ron van Arkel 129-134 1993")</f>
        <v>0</v>
      </c>
    </row>
    <row r="6133" spans="2:4">
      <c r="B6133">
        <v>64</v>
      </c>
      <c r="C6133" s="1">
        <f>hyperlink("https://hetutrechtsarchief.nl/collectie/B906D2BDBEA8555990EB91F8E9E6E7CC","Trekhond een hondenbaan de geschiedenis van de trekhond in IJsselstein L Murk en K Peeters 1-18 1999")</f>
        <v>0</v>
      </c>
      <c r="D6133" s="1">
        <f>hyperlink("http://dspace.library.uu.nl/handle/1874/301642","Van Hemeltje tot Karnemelkse gat geschiedenis van een IJsselsteinse weg K Berkien M Peeters 137-160 1994")</f>
        <v>0</v>
      </c>
    </row>
    <row r="6134" spans="2:4">
      <c r="B6134">
        <v>57</v>
      </c>
      <c r="C6134" s="1">
        <f>hyperlink("https://hetutrechtsarchief.nl/collectie/28782C8ABBD6574585F8CB8822D4EA14","Schets van een geschiedenis van het Sint Eloyengasthuis te Utrecht A C F Koch 49-61 ill 1947")</f>
        <v>0</v>
      </c>
      <c r="D6134" s="1">
        <f>hyperlink("http://dspace.library.uu.nl/handle/1874/301643","De comparant en mij bekend geschiedenis van het IJsselsteinse notariaat van 1811 tot 1961 B Rietveld 161-188 1994")</f>
        <v>0</v>
      </c>
    </row>
    <row r="6135" spans="2:4">
      <c r="B6135">
        <v>53</v>
      </c>
      <c r="C6135" s="1">
        <f>hyperlink("https://hetutrechtsarchief.nl/collectie/5659FB41D8965E8F95F60EDDF977DEE2","Het cisterci nserklooster Onze Lieve Vrouweberg te IJsselstein W Stooker 168-177 ill 1938")</f>
        <v>0</v>
      </c>
      <c r="D6135" s="1">
        <f>hyperlink("http://dspace.library.uu.nl/handle/1874/301644","Het notariskantoor woon- en werkplek van de IJsselsteinse notaris Rinus Verwey 189-194 1994")</f>
        <v>0</v>
      </c>
    </row>
    <row r="6136" spans="2:4">
      <c r="B6136">
        <v>51</v>
      </c>
      <c r="C6136" s="1">
        <f>hyperlink("https://hetutrechtsarchief.nl/collectie/F8DE380C368A57B49F1F2569EC941D94","De questie van het Ethnographisch Museum 1-18 1-4 1-5 6 7 1903")</f>
        <v>0</v>
      </c>
      <c r="D6136" s="1">
        <f>hyperlink("http://dspace.library.uu.nl/handle/1874/301645","Land en stad in 1935 fotografische herdruk uit de VVV gids 135-136 1993")</f>
        <v>0</v>
      </c>
    </row>
    <row r="6137" spans="2:4">
      <c r="B6137">
        <v>60</v>
      </c>
      <c r="C6137" s="1">
        <f>hyperlink("https://hetutrechtsarchief.nl/collectie/C7E2CB5B10C95802B4FA22291DE7C0C6","De lotgevallen van het archief van het Sint-Ewouds- en Elisabethsgasthuis in Wijk bij Duurstede Ria van der Eerden-Vonk 88-96 1999")</f>
        <v>0</v>
      </c>
      <c r="D6137" s="1">
        <f>hyperlink("http://dspace.library.uu.nl/handle/1874/301646","Inventaris van het archief van het St Ewoudsgasthuis te IJsselstein van 1477-1817 J Acquoy 89-99 1993")</f>
        <v>0</v>
      </c>
    </row>
    <row r="6138" spans="2:4">
      <c r="B6138">
        <v>54</v>
      </c>
      <c r="C6138" s="1">
        <f>hyperlink("https://hetutrechtsarchief.nl/collectie/B906D2BDBEA8555990EB91F8E9E6E7CC","Trekhond een hondenbaan de geschiedenis van de trekhond in IJsselstein L Murk en K Peeters 1-18 1999")</f>
        <v>0</v>
      </c>
      <c r="D6138" s="1">
        <f>hyperlink("http://dspace.library.uu.nl/handle/1874/301647","Arbeid als ondersteuning werkverschaffing te IJsselstein Jan Mulder 81-88 1993")</f>
        <v>0</v>
      </c>
    </row>
    <row r="6139" spans="2:4">
      <c r="B6139">
        <v>62</v>
      </c>
      <c r="C6139" s="1">
        <f>hyperlink("https://hetutrechtsarchief.nl/collectie/4A01FA30155C525792BBA641D38C0384","Een weefinrichting te Utrecht in 1780 A J van de Ven 1-5 9-11 1942")</f>
        <v>0</v>
      </c>
      <c r="D6139" s="1">
        <f>hyperlink("http://dspace.library.uu.nl/handle/1874/301648","Bad en zweminrichtingen te IJsselstein C A van Duuren 69-80 1993")</f>
        <v>0</v>
      </c>
    </row>
    <row r="6140" spans="2:4">
      <c r="B6140">
        <v>57</v>
      </c>
      <c r="C6140" s="1">
        <f>hyperlink("https://hetutrechtsarchief.nl/collectie/B906D2BDBEA8555990EB91F8E9E6E7CC","Trekhond een hondenbaan de geschiedenis van de trekhond in IJsselstein L Murk en K Peeters 1-18 1999")</f>
        <v>0</v>
      </c>
      <c r="D6140" s="1">
        <f>hyperlink("http://dspace.library.uu.nl/handle/1874/301649","Moge de harmonie der burgers de onze overtreffen IJsselsteinse kerkklokken en het carillon K Peeters 57-68 1993")</f>
        <v>0</v>
      </c>
    </row>
    <row r="6141" spans="2:4">
      <c r="B6141">
        <v>82</v>
      </c>
      <c r="C6141" s="1">
        <f>hyperlink("https://hetutrechtsarchief.nl/collectie/3AF0FCA1946F5D25AD1A8DAF67ACE74E","Opdat wij blijven gedenken Anneriet de Pijper en Wim Timmer 215-216 2004")</f>
        <v>0</v>
      </c>
      <c r="D6141" s="1">
        <f>hyperlink("http://dspace.library.uu.nl/handle/1874/301765","Opdat wij blijven gedenken Wim Pijper Anneriet de Timmer 215-216 2004")</f>
        <v>0</v>
      </c>
    </row>
    <row r="6142" spans="2:4">
      <c r="B6142">
        <v>99</v>
      </c>
      <c r="C6142" s="1">
        <f>hyperlink("https://hetutrechtsarchief.nl/collectie/3E320D64D46B50E4897B4E922EE224D3","Abcoude Familie Van Kalmthout Automobielen Wim Timmer 278-284 2006")</f>
        <v>0</v>
      </c>
      <c r="D6142" s="1">
        <f>hyperlink("http://dspace.library.uu.nl/handle/1874/301766","Abcoude Familie Van Kalmthout - Automobielen Wim Timmer 278-284 2006")</f>
        <v>0</v>
      </c>
    </row>
    <row r="6143" spans="2:4">
      <c r="B6143">
        <v>100</v>
      </c>
      <c r="C6143" s="1">
        <f>hyperlink("https://hetutrechtsarchief.nl/collectie/2C55D253C34F54A18DBF457A22A5AAD7","Willem Frederik Noordijk Joop Smids 4-6 2010")</f>
        <v>0</v>
      </c>
      <c r="D6143" s="1">
        <f>hyperlink("http://dspace.library.uu.nl/handle/1874/301767","Willem Frederik Noordijk Joop Smids 4-6 2010")</f>
        <v>0</v>
      </c>
    </row>
    <row r="6144" spans="2:4">
      <c r="B6144">
        <v>100</v>
      </c>
      <c r="C6144" s="1">
        <f>hyperlink("https://hetutrechtsarchief.nl/collectie/84ABDB1CC87055318A49194CC206FF4B","Eerste ruilverkaveling bij Eemnes Rom van der Schaaf 7-21 2010")</f>
        <v>0</v>
      </c>
      <c r="D6144" s="1">
        <f>hyperlink("http://dspace.library.uu.nl/handle/1874/301768","Eerste ruilverkaveling bij Eemnes Rom van der Schaaf 7-21 2010")</f>
        <v>0</v>
      </c>
    </row>
    <row r="6145" spans="2:4">
      <c r="B6145">
        <v>93</v>
      </c>
      <c r="C6145" s="1">
        <f>hyperlink("https://hetutrechtsarchief.nl/collectie/B36DDBA2390B5F51A752AD2BB0B23967","Een interview met Eddy van IJken zesendertig jaren onafgebroken in de gemeenteraad Jan Delfgou en Eddy van IJken 22-32 2010")</f>
        <v>0</v>
      </c>
      <c r="D6145" s="1">
        <f>hyperlink("http://dspace.library.uu.nl/handle/1874/301769","Een interview met Eddy van IJken zesendertig jaren onafgebroken in de gemeenteraad Eddy van Delfgou Jan IJken 22-32 2010")</f>
        <v>0</v>
      </c>
    </row>
    <row r="6146" spans="2:4">
      <c r="B6146">
        <v>100</v>
      </c>
      <c r="C6146" s="1">
        <f>hyperlink("https://hetutrechtsarchief.nl/collectie/FB725E84583057C68027E9CBDBDEA31C","Recht in de leer Eemnes van reformatie tot Franse tijd Jan Out 33-50 2010")</f>
        <v>0</v>
      </c>
      <c r="D6146" s="1">
        <f>hyperlink("http://dspace.library.uu.nl/handle/1874/301770","Recht in de leer Eemnes van reformatie tot Franse tijd Jan Out 33-50 2010")</f>
        <v>0</v>
      </c>
    </row>
    <row r="6147" spans="2:4">
      <c r="B6147">
        <v>100</v>
      </c>
      <c r="C6147" s="1">
        <f>hyperlink("https://hetutrechtsarchief.nl/collectie/6153BF52F2015EA5938911BAA7ED6582","Een vechtpartij in Eemnes 19 augustus 1699 Wiebe van IJken 51-55 2010")</f>
        <v>0</v>
      </c>
      <c r="D6147" s="1">
        <f>hyperlink("http://dspace.library.uu.nl/handle/1874/301771","Een vechtpartij in Eemnes 19 augustus 1699 Wiebe van IJken 51-55 2010")</f>
        <v>0</v>
      </c>
    </row>
    <row r="6148" spans="2:4">
      <c r="B6148">
        <v>100</v>
      </c>
      <c r="C6148" s="1">
        <f>hyperlink("https://hetutrechtsarchief.nl/collectie/7787C91E67755C288D27A9A535FB9CE0","Tweede ruilverkaveling bij Eemnes Rom van der Schaaf 62-78 2010")</f>
        <v>0</v>
      </c>
      <c r="D6148" s="1">
        <f>hyperlink("http://dspace.library.uu.nl/handle/1874/301772","Tweede ruilverkaveling bij Eemnes Rom van der Schaaf 62-78 2010")</f>
        <v>0</v>
      </c>
    </row>
    <row r="6149" spans="2:4">
      <c r="B6149">
        <v>100</v>
      </c>
      <c r="C6149" s="1">
        <f>hyperlink("https://hetutrechtsarchief.nl/collectie/642D389B19F45BFDA15CCDC83A9B5E18","De kunstenaar Willem Frederik Noordijk 1887-1970 Anna Kielstra 82-104 2010")</f>
        <v>0</v>
      </c>
      <c r="D6149" s="1">
        <f>hyperlink("http://dspace.library.uu.nl/handle/1874/301773","De kunstenaar Willem Frederik Noordijk 1887-1970 Anna Kielstra 82-104 2010")</f>
        <v>0</v>
      </c>
    </row>
    <row r="6150" spans="2:4">
      <c r="B6150">
        <v>94</v>
      </c>
      <c r="C6150" s="1">
        <f>hyperlink("https://hetutrechtsarchief.nl/collectie/57E3C131FB94548BAE7D883030905B5A","Wim van Hamersveld ingenieus zonder titel Wim Hilhorst Jzn 105-117 2010")</f>
        <v>0</v>
      </c>
      <c r="D6150" s="1">
        <f>hyperlink("http://dspace.library.uu.nl/handle/1874/301774","Wim van Hamersveld ingenieur zonder titel Wim Hilhorst 105-114 2010")</f>
        <v>0</v>
      </c>
    </row>
    <row r="6151" spans="2:4">
      <c r="B6151">
        <v>100</v>
      </c>
      <c r="C6151" s="1">
        <f>hyperlink("https://hetutrechtsarchief.nl/collectie/5D5FB6B3D5265511968E3B189291B4B8","Klok- en klepelnieuws Foeke de Wolf 115-117 2010")</f>
        <v>0</v>
      </c>
      <c r="D6151" s="1">
        <f>hyperlink("http://dspace.library.uu.nl/handle/1874/301775","Klok- en klepelnieuws Foeke de Wolf 115-117 2010")</f>
        <v>0</v>
      </c>
    </row>
    <row r="6152" spans="2:4">
      <c r="B6152">
        <v>100</v>
      </c>
      <c r="C6152" s="1">
        <f>hyperlink("https://hetutrechtsarchief.nl/collectie/A4A47A4B07EB5828A4AA3D76D644DE73","De grote waai en een vergeten hofstede Evert van Andel 126-142 2010")</f>
        <v>0</v>
      </c>
      <c r="D6152" s="1">
        <f>hyperlink("http://dspace.library.uu.nl/handle/1874/301776","De grote waai en een vergeten hofstede Evert van Andel 126-142 2010")</f>
        <v>0</v>
      </c>
    </row>
    <row r="6153" spans="2:4">
      <c r="B6153">
        <v>100</v>
      </c>
      <c r="C6153" s="1">
        <f>hyperlink("https://hetutrechtsarchief.nl/collectie/99E2B6541DAF56FDBE2221C408E8D00C","Reportage van het rijke en roerige leven van Reinier Ruizendaal Cees van Rijsdam 144-156 2010")</f>
        <v>0</v>
      </c>
      <c r="D6153" s="1">
        <f>hyperlink("http://dspace.library.uu.nl/handle/1874/301777","Reportage van het rijke en roerige leven van Reinier Ruizendaal Cees van Rijsdam 144-156 2010")</f>
        <v>0</v>
      </c>
    </row>
    <row r="6154" spans="2:4">
      <c r="B6154">
        <v>100</v>
      </c>
      <c r="C6154" s="1">
        <f>hyperlink("https://hetutrechtsarchief.nl/collectie/018F80E3212658DE88B1EAD43195FFB7","Een diefstal in Eemnes Jan Out 157-161 2010")</f>
        <v>0</v>
      </c>
      <c r="D6154" s="1">
        <f>hyperlink("http://dspace.library.uu.nl/handle/1874/301778","Een diefstal in Eemnes Jan Out 157-161 2010")</f>
        <v>0</v>
      </c>
    </row>
    <row r="6155" spans="2:4">
      <c r="B6155">
        <v>100</v>
      </c>
      <c r="C6155" s="1">
        <f>hyperlink("https://hetutrechtsarchief.nl/collectie/220DEB367B475764A3D7806CAB34FA1D","De zilveren beker een brief van Pieter Corneliszoon Hooft te dateren tussen 9 september en 16 oktober 1637 Wiebe van IJken 162-166 2010")</f>
        <v>0</v>
      </c>
      <c r="D6155" s="1">
        <f>hyperlink("http://dspace.library.uu.nl/handle/1874/301779","De zilveren beker een brief van Pieter Corneliszoon Hooft te dateren tussen 9 september en 16 oktober 1637 Wiebe van IJken 162-166 2010")</f>
        <v>0</v>
      </c>
    </row>
    <row r="6156" spans="2:4">
      <c r="B6156">
        <v>65</v>
      </c>
      <c r="C6156" s="1">
        <f>hyperlink("https://hetutrechtsarchief.nl/collectie/4E13D95CB2705EB3A848B097676941F5","Historie van de Ocrietfabriek - deel 1 Rom van der Schaaf met medew van Mathijs Witte 173-184 2010")</f>
        <v>0</v>
      </c>
      <c r="D6156" s="1">
        <f>hyperlink("http://dspace.library.uu.nl/handle/1874/301780","Historie van de Ocrietfabriek Mathijs Schaaf Rom van der Witte 173-184 jg 33 2011 nr 1 p 5-18 2010-2011")</f>
        <v>0</v>
      </c>
    </row>
    <row r="6157" spans="2:4">
      <c r="B6157">
        <v>100</v>
      </c>
      <c r="C6157" s="1">
        <f>hyperlink("https://hetutrechtsarchief.nl/collectie/9F5652FEAE50593CB6F470821D82BDD4","Interview Arie Rigter Henk van Hees 185-195 2010")</f>
        <v>0</v>
      </c>
      <c r="D6157" s="1">
        <f>hyperlink("http://dspace.library.uu.nl/handle/1874/301781","Interview Arie Rigter Henk van Hees 185-195 2010")</f>
        <v>0</v>
      </c>
    </row>
    <row r="6158" spans="2:4">
      <c r="B6158">
        <v>100</v>
      </c>
      <c r="C6158" s="1">
        <f>hyperlink("https://hetutrechtsarchief.nl/collectie/DDC6DD8FC9685E178EB85FFD487FBC21","Kwartierstaat Theo van t Klooster Henk van Hees 196-211 2010")</f>
        <v>0</v>
      </c>
      <c r="D6158" s="1">
        <f>hyperlink("http://dspace.library.uu.nl/handle/1874/301782","Kwartierstaat Theo van t Klooster Henk van Hees 196-211 2010")</f>
        <v>0</v>
      </c>
    </row>
    <row r="6159" spans="2:4">
      <c r="B6159">
        <v>100</v>
      </c>
      <c r="C6159" s="1">
        <f>hyperlink("https://hetutrechtsarchief.nl/collectie/0AE89C5147175E1684E52E7567629407","De dracht van Maria Kuijer bijzondere schenking aan Historische Kring Eemnes Henk van Hees 19-25 2011")</f>
        <v>0</v>
      </c>
      <c r="D6159" s="1">
        <f>hyperlink("http://dspace.library.uu.nl/handle/1874/301783","De dracht van Maria Kuijer bijzondere schenking aan Historische Kring Eemnes Henk van Hees 19-25 2011")</f>
        <v>0</v>
      </c>
    </row>
    <row r="6160" spans="2:4">
      <c r="B6160">
        <v>100</v>
      </c>
      <c r="C6160" s="1">
        <f>hyperlink("https://hetutrechtsarchief.nl/collectie/A38CB993AF2D588EA2D1A34289399DD0","Wat de Eemnesser familie Pen te maken heeft met De heren van de thee en Multatuli Henk van Hees 29-44 2011")</f>
        <v>0</v>
      </c>
      <c r="D6160" s="1">
        <f>hyperlink("http://dspace.library.uu.nl/handle/1874/301784","Wat de Eemnesser familie Pen te maken heeft met De heren van de thee en Multatuli Henk van Hees 29-44 2011")</f>
        <v>0</v>
      </c>
    </row>
    <row r="6161" spans="2:4">
      <c r="B6161">
        <v>100</v>
      </c>
      <c r="C6161" s="1">
        <f>hyperlink("https://hetutrechtsarchief.nl/collectie/C80D12FFB4C75F1C8400D133D5CF4998","Pater Emidius Hilhorst op de scheurkalender Henk van Hees 48-49 2011")</f>
        <v>0</v>
      </c>
      <c r="D6161" s="1">
        <f>hyperlink("http://dspace.library.uu.nl/handle/1874/301785","Pater Emidius Hilhorst op de scheurkalender Henk van Hees 48-49 2011")</f>
        <v>0</v>
      </c>
    </row>
    <row r="6162" spans="2:4">
      <c r="B6162">
        <v>100</v>
      </c>
      <c r="C6162" s="1">
        <f>hyperlink("https://hetutrechtsarchief.nl/collectie/29F1F0109AD3551F9525D83E2CFA5CA6","Een tweede luidklok in de toren van de Nicolaaskerk Foeke de Wolf 212-213 2010")</f>
        <v>0</v>
      </c>
      <c r="D6162" s="1">
        <f>hyperlink("http://dspace.library.uu.nl/handle/1874/301786","Een tweede luidklok in de toren van de Nicolaaskerk Foeke de Wolf 212-213 2010")</f>
        <v>0</v>
      </c>
    </row>
    <row r="6163" spans="2:4">
      <c r="B6163">
        <v>100</v>
      </c>
      <c r="C6163" s="1">
        <f>hyperlink("https://hetutrechtsarchief.nl/collectie/DFAA484C45AC52F68853D36452B28FB0","Interview met Leo Beekhuiszen Jan Delfgou 61-70 2011")</f>
        <v>0</v>
      </c>
      <c r="D6163" s="1">
        <f>hyperlink("http://dspace.library.uu.nl/handle/1874/301787","Interview met Leo Beekhuiszen Jan Delfgou 61-70 2011")</f>
        <v>0</v>
      </c>
    </row>
    <row r="6164" spans="2:4">
      <c r="B6164">
        <v>100</v>
      </c>
      <c r="C6164" s="1">
        <f>hyperlink("https://hetutrechtsarchief.nl/collectie/5BDC5B7D7EE657089FF6D8D09AD11BF0","De beide Eemnessen in 1811 naar n gemeente Jan Out 72-76 2011")</f>
        <v>0</v>
      </c>
      <c r="D6164" s="1">
        <f>hyperlink("http://dspace.library.uu.nl/handle/1874/301788","De beide Eemnessen in 1811 naar n gemeente Jan Out 72-76 2011")</f>
        <v>0</v>
      </c>
    </row>
    <row r="6165" spans="2:4">
      <c r="B6165">
        <v>100</v>
      </c>
      <c r="C6165" s="1">
        <f>hyperlink("https://hetutrechtsarchief.nl/collectie/93DE2996DB1654AC84B07DCF9F8B97F2","De Eemnesser korenmolen Evert van Andel 79-95 2011")</f>
        <v>0</v>
      </c>
      <c r="D6165" s="1">
        <f>hyperlink("http://dspace.library.uu.nl/handle/1874/301789","De Eemnesser korenmolen Evert van Andel 79-95 2011")</f>
        <v>0</v>
      </c>
    </row>
    <row r="6166" spans="2:4">
      <c r="B6166">
        <v>84</v>
      </c>
      <c r="C6166" s="1">
        <f>hyperlink("https://hetutrechtsarchief.nl/collectie/B637BA4296505F50B9A3DFD3CBD49520","De familie Van Wickevoort deel 2 Wiebe van IJken 117-134 2011")</f>
        <v>0</v>
      </c>
      <c r="D6166" s="1">
        <f>hyperlink("http://dspace.library.uu.nl/handle/1874/301790","De familie Van Wickevoort Wiebe van IJken 97-110 nr 3 p 117-134 2011")</f>
        <v>0</v>
      </c>
    </row>
    <row r="6167" spans="2:4">
      <c r="B6167">
        <v>100</v>
      </c>
      <c r="C6167" s="1">
        <f>hyperlink("https://hetutrechtsarchief.nl/collectie/2DE2DA210A5A58FCAC70E3B5325EBECE","Kegelclub De Uitspatting bestaat 40 jaar Adrie van Oostrum 135-138 2011")</f>
        <v>0</v>
      </c>
      <c r="D6167" s="1">
        <f>hyperlink("http://dspace.library.uu.nl/handle/1874/301791","Kegelclub De Uitspatting bestaat 40 jaar Adrie van Oostrum 135-138 2011")</f>
        <v>0</v>
      </c>
    </row>
    <row r="6168" spans="2:4">
      <c r="B6168">
        <v>100</v>
      </c>
      <c r="C6168" s="1">
        <f>hyperlink("https://hetutrechtsarchief.nl/collectie/260E89DE32A15D9AA8BEB45C0763086E","Interview met Jan Manten Cees van Rijsdam 139-150 2011")</f>
        <v>0</v>
      </c>
      <c r="D6168" s="1">
        <f>hyperlink("http://dspace.library.uu.nl/handle/1874/301792","Interview met Jan Manten Cees van Rijsdam 139-150 2011")</f>
        <v>0</v>
      </c>
    </row>
    <row r="6169" spans="2:4">
      <c r="B6169">
        <v>100</v>
      </c>
      <c r="C6169" s="1">
        <f>hyperlink("https://hetutrechtsarchief.nl/collectie/002491BFC157583E8C5D24DE0E3E7905","Elisabeth Jans-van Bregt en Fred Witsenhuijsen het levensverhaal van twee onderduikers in Eemnes Henk van Hees 172-213 2011")</f>
        <v>0</v>
      </c>
      <c r="D6169" s="1">
        <f>hyperlink("http://dspace.library.uu.nl/handle/1874/301793","Elisabeth Jans-van Bregt en Fred Witsenhuijsen het levensverhaal van twee onderduikers in Eemnes Henk van Hees 172-213 2011")</f>
        <v>0</v>
      </c>
    </row>
    <row r="6170" spans="2:4">
      <c r="B6170">
        <v>80</v>
      </c>
      <c r="C6170" s="1">
        <f>hyperlink("https://hetutrechtsarchief.nl/collectie/B7083EF93EBA5D98808D4F1C7AB5881E","Afronding Klokkenplan Jaap Frantsen en Liesbeth Lemckert 217-219 2011")</f>
        <v>0</v>
      </c>
      <c r="D6170" s="1">
        <f>hyperlink("http://dspace.library.uu.nl/handle/1874/301794","Afronding Klokkenplan Liesbeth Frantsen Jaap Lemckert 217-219 2011")</f>
        <v>0</v>
      </c>
    </row>
    <row r="6171" spans="2:4">
      <c r="B6171">
        <v>100</v>
      </c>
      <c r="C6171" s="1">
        <f>hyperlink("https://hetutrechtsarchief.nl/collectie/9345FFE2278A5D14A7567049D4DDB35E","Hengelsportvereniging FLEVO 50 jaar Jan van Wijk 225-228 2011")</f>
        <v>0</v>
      </c>
      <c r="D6171" s="1">
        <f>hyperlink("http://dspace.library.uu.nl/handle/1874/301795","Hengelsportvereniging FLEVO 50 jaar Jan van Wijk 225-228 2011")</f>
        <v>0</v>
      </c>
    </row>
    <row r="6172" spans="2:4">
      <c r="B6172">
        <v>100</v>
      </c>
      <c r="C6172" s="1">
        <f>hyperlink("https://hetutrechtsarchief.nl/collectie/B625622221975723A662F4EED58C52E6","Kwartierstaat van Antonie Petrus Toon Koppen Michel Majoor 23-33 2012")</f>
        <v>0</v>
      </c>
      <c r="D6172" s="1">
        <f>hyperlink("http://dspace.library.uu.nl/handle/1874/301796","Kwartierstaat van Antonie Petrus Toon Koppen Michel Majoor 23-33 2012")</f>
        <v>0</v>
      </c>
    </row>
    <row r="6173" spans="2:4">
      <c r="B6173">
        <v>63</v>
      </c>
      <c r="C6173" s="1">
        <f>hyperlink("https://hetutrechtsarchief.nl/collectie/29F88A3679255898A26D80C0CADE0EDB","Herinneringen aan de Domsteeg W L van Nieuwenhuysen 104-107 1961")</f>
        <v>0</v>
      </c>
      <c r="D6173" s="1">
        <f>hyperlink("http://dspace.library.uu.nl/handle/1874/301797","Herinnering aan Foeke de Wolf Jaap Frantsen 50-51 2011")</f>
        <v>0</v>
      </c>
    </row>
    <row r="6174" spans="2:4">
      <c r="B6174">
        <v>100</v>
      </c>
      <c r="C6174" s="1">
        <f>hyperlink("https://hetutrechtsarchief.nl/collectie/4BA5876C2C8F5C81ADA7C029FC6A4C09","Een interview met Toon Wortel van gewoon timmerman tot buitengewoon wagenmaker Jan Delfgou 37-48 2012")</f>
        <v>0</v>
      </c>
      <c r="D6174" s="1">
        <f>hyperlink("http://dspace.library.uu.nl/handle/1874/301869","Een interview met Toon Wortel van gewoon timmerman tot buitengewoon wagenmaker Jan Delfgou 37-48 2012")</f>
        <v>0</v>
      </c>
    </row>
    <row r="6175" spans="2:4">
      <c r="B6175">
        <v>60</v>
      </c>
      <c r="C6175" s="1">
        <f>hyperlink("https://hetutrechtsarchief.nl/collectie/6B36E8CA9BD4503A8D56F40946379D76","Infrastructuur en ontwikkeling van Eemnes 1815-1940 deel 4 uitbreidingsplannen na 1920 Jaap Groeneveld 223-243 2012")</f>
        <v>0</v>
      </c>
      <c r="D6175" s="1">
        <f>hyperlink("http://dspace.library.uu.nl/handle/1874/301870","Infrastructuur en ontwikkeling van Eemnes 1815-1940 Jaap Groeneveld 51-71 nr 2 p 100-119 nr 3 p 194-212 nr 4 p 223-243 jg 35 2013 nr 1 p 5-22 2012-2013")</f>
        <v>0</v>
      </c>
    </row>
    <row r="6176" spans="2:4">
      <c r="B6176">
        <v>100</v>
      </c>
      <c r="C6176" s="1">
        <f>hyperlink("https://hetutrechtsarchief.nl/collectie/3E1706686C3D59D1A3D3DC7995FBCE5E","Is Napoleon nu wel of niet in Baarn Eemnes en Laren geweest Jaap Groeneveld 76-77 2012")</f>
        <v>0</v>
      </c>
      <c r="D6176" s="1">
        <f>hyperlink("http://dspace.library.uu.nl/handle/1874/301871","Is Napoleon nu wel of niet in Baarn Eemnes en Laren geweest Jaap Groeneveld 76-77 2012")</f>
        <v>0</v>
      </c>
    </row>
    <row r="6177" spans="2:4">
      <c r="B6177">
        <v>100</v>
      </c>
      <c r="C6177" s="1">
        <f>hyperlink("https://hetutrechtsarchief.nl/collectie/F49F589745E65EBD804B764D1492A30D","Meentweg 43 Mariahoeve Evert van Andel 86-99 2012")</f>
        <v>0</v>
      </c>
      <c r="D6177" s="1">
        <f>hyperlink("http://dspace.library.uu.nl/handle/1874/301872","Meentweg 43 Mariahoeve Evert van Andel 86-99 2012")</f>
        <v>0</v>
      </c>
    </row>
    <row r="6178" spans="2:4">
      <c r="B6178">
        <v>89</v>
      </c>
      <c r="C6178" s="1">
        <f>hyperlink("https://hetutrechtsarchief.nl/collectie/2A0420024BFA51C59288ED206744A315","De familie Grootveld te Eemnes Harry van der Voort 121-129 2012")</f>
        <v>0</v>
      </c>
      <c r="D6178" s="1">
        <f>hyperlink("http://dspace.library.uu.nl/handle/1874/301873","De familie Grootveld te Eemnes Harry van der Voort 121-129 nr 3 p 181-193 2012")</f>
        <v>0</v>
      </c>
    </row>
    <row r="6179" spans="2:4">
      <c r="B6179">
        <v>100</v>
      </c>
      <c r="C6179" s="1">
        <f>hyperlink("https://hetutrechtsarchief.nl/collectie/20320C73150457B6B8D2C583D5CFB143","Interview met Bep Gieskens en Dirk Hoek hun Eemnesgevoel Wim Hilhorst 133-141 2012")</f>
        <v>0</v>
      </c>
      <c r="D6179" s="1">
        <f>hyperlink("http://dspace.library.uu.nl/handle/1874/301874","Interview met Bep Gieskens en Dirk Hoek hun Eemnesgevoel Wim Hilhorst 133-141 2012")</f>
        <v>0</v>
      </c>
    </row>
    <row r="6180" spans="2:4">
      <c r="B6180">
        <v>100</v>
      </c>
      <c r="C6180" s="1">
        <f>hyperlink("https://hetutrechtsarchief.nl/collectie/BDBB00B4A983595BA10BB357320F0395","Jannetje Parv ambachtsvrouwe van beide Eemnessen Jan Out 149-154 2012")</f>
        <v>0</v>
      </c>
      <c r="D6180" s="1">
        <f>hyperlink("http://dspace.library.uu.nl/handle/1874/301875","Jannetje Parv ambachtsvrouwe van beide Eemnessen Jan Out 149-154 2012")</f>
        <v>0</v>
      </c>
    </row>
    <row r="6181" spans="2:4">
      <c r="B6181">
        <v>100</v>
      </c>
      <c r="C6181" s="1">
        <f>hyperlink("https://hetutrechtsarchief.nl/collectie/1B8E4CC303885E5CA3E8C6F0692B9C78","Het levensverhaal van Fenna en Gerard ter Avest Cees van Rijsdam 156-169 2012")</f>
        <v>0</v>
      </c>
      <c r="D6181" s="1">
        <f>hyperlink("http://dspace.library.uu.nl/handle/1874/301876","Het levensverhaal van Fenna en Gerard ter Avest Cees van Rijsdam 156-169 2012")</f>
        <v>0</v>
      </c>
    </row>
    <row r="6182" spans="2:4">
      <c r="B6182">
        <v>100</v>
      </c>
      <c r="C6182" s="1">
        <f>hyperlink("https://hetutrechtsarchief.nl/collectie/63809E386C8E5398BE373FAC22E48417","De familie Hamdorff die voortkwam uit de Eemnesser familie Grootveld Michel Majoor 170-180 2012")</f>
        <v>0</v>
      </c>
      <c r="D6182" s="1">
        <f>hyperlink("http://dspace.library.uu.nl/handle/1874/301877","De familie Hamdorff die voortkwam uit de Eemnesser familie Grootveld Michel Majoor 170-180 2012")</f>
        <v>0</v>
      </c>
    </row>
    <row r="6183" spans="2:4">
      <c r="B6183">
        <v>55</v>
      </c>
      <c r="C6183" s="1">
        <f>hyperlink("https://hetutrechtsarchief.nl/collectie/7982DE9DD5BB0FC1E0534701000AB3D0","Belgische militairen deserteren en vluchten naar Nederland Wiebe van IJken 175-180 2018")</f>
        <v>0</v>
      </c>
      <c r="D6183" s="1">
        <f>hyperlink("http://dspace.library.uu.nl/handle/1874/301878","Boedelscheidingen Met malkanderen in minne en vriendschap geschift Wiebe van IJken 2012")</f>
        <v>0</v>
      </c>
    </row>
    <row r="6184" spans="2:4">
      <c r="B6184">
        <v>93</v>
      </c>
      <c r="C6184" s="1">
        <f>hyperlink("https://hetutrechtsarchief.nl/collectie/A3D4AE210D3E59049227575798D880EB","Een leven lang aan de Meentweg dankzij een Deo et Arti-zoen een interview met Nel van der Zwaan-Post Henk van Hees 265-279 2012")</f>
        <v>0</v>
      </c>
      <c r="D6184" s="1">
        <f>hyperlink("http://dspace.library.uu.nl/handle/1874/301879","Een leven lang aan de Meentweg dankzij een Deo et Arti-zoen een interview met Nel van der Zwaan-Post Nel van der Zwaan-Post 265-279 2012")</f>
        <v>0</v>
      </c>
    </row>
    <row r="6185" spans="2:4">
      <c r="B6185">
        <v>100</v>
      </c>
      <c r="C6185" s="1">
        <f>hyperlink("https://hetutrechtsarchief.nl/collectie/BA5542FFC92351DF9224CA4398FD4675","Kwartierstaat van Jaap Makker Henk van Hees 47-64 2013")</f>
        <v>0</v>
      </c>
      <c r="D6185" s="1">
        <f>hyperlink("http://dspace.library.uu.nl/handle/1874/301880","Kwartierstaat van Jaap Makker Henk van Hees 47-64 2013")</f>
        <v>0</v>
      </c>
    </row>
    <row r="6186" spans="2:4">
      <c r="B6186">
        <v>100</v>
      </c>
      <c r="C6186" s="1">
        <f>hyperlink("https://hetutrechtsarchief.nl/collectie/879C61B4D87F575193A57212190835EA","Jubileum Eemnesser Carnavalsvereniging De Sliertjes Jan Delfgou 23-29 2013")</f>
        <v>0</v>
      </c>
      <c r="D6186" s="1">
        <f>hyperlink("http://dspace.library.uu.nl/handle/1874/301881","Jubileum Eemnesser Carnavalsvereniging De Sliertjes Jan Delfgou 23-29 2013")</f>
        <v>0</v>
      </c>
    </row>
    <row r="6187" spans="2:4">
      <c r="B6187">
        <v>100</v>
      </c>
      <c r="C6187" s="1">
        <f>hyperlink("https://hetutrechtsarchief.nl/collectie/7985DC59044658D48F0892BC247D9704","De familie Van Estvelt en Eemnes een rooms-katholieke Veluwse familie in Eemnes Henk van Hees 77-95 2013")</f>
        <v>0</v>
      </c>
      <c r="D6187" s="1">
        <f>hyperlink("http://dspace.library.uu.nl/handle/1874/301882","De familie Van Estvelt en Eemnes een rooms-katholieke Veluwse familie in Eemnes Henk van Hees 77-95 2013")</f>
        <v>0</v>
      </c>
    </row>
    <row r="6188" spans="2:4">
      <c r="B6188">
        <v>63</v>
      </c>
      <c r="C6188" s="1">
        <f>hyperlink("https://hetutrechtsarchief.nl/collectie/36B52C29EFF15D8C8899DA5B0EB2CF1A","120 jaar Eemnesser feesten deel1 van commissies tot Oranje-Comit 1892-1940 Jaap Groeneveld 99-120 2013")</f>
        <v>0</v>
      </c>
      <c r="D6188" s="1">
        <f>hyperlink("http://dspace.library.uu.nl/handle/1874/301883","120 jaar Eemnesser feesten Jaap Groeneveld 99-120 nr 3 p 179-201 2013")</f>
        <v>0</v>
      </c>
    </row>
    <row r="6189" spans="2:4">
      <c r="B6189">
        <v>100</v>
      </c>
      <c r="C6189" s="1">
        <f>hyperlink("https://hetutrechtsarchief.nl/collectie/58D8D633A44D578B8F669B1A3A15A493","Alfons Damen kerkelijk kunstschilder 1882-1967 het resultaat van een speurtocht Jan Out 123-128 2013")</f>
        <v>0</v>
      </c>
      <c r="D6189" s="1">
        <f>hyperlink("http://dspace.library.uu.nl/handle/1874/301884","Alfons Damen kerkelijk kunstschilder 1882-1967 het resultaat van een speurtocht Jan Out 123-128 2013")</f>
        <v>0</v>
      </c>
    </row>
    <row r="6190" spans="2:4">
      <c r="B6190">
        <v>100</v>
      </c>
      <c r="C6190" s="1">
        <f>hyperlink("https://hetutrechtsarchief.nl/collectie/C3C947BD85A85C0096793BB6344D6D9A","Interview met Bert Ruizendaal Peter Brouwer 129-138 2013")</f>
        <v>0</v>
      </c>
      <c r="D6190" s="1">
        <f>hyperlink("http://dspace.library.uu.nl/handle/1874/301885","Interview met Bert Ruizendaal Peter Brouwer 129-138 2013")</f>
        <v>0</v>
      </c>
    </row>
    <row r="6191" spans="2:4">
      <c r="B6191">
        <v>56</v>
      </c>
      <c r="C6191" s="1">
        <f>hyperlink("https://hetutrechtsarchief.nl/collectie/A78F2BF666CC5A80E0534701000A6526","De bevrijding van Eemnes in mei 1945 Henk van Hees 35-42 2020")</f>
        <v>0</v>
      </c>
      <c r="D6191" s="1">
        <f>hyperlink("http://dspace.library.uu.nl/handle/1874/301886","De uitbreiding van Eemnes in 1962-1963 enige indrukken van een 12-jarige Egbert van IJken 139-143 2013")</f>
        <v>0</v>
      </c>
    </row>
    <row r="6192" spans="2:4">
      <c r="B6192">
        <v>100</v>
      </c>
      <c r="C6192" s="1">
        <f>hyperlink("https://hetutrechtsarchief.nl/collectie/1D3B89F3E028590FB6D23135B27E8339","De Spaanse Griep in Eemnes Wiebe van IJken 148-160 2013")</f>
        <v>0</v>
      </c>
      <c r="D6192" s="1">
        <f>hyperlink("http://dspace.library.uu.nl/handle/1874/301887","De Spaanse Griep in Eemnes Wiebe van IJken 148-160 2013")</f>
        <v>0</v>
      </c>
    </row>
    <row r="6193" spans="2:4">
      <c r="B6193">
        <v>100</v>
      </c>
      <c r="C6193" s="1">
        <f>hyperlink("https://hetutrechtsarchief.nl/collectie/3FF0F914612A5153967738AC160DA662","Een leven lang Jan van Wijk interview met Jan van Wijk Cees van Rijsdam 161-178 2013")</f>
        <v>0</v>
      </c>
      <c r="D6193" s="1">
        <f>hyperlink("http://dspace.library.uu.nl/handle/1874/301888","Een leven lang Jan van Wijk interview met Jan van Wijk Cees van Rijsdam 161-178 2013")</f>
        <v>0</v>
      </c>
    </row>
    <row r="6194" spans="2:4">
      <c r="B6194">
        <v>100</v>
      </c>
      <c r="C6194" s="1">
        <f>hyperlink("https://hetutrechtsarchief.nl/collectie/EE118BA6E342503084F6AA9A70D5E4EF","Kraamvrouwenkoorts in Eemnes eind 1878 en begin 1879 Michel Majoor 213-221 2013")</f>
        <v>0</v>
      </c>
      <c r="D6194" s="1">
        <f>hyperlink("http://dspace.library.uu.nl/handle/1874/301889","Kraamvrouwenkoorts in Eemnes eind 1878 en begin 1879 Michel Majoor 213-221 2013")</f>
        <v>0</v>
      </c>
    </row>
    <row r="6195" spans="2:4">
      <c r="B6195">
        <v>63</v>
      </c>
      <c r="C6195" s="1">
        <f>hyperlink("https://hetutrechtsarchief.nl/collectie/C1385FDAC24852328A6BC997191298FD","Interview met Dien Loep-van Kempen Henk van Hees 5-16 2009")</f>
        <v>0</v>
      </c>
      <c r="D6195" s="1">
        <f>hyperlink("http://dspace.library.uu.nl/handle/1874/301890","Wie kreeg een foto van koningin Emma Henk van Hees 212 2013")</f>
        <v>0</v>
      </c>
    </row>
    <row r="6196" spans="2:4">
      <c r="B6196">
        <v>100</v>
      </c>
      <c r="C6196" s="1">
        <f>hyperlink("https://hetutrechtsarchief.nl/collectie/3DA974B205F95413A497AA149DF1421E","Interview met Mien Elders-Jonkman de laatste boerin aan de Wakkerendijk in Eemnes Henk van Hees 222-239 2013")</f>
        <v>0</v>
      </c>
      <c r="D6196" s="1">
        <f>hyperlink("http://dspace.library.uu.nl/handle/1874/301891","Interview met Mien Elders-Jonkman de laatste boerin aan de Wakkerendijk in Eemnes Henk van Hees 222-239 2013")</f>
        <v>0</v>
      </c>
    </row>
    <row r="6197" spans="2:4">
      <c r="B6197">
        <v>100</v>
      </c>
      <c r="C6197" s="1">
        <f>hyperlink("https://hetutrechtsarchief.nl/collectie/492C715B385C58BDB2ADC476BAC0D3DF","De barre winter van 1962-1963 Henk van Hees 241-248 2013")</f>
        <v>0</v>
      </c>
      <c r="D6197" s="1">
        <f>hyperlink("http://dspace.library.uu.nl/handle/1874/301892","De barre winter van 1962-1963 Henk van Hees 241-248 2013")</f>
        <v>0</v>
      </c>
    </row>
    <row r="6198" spans="2:4">
      <c r="B6198">
        <v>100</v>
      </c>
      <c r="C6198" s="1">
        <f>hyperlink("https://hetutrechtsarchief.nl/collectie/0DA2E04A7FB5546289E5D1B062A95E95","Grote gebeurtenissen en het leven in een kleine plaats Loenen in de Franse Tijd Wim van Schaik 14-19 2013")</f>
        <v>0</v>
      </c>
      <c r="D6198" s="1">
        <f>hyperlink("http://dspace.library.uu.nl/handle/1874/301893","Grote gebeurtenissen en het leven in een kleine plaats Loenen in de Franse Tijd Wim van Schaik 14-19 2013")</f>
        <v>0</v>
      </c>
    </row>
    <row r="6199" spans="2:4">
      <c r="B6199">
        <v>100</v>
      </c>
      <c r="C6199" s="1">
        <f>hyperlink("https://hetutrechtsarchief.nl/collectie/E966224BE0B35EA89F589E959778C618","Nieuwersluis in de Franse Tijd een vesting in werking Wim van Schaik 20-24 2013")</f>
        <v>0</v>
      </c>
      <c r="D6199" s="1">
        <f>hyperlink("http://dspace.library.uu.nl/handle/1874/301894","Nieuwersluis in de Franse Tijd een vesting in werking Wim van Schaik 20-24 2013")</f>
        <v>0</v>
      </c>
    </row>
    <row r="6200" spans="2:4">
      <c r="B6200">
        <v>100</v>
      </c>
      <c r="C6200" s="1">
        <f>hyperlink("https://hetutrechtsarchief.nl/collectie/475B4C27CA945153AF78ACEBD7CE8C15","Andries Jan Strick van Linschoten Heer van Loenersloot en patriot van nationale betekenis Kees de Kruijter 25-26 2013")</f>
        <v>0</v>
      </c>
      <c r="D6200" s="1">
        <f>hyperlink("http://dspace.library.uu.nl/handle/1874/301895","Andries Jan Strick van Linschoten heer van Loenersloot en patriot van nationale betekenis Kees de Kruijter 25-26 2013")</f>
        <v>0</v>
      </c>
    </row>
    <row r="6201" spans="2:4">
      <c r="B6201">
        <v>100</v>
      </c>
      <c r="C6201" s="1">
        <f>hyperlink("https://hetutrechtsarchief.nl/collectie/302F98ADA0935F8BA5B6D84A00ABF957","De Franse Tijd in Nigtevecht een duister verhaal Arjan van t Riet 27-29 2013")</f>
        <v>0</v>
      </c>
      <c r="D6201" s="1">
        <f>hyperlink("http://dspace.library.uu.nl/handle/1874/301896","De Franse Tijd in Nigtevecht een duister verhaal Arjan van t Riet 27-29 2013")</f>
        <v>0</v>
      </c>
    </row>
    <row r="6202" spans="2:4">
      <c r="B6202">
        <v>100</v>
      </c>
      <c r="C6202" s="1">
        <f>hyperlink("https://hetutrechtsarchief.nl/collectie/91A2601BF14952109DA9681E58B98843","Vreeland in de Franse Tijd Bart Jagt 30-36 2013")</f>
        <v>0</v>
      </c>
      <c r="D6202" s="1">
        <f>hyperlink("http://dspace.library.uu.nl/handle/1874/301897","Vreeland in de Franse Tijd Bart Jagt 30-36 2013")</f>
        <v>0</v>
      </c>
    </row>
    <row r="6203" spans="2:4">
      <c r="B6203">
        <v>100</v>
      </c>
      <c r="C6203" s="1">
        <f>hyperlink("https://hetutrechtsarchief.nl/collectie/4373A3F5EA715417BF8C7717A598AB5A","Een belastingaanslag van 3 miljoen Bernadine Ypma 37-39 2013")</f>
        <v>0</v>
      </c>
      <c r="D6203" s="1">
        <f>hyperlink("http://dspace.library.uu.nl/handle/1874/301898","Een belastingaanslag van 3 miljoen Bernadine Ypma 37-39 2013")</f>
        <v>0</v>
      </c>
    </row>
    <row r="6204" spans="2:4">
      <c r="B6204">
        <v>61</v>
      </c>
      <c r="C6204" s="1">
        <f>hyperlink("https://hetutrechtsarchief.nl/collectie/7982DE9DD5B90FC1E0534701000AB3D0","Belgische vluchtelingen in Eemnes in de periode 1914-1918 Henk van Hees 167-172 2018")</f>
        <v>0</v>
      </c>
      <c r="D6204" s="1">
        <f>hyperlink("http://dspace.library.uu.nl/handle/1874/301899","Bekende dichter Gerrit Achterberg en zijn Eemnesser overgrootmoeder Henk van Hees 131-132 2012")</f>
        <v>0</v>
      </c>
    </row>
    <row r="6205" spans="2:4">
      <c r="B6205">
        <v>57</v>
      </c>
      <c r="C6205" s="1">
        <f>hyperlink("https://hetutrechtsarchief.nl/collectie/06D75BC8A1DE53EC9068BC32FD0CCA5C","Herinneringen aan het Bosbad Jan Meijer 12-14 2015")</f>
        <v>0</v>
      </c>
      <c r="D6205" s="1">
        <f>hyperlink("http://dspace.library.uu.nl/handle/1874/301900","Herinnering aan Elisabeth Bangert - tante Betje 1870-1964 Freek Dijs 42-46 2013")</f>
        <v>0</v>
      </c>
    </row>
    <row r="6206" spans="2:4">
      <c r="B6206">
        <v>60</v>
      </c>
      <c r="C6206" s="1">
        <f>hyperlink("https://hetutrechtsarchief.nl/collectie/ED369A595F345CA58246D6BABDD68769","Gelegenheidsuitgaven bij driehonderd jaar Vrede van Utrecht Ren Hesselink 192-204 2013")</f>
        <v>0</v>
      </c>
      <c r="D6206" s="1">
        <f>hyperlink("http://dspace.library.uu.nl/handle/1874/301901","Kerkroof in Eemnes ruim driehonderd jaar geleden Henk Hees 207 2013")</f>
        <v>0</v>
      </c>
    </row>
    <row r="6207" spans="2:4">
      <c r="B6207">
        <v>58</v>
      </c>
      <c r="C6207" s="1">
        <f>hyperlink("https://hetutrechtsarchief.nl/collectie/A8CADB23B76659E9B77983B91A3FE5F4","Fort Abcoude weer bewapend Wim Timmer 432-433 2009")</f>
        <v>0</v>
      </c>
      <c r="D6207" s="1">
        <f>hyperlink("http://dspace.library.uu.nl/handle/1874/302023","Honderdjarig huwelijk in Abcoude fam Uiterwaal - De Wakende Haan Wim Timmer 302-316 2007")</f>
        <v>0</v>
      </c>
    </row>
    <row r="6208" spans="2:4">
      <c r="B6208">
        <v>100</v>
      </c>
      <c r="C6208" s="1">
        <f>hyperlink("https://hetutrechtsarchief.nl/collectie/8C97892C432658D990CCC0A87CA71E89","Historische panden Stationsstraat 17 - Abcoude Wim Timmer 321-324 2007")</f>
        <v>0</v>
      </c>
      <c r="D6208" s="1">
        <f>hyperlink("http://dspace.library.uu.nl/handle/1874/302024","Historische panden Stationsstraat 17 - Abcoude Wim Timmer 321-324 2007")</f>
        <v>0</v>
      </c>
    </row>
    <row r="6209" spans="2:4">
      <c r="B6209">
        <v>90</v>
      </c>
      <c r="C6209" s="1">
        <f>hyperlink("https://hetutrechtsarchief.nl/collectie/56862F026C1A59F7931C1D549E9CA0C2","Onvindbare dopelingen Fred de Wit 9-12 2000")</f>
        <v>0</v>
      </c>
      <c r="D6209" s="1">
        <f>hyperlink("http://dspace.library.uu.nl/handle/1874/302025","Onvindbare dopelingen Fred de Wit 324-326 2007")</f>
        <v>0</v>
      </c>
    </row>
    <row r="6210" spans="2:4">
      <c r="B6210">
        <v>100</v>
      </c>
      <c r="C6210" s="1">
        <f>hyperlink("https://hetutrechtsarchief.nl/collectie/1BDD4EBD62B85FA6AFA909C54721864C","Brand in Loenersloot Wim Timmer 327-328 2007")</f>
        <v>0</v>
      </c>
      <c r="D6210" s="1">
        <f>hyperlink("http://dspace.library.uu.nl/handle/1874/302026","Brand in Loenersloot Wim Timmer 327-328 2007")</f>
        <v>0</v>
      </c>
    </row>
    <row r="6211" spans="2:4">
      <c r="B6211">
        <v>92</v>
      </c>
      <c r="C6211" s="1">
        <f>hyperlink("https://hetutrechtsarchief.nl/collectie/3FD6F46DB03C566D9EB4493618C47E17","Honderd jaar IJsclub Baambrugge Harmen Hoogenhout 346-372 2008")</f>
        <v>0</v>
      </c>
      <c r="D6211" s="1">
        <f>hyperlink("http://dspace.library.uu.nl/handle/1874/302027","100 jaar IJsclub Baambrugge Harmen Hoogenhout 346-372 2008")</f>
        <v>0</v>
      </c>
    </row>
    <row r="6212" spans="2:4">
      <c r="B6212">
        <v>100</v>
      </c>
      <c r="C6212" s="1">
        <f>hyperlink("https://hetutrechtsarchief.nl/collectie/EED45EF90FEE5D059C7A14FA263B656A","Oranjevereniging Baambrugge 1933-2008 Harmen Hoogenhout 330-335 2008")</f>
        <v>0</v>
      </c>
      <c r="D6212" s="1">
        <f>hyperlink("http://dspace.library.uu.nl/handle/1874/302028","Oranjevereniging Baambrugge 1933-2008 Harmen Hoogenhout 330-335 2008")</f>
        <v>0</v>
      </c>
    </row>
    <row r="6213" spans="2:4">
      <c r="B6213">
        <v>73</v>
      </c>
      <c r="C6213" s="1">
        <f>hyperlink("https://hetutrechtsarchief.nl/collectie/A4C8CAACB9545FF2BF55EE1ADDF52069","Het jaar 1908 340-344 2008")</f>
        <v>0</v>
      </c>
      <c r="D6213" s="1">
        <f>hyperlink("http://dspace.library.uu.nl/handle/1874/302029","Het jaar 1908 Wim Timmer 335-340 2008")</f>
        <v>0</v>
      </c>
    </row>
    <row r="6214" spans="2:4">
      <c r="B6214">
        <v>61</v>
      </c>
      <c r="C6214" s="1">
        <f>hyperlink("https://hetutrechtsarchief.nl/collectie/74B15CAF6AC05713AEAC9A5013F8785D","Van Gelder te Oudewater C H van Wijngaarden 69-77 2006")</f>
        <v>0</v>
      </c>
      <c r="D6214" s="1">
        <f>hyperlink("http://dspace.library.uu.nl/handle/1874/302030","Matigheid in Abcoude L H van Wijngaarden-Bakker 340-344 2008")</f>
        <v>0</v>
      </c>
    </row>
    <row r="6215" spans="2:4">
      <c r="B6215">
        <v>100</v>
      </c>
      <c r="C6215" s="1">
        <f>hyperlink("https://hetutrechtsarchief.nl/collectie/8ECE585170D75982948C7F1D8A1BCBD1","De windmolens van Abcoude Baambrugge e o van 27 stuks naar 3 Karel de Snoo 374-381 2008")</f>
        <v>0</v>
      </c>
      <c r="D6215" s="1">
        <f>hyperlink("http://dspace.library.uu.nl/handle/1874/302031","De windmolens van Abcoude Baambrugge e o van 27 stuks naar 3 Karel de Snoo 374-381 2008")</f>
        <v>0</v>
      </c>
    </row>
    <row r="6216" spans="2:4">
      <c r="B6216">
        <v>100</v>
      </c>
      <c r="C6216" s="1">
        <f>hyperlink("https://hetutrechtsarchief.nl/collectie/11036E0971285CA1B438A9C61E49C8B3","De Kerkschapen Wim Timmer 382-384 2008")</f>
        <v>0</v>
      </c>
      <c r="D6216" s="1">
        <f>hyperlink("http://dspace.library.uu.nl/handle/1874/302032","De kerkschapen Wim Timmer 382-384 2008")</f>
        <v>0</v>
      </c>
    </row>
    <row r="6217" spans="2:4">
      <c r="B6217">
        <v>100</v>
      </c>
      <c r="C6217" s="1">
        <f>hyperlink("https://hetutrechtsarchief.nl/collectie/6482C6694032529D8EF0C22FB6913A46","Wegwijzers naar het verleden Arriaantje Loenen Wim Timmer 384-385 2008")</f>
        <v>0</v>
      </c>
      <c r="D6217" s="1">
        <f>hyperlink("http://dspace.library.uu.nl/handle/1874/302033","Wegwijzers naar het verleden Arriaantje Loenen Wim Timmer 384-385 2008")</f>
        <v>0</v>
      </c>
    </row>
    <row r="6218" spans="2:4">
      <c r="B6218">
        <v>100</v>
      </c>
      <c r="C6218" s="1">
        <f>hyperlink("https://hetutrechtsarchief.nl/collectie/147E089DD72855C9B58AB6CD8A3B5B94","Henry de Bosset een vergeten Ambachtsheer hervonden Wim Timmer 386-388 2008")</f>
        <v>0</v>
      </c>
      <c r="D6218" s="1">
        <f>hyperlink("http://dspace.library.uu.nl/handle/1874/302034","Henry de Bosset een vergeten ambachtsheer hervonden Wim Timmer 386-388 2008")</f>
        <v>0</v>
      </c>
    </row>
    <row r="6219" spans="2:4">
      <c r="B6219">
        <v>100</v>
      </c>
      <c r="C6219" s="1">
        <f>hyperlink("https://hetutrechtsarchief.nl/collectie/FCF5C13A5D9E5B0B80BB670791CF719F","Nieuwbouw in crisistijd aan het Zand en Jaagpad in Baambrugge Rein Rossing 390-393 2009")</f>
        <v>0</v>
      </c>
      <c r="D6219" s="1">
        <f>hyperlink("http://dspace.library.uu.nl/handle/1874/302035","Nieuwbouw in crisistijd aan het Zand en Jaagpad in Baambrugge Rein Rossing 390-393 2009")</f>
        <v>0</v>
      </c>
    </row>
    <row r="6220" spans="2:4">
      <c r="B6220">
        <v>100</v>
      </c>
      <c r="C6220" s="1">
        <f>hyperlink("https://hetutrechtsarchief.nl/collectie/A167C0988C4455A9947E4A64F8E62EE3","De Reijer Spreijstraat Wim Timmer 394-395 2009")</f>
        <v>0</v>
      </c>
      <c r="D6220" s="1">
        <f>hyperlink("http://dspace.library.uu.nl/handle/1874/302036","De Reijer Spreijstraat Wim Timmer 394-395 2009")</f>
        <v>0</v>
      </c>
    </row>
    <row r="6221" spans="2:4">
      <c r="B6221">
        <v>100</v>
      </c>
      <c r="C6221" s="1">
        <f>hyperlink("https://hetutrechtsarchief.nl/collectie/82D25E3E3DE957D4801E732FD4FCFD1F","Het rampjaar 1866 Cholera en veepest teisteren onze dorpen Wim Timmer 396-404 2009")</f>
        <v>0</v>
      </c>
      <c r="D6221" s="1">
        <f>hyperlink("http://dspace.library.uu.nl/handle/1874/302037","Het rampjaar 1866 cholera en veepest teisteren onze dorpen Wim Timmer 396-404 2009")</f>
        <v>0</v>
      </c>
    </row>
    <row r="6222" spans="2:4">
      <c r="B6222">
        <v>77</v>
      </c>
      <c r="C6222" s="1">
        <f>hyperlink("https://hetutrechtsarchief.nl/collectie/E2CAB0C5917756C6AEB60927E0951995","De vreeze des heeren is het beginsel der wijsheid 125 jaar christelijke school in Baambrugge met medew van Jans van t Hoff Bert Laarman Lenemie Laarman et al 406-420 2009")</f>
        <v>0</v>
      </c>
      <c r="D6222" s="1">
        <f>hyperlink("http://dspace.library.uu.nl/handle/1874/302038","De vreeze des Heeren is het beginsel der wijsheid 125 jaar christelijke school in Baambrugge Rein Rossing 405-420 2009")</f>
        <v>0</v>
      </c>
    </row>
    <row r="6223" spans="2:4">
      <c r="B6223">
        <v>100</v>
      </c>
      <c r="C6223" s="1">
        <f>hyperlink("https://hetutrechtsarchief.nl/collectie/426671051A5255DA95187F272A54FEE4","Kerkgaarde - Tussen de Kerken - Heilige buurt - Roomsche Kerkbuurt Wim Timmer 423-426 2009")</f>
        <v>0</v>
      </c>
      <c r="D6223" s="1">
        <f>hyperlink("http://dspace.library.uu.nl/handle/1874/302039","Kerkgaarde - Tussen de Kerken - Heilige buurt - Roomsche Kerkbuurt Wim Timmer 423-426 2009")</f>
        <v>0</v>
      </c>
    </row>
    <row r="6224" spans="2:4">
      <c r="B6224">
        <v>100</v>
      </c>
      <c r="C6224" s="1">
        <f>hyperlink("https://hetutrechtsarchief.nl/collectie/A8CADB23B76659E9B77983B91A3FE5F4","Fort Abcoude weer bewapend Wim Timmer 432-433 2009")</f>
        <v>0</v>
      </c>
      <c r="D6224" s="1">
        <f>hyperlink("http://dspace.library.uu.nl/handle/1874/302040","Fort Abcoude weer bewapend Wim Timmer 432-433 2009")</f>
        <v>0</v>
      </c>
    </row>
    <row r="6225" spans="2:4">
      <c r="B6225">
        <v>100</v>
      </c>
      <c r="C6225" s="1">
        <f>hyperlink("https://hetutrechtsarchief.nl/collectie/1036119FA9B850C8A45A5FD10276D941","Ditmaal de NH Kerkschapen Wim Timmer 434-435 2009")</f>
        <v>0</v>
      </c>
      <c r="D6225" s="1">
        <f>hyperlink("http://dspace.library.uu.nl/handle/1874/302041","Ditmaal de NH kerkschapen Wim Timmer 434-435 2009")</f>
        <v>0</v>
      </c>
    </row>
    <row r="6226" spans="2:4">
      <c r="B6226">
        <v>97</v>
      </c>
      <c r="C6226" s="1">
        <f>hyperlink("https://hetutrechtsarchief.nl/collectie/CABE9D157A4C52A4BDCF0EA6155299F6","Mart Stam architect en ontwerper een bijzondere vondst in Abcoude Wim Timmer 436 2009")</f>
        <v>0</v>
      </c>
      <c r="D6226" s="1">
        <f>hyperlink("http://dspace.library.uu.nl/handle/1874/302042","Mart Stam architect en ontwerper een bijzondere vondst in Abcoude Mart Timmer 436 2009")</f>
        <v>0</v>
      </c>
    </row>
    <row r="6227" spans="2:4">
      <c r="B6227">
        <v>100</v>
      </c>
      <c r="C6227" s="1">
        <f>hyperlink("https://hetutrechtsarchief.nl/collectie/F665FCABD9335B3096AA64992C62696E","Het duikteam van de brandweer Abcoude Anton Schrikenberg 427-432 2009")</f>
        <v>0</v>
      </c>
      <c r="D6227" s="1">
        <f>hyperlink("http://dspace.library.uu.nl/handle/1874/302043","Het duikteam van de brandweer Abcoude Anton Schrikenberg 427-432 2009")</f>
        <v>0</v>
      </c>
    </row>
    <row r="6228" spans="2:4">
      <c r="B6228">
        <v>100</v>
      </c>
      <c r="C6228" s="1">
        <f>hyperlink("https://hetutrechtsarchief.nl/collectie/4528DBAF53B358DEBD450DF83D930819","Geschiedenis van een snelweg Rein Rossing 444-452 2010")</f>
        <v>0</v>
      </c>
      <c r="D6228" s="1">
        <f>hyperlink("http://dspace.library.uu.nl/handle/1874/302044","Geschiedenis van een snelweg Rein Rossing 444-452 2010")</f>
        <v>0</v>
      </c>
    </row>
    <row r="6229" spans="2:4">
      <c r="B6229">
        <v>100</v>
      </c>
      <c r="C6229" s="1">
        <f>hyperlink("https://hetutrechtsarchief.nl/collectie/4184050356465A7EB8B8DC2D02D136B3","Dokter van Gortel arts te Abcoude 1929-1960 Wim Timmer 453-456 2010")</f>
        <v>0</v>
      </c>
      <c r="D6229" s="1">
        <f>hyperlink("http://dspace.library.uu.nl/handle/1874/302045","Dokter van Gortel arts te Abcoude 1929-1960 Wim Timmer 453-456 2010")</f>
        <v>0</v>
      </c>
    </row>
    <row r="6230" spans="2:4">
      <c r="B6230">
        <v>100</v>
      </c>
      <c r="C6230" s="1">
        <f>hyperlink("https://hetutrechtsarchief.nl/collectie/2AF5CE55068F59CC9AAAA44B447EF522","Het Abcouder Meer Marijke Carasso-Kok 438-443 2010")</f>
        <v>0</v>
      </c>
      <c r="D6230" s="1">
        <f>hyperlink("http://dspace.library.uu.nl/handle/1874/302046","Het Abcouder Meer Marijke Carasso-Kok 438-443 2010")</f>
        <v>0</v>
      </c>
    </row>
    <row r="6231" spans="2:4">
      <c r="B6231">
        <v>86</v>
      </c>
      <c r="C6231" s="1">
        <f>hyperlink("https://hetutrechtsarchief.nl/collectie/C335BD910B1E5C2CB31FDBCBEADC932D","Het Gemeente- en Polderhuis te Abcoude Wim Timmer 458-465 2011")</f>
        <v>0</v>
      </c>
      <c r="D6231" s="1">
        <f>hyperlink("http://dspace.library.uu.nl/handle/1874/302047","Het Gemeente- en Polderhuis te Abcoude Wim Timmer 458-465 nr 36 2011 p 475-486 2011")</f>
        <v>0</v>
      </c>
    </row>
    <row r="6232" spans="2:4">
      <c r="B6232">
        <v>84</v>
      </c>
      <c r="C6232" s="1">
        <f>hyperlink("https://hetutrechtsarchief.nl/collectie/6D0B4ADD81B059069BAB346CA907DE29","Het ontstaan van de wijk Angsteloord Huub den Bandt en Marijke Carasso-Kok 466-470 2011")</f>
        <v>0</v>
      </c>
      <c r="D6232" s="1">
        <f>hyperlink("http://dspace.library.uu.nl/handle/1874/302048","Het ontstaan van de wijk Angsteloord Marijke Bandt Huub den Carasso-Kok 466-470 2011")</f>
        <v>0</v>
      </c>
    </row>
    <row r="6233" spans="2:4">
      <c r="B6233">
        <v>100</v>
      </c>
      <c r="C6233" s="1">
        <f>hyperlink("https://hetutrechtsarchief.nl/collectie/26AE00EC917F5244AD72DFE6FE056387","Abcoude - Baambrugge - Leiden - Buskruit Wim Timmer 471 2011")</f>
        <v>0</v>
      </c>
      <c r="D6233" s="1">
        <f>hyperlink("http://dspace.library.uu.nl/handle/1874/302049","Abcoude - Baambrugge - Leiden - Buskruit Wim Timmer 471 2011")</f>
        <v>0</v>
      </c>
    </row>
    <row r="6234" spans="2:4">
      <c r="B6234">
        <v>100</v>
      </c>
      <c r="C6234" s="1">
        <f>hyperlink("https://hetutrechtsarchief.nl/collectie/37C9B547A86F56609185D04579B56080","Laat ons met rust het gaat toch goed een terugblik op vijftig jaar herindeling NW Utrecht Joop Frankenhuizen 500-502 2011")</f>
        <v>0</v>
      </c>
      <c r="D6234" s="1">
        <f>hyperlink("http://dspace.library.uu.nl/handle/1874/302050","Laat ons met rust het gaat toch goed een terugblik op vijftig jaar herindeling NW Utrecht Joop Frankenhuizen 500-502 2011")</f>
        <v>0</v>
      </c>
    </row>
    <row r="6235" spans="2:4">
      <c r="B6235">
        <v>100</v>
      </c>
      <c r="C6235" s="1">
        <f>hyperlink("https://hetutrechtsarchief.nl/collectie/3A67AD04C74D5F6D80A26F8733196870","Het kunstwerk van de Schone Baadster een beeld van Gozen Doorn Marijke Carasso-Kok 503-504 2011")</f>
        <v>0</v>
      </c>
      <c r="D6235" s="1">
        <f>hyperlink("http://dspace.library.uu.nl/handle/1874/302051","Het kunstwerk van de Schone Baadster een beeld van Gozen Doorn Marijke Carasso-Kok 503-504 2011")</f>
        <v>0</v>
      </c>
    </row>
    <row r="6236" spans="2:4">
      <c r="B6236">
        <v>100</v>
      </c>
      <c r="C6236" s="1">
        <f>hyperlink("https://hetutrechtsarchief.nl/collectie/4DAB23336AB95902901699605A445908","Drinkwatervoorziening in Abcoude en Baambrugge in vroeger tijden Wim Timmer 507-515 2012")</f>
        <v>0</v>
      </c>
      <c r="D6236" s="1">
        <f>hyperlink("http://dspace.library.uu.nl/handle/1874/302052","Drinkwatervoorziening in Abcoude en Baambrugge in vroeger tijden Wim Timmer 507-515 2012")</f>
        <v>0</v>
      </c>
    </row>
    <row r="6237" spans="2:4">
      <c r="B6237">
        <v>100</v>
      </c>
      <c r="C6237" s="1">
        <f>hyperlink("https://hetutrechtsarchief.nl/collectie/30F98497710C500D8761A398DB3B2BD1","Familie Van Teeseling -koperslagers-loodgieters-pompenslagers 516 2012")</f>
        <v>0</v>
      </c>
      <c r="D6237" s="1">
        <f>hyperlink("http://dspace.library.uu.nl/handle/1874/302053","Familie Van Teeseling -koperslagers-loodgieters-pompenslagers 516 2012")</f>
        <v>0</v>
      </c>
    </row>
    <row r="6238" spans="2:4">
      <c r="B6238">
        <v>100</v>
      </c>
      <c r="C6238" s="1">
        <f>hyperlink("https://hetutrechtsarchief.nl/collectie/A49839430F3855D5A9F8DCBC381AD39B","Het kunstwerk van de verrijzenis van Christus een beeld van G ne Eggen Marijke Carasso-Kok 519-520 2012")</f>
        <v>0</v>
      </c>
      <c r="D6238" s="1">
        <f>hyperlink("http://dspace.library.uu.nl/handle/1874/302054","Het kunstwerk van de verrijzenis van Christus een beeld van G ne Eggen Marijke Carasso-Kok 519-520 2012")</f>
        <v>0</v>
      </c>
    </row>
    <row r="6239" spans="2:4">
      <c r="B6239">
        <v>76</v>
      </c>
      <c r="C6239" s="1">
        <f>hyperlink("https://hetutrechtsarchief.nl/collectie/3A67AD04C74D5F6D80A26F8733196870","Het kunstwerk van de Schone Baadster een beeld van Gozen Doorn Marijke Carasso-Kok 503-504 2011")</f>
        <v>0</v>
      </c>
      <c r="D6239" s="1">
        <f>hyperlink("http://dspace.library.uu.nl/handle/1874/302055","Het kunstwerk van De Meeuw een beeld van Theresia van der Pant Marijke Carasso-Kok 487-488 2011")</f>
        <v>0</v>
      </c>
    </row>
    <row r="6240" spans="2:4">
      <c r="B6240">
        <v>61</v>
      </c>
      <c r="C6240" s="1">
        <f>hyperlink("https://hetutrechtsarchief.nl/collectie/C335BD910B1E5C2CB31FDBCBEADC932D","Het Gemeente- en Polderhuis te Abcoude Wim Timmer 458-465 2011")</f>
        <v>0</v>
      </c>
      <c r="D6240" s="1">
        <f>hyperlink("http://dspace.library.uu.nl/handle/1874/302056","Archiefvondsten het Slot van Abcoude Wim Timmer 517-518 2012")</f>
        <v>0</v>
      </c>
    </row>
    <row r="6241" spans="2:4">
      <c r="B6241">
        <v>63</v>
      </c>
      <c r="C6241" s="1">
        <f>hyperlink("https://hetutrechtsarchief.nl/collectie/F0B7171EE5A9580EBF7B5396A331914A","Bewoners van het kasteel IJsselstein van 1795 tot 1813 Tj Visser 17-20 2011")</f>
        <v>0</v>
      </c>
      <c r="D6241" s="1">
        <f>hyperlink("http://dspace.library.uu.nl/handle/1874/302281","Jan van Stolk en kasteel IJsselstein in 1769 D B M Hermans 195-208 1994")</f>
        <v>0</v>
      </c>
    </row>
    <row r="6242" spans="2:4">
      <c r="B6242">
        <v>56</v>
      </c>
      <c r="C6242" s="1">
        <f>hyperlink("https://hetutrechtsarchief.nl/collectie/47ED3305E687523EA4E797D295B2667B","Het Huis ter Heide P H Damst 9-15 2004")</f>
        <v>0</v>
      </c>
      <c r="D6242" s="1">
        <f>hyperlink("http://dspace.library.uu.nl/handle/1874/302282","Kasteel Huis te Vliet C G M Noordam 209-218 1994")</f>
        <v>0</v>
      </c>
    </row>
    <row r="6243" spans="2:4">
      <c r="B6243">
        <v>53</v>
      </c>
      <c r="C6243" s="1">
        <f>hyperlink("https://hetutrechtsarchief.nl/collectie/A1542F6FC79E53E79583768D1F490FF1","Het station Huis ter Heide R P M Rhoen 19 2014")</f>
        <v>0</v>
      </c>
      <c r="D6243" s="1">
        <f>hyperlink("http://dspace.library.uu.nl/handle/1874/302283","Bi der holen het kasteel Huis ter Heul bij Lopik C G M Noordam 219-222 1994")</f>
        <v>0</v>
      </c>
    </row>
    <row r="6244" spans="2:4">
      <c r="B6244">
        <v>52</v>
      </c>
      <c r="C6244" s="1">
        <f>hyperlink("https://hetutrechtsarchief.nl/collectie/91223FC4592955B28D2F32C608EBD0F2","Belgische vluchtelingen en militairen in IJsselstein 1914-1919 T A van Dijk 37-48 2015")</f>
        <v>0</v>
      </c>
      <c r="D6244" s="1">
        <f>hyperlink("http://dspace.library.uu.nl/handle/1874/302284","De arbeidsinzet lotgevallen van achttien IJsselsteiners in Duitsland 1942-1945 M A J M Matthijssen 225-242 1995")</f>
        <v>0</v>
      </c>
    </row>
    <row r="6245" spans="2:4">
      <c r="B6245">
        <v>54</v>
      </c>
      <c r="C6245" s="1">
        <f>hyperlink("https://hetutrechtsarchief.nl/collectie/B906D2BDBEA8555990EB91F8E9E6E7CC","Trekhond een hondenbaan de geschiedenis van de trekhond in IJsselstein L Murk en K Peeters 1-18 1999")</f>
        <v>0</v>
      </c>
      <c r="D6245" s="1">
        <f>hyperlink("http://dspace.library.uu.nl/handle/1874/302285","Afvoer burgerbevolking evacuees in de streek van IJsselstein L Murk 243-256 1995")</f>
        <v>0</v>
      </c>
    </row>
    <row r="6246" spans="2:4">
      <c r="B6246">
        <v>57</v>
      </c>
      <c r="C6246" s="1">
        <f>hyperlink("https://hetutrechtsarchief.nl/collectie/A6D7C3D48C0A5E0998D0F66B80425FC9","Het gemeentelijk bestuursapparaat in beeld J C Janssen 7-9 schema 1965")</f>
        <v>0</v>
      </c>
      <c r="D6246" s="1">
        <f>hyperlink("http://dspace.library.uu.nl/handle/1874/302286","Het plaatselijk bestuur in de bezettingstijd M A J M Matthijssen 257-266 1995")</f>
        <v>0</v>
      </c>
    </row>
    <row r="6247" spans="2:4">
      <c r="B6247">
        <v>54</v>
      </c>
      <c r="C6247" s="1">
        <f>hyperlink("https://hetutrechtsarchief.nl/collectie/5BDE73E2CEF557DF93E0A2A7C9C6CADE","Vliegtuigcrashes in de Krimpenerwaard 1940-1945 J Heuvelman 57-74 2014")</f>
        <v>0</v>
      </c>
      <c r="D6247" s="1">
        <f>hyperlink("http://dspace.library.uu.nl/handle/1874/302287","De inundatie in de Lopikerwaard 1944-1945 M A J M Murk J Matthijssen 267-278 1995")</f>
        <v>0</v>
      </c>
    </row>
    <row r="6248" spans="2:4">
      <c r="B6248">
        <v>59</v>
      </c>
      <c r="C6248" s="1">
        <f>hyperlink("https://hetutrechtsarchief.nl/collectie/1F1F681A40085486804FF213021B3615","De notariele archieven van IJsselstein Rob Alkemade 1-12 2010")</f>
        <v>0</v>
      </c>
      <c r="D6248" s="1">
        <f>hyperlink("http://dspace.library.uu.nl/handle/1874/302288","De centrale gaarkeuken te IJsselstein L Peeters K Murk 279-290 1995")</f>
        <v>0</v>
      </c>
    </row>
    <row r="6249" spans="2:4">
      <c r="B6249">
        <v>51</v>
      </c>
      <c r="C6249" s="1">
        <f>hyperlink("https://hetutrechtsarchief.nl/collectie/FE388203F67F5BAC94DC4D3DFA9AE5E0","Verrassend antiek Chinees behang in en Hollands huis tekst Petra Vossestein fotografie Jeroen van der Spek 6-13 ill 1995")</f>
        <v>0</v>
      </c>
      <c r="D6249" s="1">
        <f>hyperlink("http://dspace.library.uu.nl/handle/1874/302289","Kapelaan Verhoeven en Cristofoor illegaal tijdschrift ontstaan op het IJsselsteinse stadhuis D C E van der Kooij 291-296 1995")</f>
        <v>0</v>
      </c>
    </row>
    <row r="6250" spans="2:4">
      <c r="B6250">
        <v>60</v>
      </c>
      <c r="C6250" s="1">
        <f>hyperlink("https://hetutrechtsarchief.nl/collectie/712E5BF6E6CD5547A458A388D0BF12BD","Fort De Bilt herdenkingsmonument A M Stuij 6 vervolg op pag 20 1992")</f>
        <v>0</v>
      </c>
      <c r="D6250" s="1">
        <f>hyperlink("http://dspace.library.uu.nl/handle/1874/302290","Van oorlogs- tot herdenkingsmonument L Murk 297-310 1995")</f>
        <v>0</v>
      </c>
    </row>
    <row r="6251" spans="2:4">
      <c r="B6251">
        <v>57</v>
      </c>
      <c r="C6251" s="1">
        <f>hyperlink("https://hetutrechtsarchief.nl/collectie/A361E7546CB75FE79B1D4A90BD49C46C","Twee vergeten doden uit de Meidagen van 1940 10-11 1999")</f>
        <v>0</v>
      </c>
      <c r="D6251" s="1">
        <f>hyperlink("http://dspace.library.uu.nl/handle/1874/302291","Korte biografie van de gevallenen uit de periode 1940-1949 L Murk 311-314 1995")</f>
        <v>0</v>
      </c>
    </row>
    <row r="6252" spans="2:4">
      <c r="B6252">
        <v>54</v>
      </c>
      <c r="C6252" s="1">
        <f>hyperlink("https://hetutrechtsarchief.nl/collectie/7259485F32915DFC83E17B997C66712C","Zuidnederlandse onderwijskrachten in Noordnederland 1570-1630 een bijdrage tot de kennis van het schoolwezen in de Republiek J G C A Briels 89-169 1972")</f>
        <v>0</v>
      </c>
      <c r="D6252" s="1">
        <f>hyperlink("http://dspace.library.uu.nl/handle/1874/302292","Geen landschapspark voor de drost een bijdrage tot de kennis van de IJsselsteinse kasteeltuinen uit de periode 1750-1950 P W A Broeders 315-342 1995")</f>
        <v>0</v>
      </c>
    </row>
    <row r="6253" spans="2:4">
      <c r="B6253">
        <v>51</v>
      </c>
      <c r="C6253" s="1">
        <f>hyperlink("https://hetutrechtsarchief.nl/collectie/B28B7F79ACCE5EA4AE475E7C33F95998","Een machine met cultuurhistorische waarde veensteekmachine Op Hoog van Zegen Piet van Buul 43-46 2011")</f>
        <v>0</v>
      </c>
      <c r="D6253" s="1">
        <f>hyperlink("http://dspace.library.uu.nl/handle/1874/302293","Romantiek in een streng technische omgeving cultuurhistorische waardestelling betreffende het voormalig zendergebouw van de Nozema te IJsselstein R K M Blijdenstijn 357-362 1996")</f>
        <v>0</v>
      </c>
    </row>
    <row r="6254" spans="2:4">
      <c r="B6254">
        <v>55</v>
      </c>
      <c r="C6254" s="1">
        <f>hyperlink("https://hetutrechtsarchief.nl/collectie/766D637CB45A576EBF5243B59DC0CC06","IJsselstein en de cultuurhistorische ruimte ontwikkelingsvisien op IJsselsteinse erfgronden Bart Rietveld en Jacques Houben 1-16 2008")</f>
        <v>0</v>
      </c>
      <c r="D6254" s="1">
        <f>hyperlink("http://dspace.library.uu.nl/handle/1874/302294","IJsselstein en Nozema cultuur-historisch en sociale betekenis van het zendergebouw L Murk 363-366 1996")</f>
        <v>0</v>
      </c>
    </row>
    <row r="6255" spans="2:4">
      <c r="B6255">
        <v>50</v>
      </c>
      <c r="C6255" s="1">
        <f>hyperlink("https://hetutrechtsarchief.nl/collectie/BCC087C6EB7152C8940E03349FEC98DD","De stoelgang als historisch fenomeen interview met Ineke Strouken en Albert van der Zeijden over de geschiedenis van het dagelijkse leven Reinoud de Haan en Alexander van der Haven 7 -20 portr 1994")</f>
        <v>0</v>
      </c>
      <c r="D6255" s="1">
        <f>hyperlink("http://dspace.library.uu.nl/handle/1874/302295","de geschiedenis van Uw vaderland niet kennende zijt gij buitenstaat ooit een goed burger veel meer een nuttig regent van het zelve te worden Atlas van Stolk het dagelijks leven in onze stad asielzoekers in Ysselstein Ron van Arkel 367-382 1996")</f>
        <v>0</v>
      </c>
    </row>
    <row r="6256" spans="2:4">
      <c r="B6256">
        <v>60</v>
      </c>
      <c r="C6256" s="1">
        <f>hyperlink("https://hetutrechtsarchief.nl/collectie/75E3482BDFF75551A63816A53D701363","De IJsselsteinse politie 1818-1942 W R C Alkemade")</f>
        <v>0</v>
      </c>
      <c r="D6256" s="1">
        <f>hyperlink("http://dspace.library.uu.nl/handle/1874/302296","De IJsselsteinse politiek van 1848-1851 Sunny Jansen 383-393 1996")</f>
        <v>0</v>
      </c>
    </row>
    <row r="6257" spans="2:4">
      <c r="B6257">
        <v>52</v>
      </c>
      <c r="C6257" s="1">
        <f>hyperlink("https://hetutrechtsarchief.nl/collectie/894FCDA2806971A5E0534701000A1F9F","Mit panser ende yserhoet ende eenre langer weren de Utrechtse gilden als verdedigers van de stad Kaj van Vliet 48-53 2019")</f>
        <v>0</v>
      </c>
      <c r="D6257" s="1">
        <f>hyperlink("http://dspace.library.uu.nl/handle/1874/302377","Jan Blanken en het Karnemelksgat waterbouwkundige primeur met een sluisje gelegen in de Singels van de stad IJsselstein P H Verboeket 427-442 1997")</f>
        <v>0</v>
      </c>
    </row>
    <row r="6258" spans="2:4">
      <c r="B6258">
        <v>55</v>
      </c>
      <c r="C6258" s="1">
        <f>hyperlink("https://hetutrechtsarchief.nl/collectie/8AF0A9D7B88655629B1FA9B9B3CFC174","Van deurkruk tot klimgym de geschiedenis van Schilte 140 jaar houtbewerking in IJsselstein E van Nederveen Meerkerk 1-20 1998")</f>
        <v>0</v>
      </c>
      <c r="D6258" s="1">
        <f>hyperlink("http://dspace.library.uu.nl/handle/1874/302378","zodat een talrijk gezin er goed kan wonen geschiedenis van het Julianawijk te IJsselstein Th van der Duuren C H van Voorn 1997")</f>
        <v>0</v>
      </c>
    </row>
    <row r="6259" spans="2:4">
      <c r="B6259">
        <v>57</v>
      </c>
      <c r="C6259" s="1">
        <f>hyperlink("https://hetutrechtsarchief.nl/collectie/0C058AE27B4D5114B4D32B0A1D890D05","40 jaar eigentijdse geschiedenis Onder red van Historische Kring IJsselstein 4-30 2015")</f>
        <v>0</v>
      </c>
      <c r="D6259" s="1">
        <f>hyperlink("http://dspace.library.uu.nl/handle/1874/302379","Verdediging van de historische kwaliteit Stichting Historische Kring IJsselstein Bestuur 1-12 1997")</f>
        <v>0</v>
      </c>
    </row>
    <row r="6260" spans="2:4">
      <c r="B6260">
        <v>52</v>
      </c>
      <c r="C6260" s="1">
        <f>hyperlink("https://hetutrechtsarchief.nl/collectie/39CC784E09FA5911A86F466CE404C330","De kaarten van de Lekdijk Benedendams en de IJsseldam uit de jaren 1820-1830 getekend door Von Derfelden van Hinderstein 1783-1857 P W A Broeders 1-14 2010")</f>
        <v>0</v>
      </c>
      <c r="D6260" s="1">
        <f>hyperlink("http://dspace.library.uu.nl/handle/1874/302380","IJsselsteins kasteel als lieu de m moire kanttekeningen bij Fulco de Minstreel n a v de belegering van kasteel IJsselstein in 1297 98 P W A Broeders 13-32 1997")</f>
        <v>0</v>
      </c>
    </row>
    <row r="6261" spans="2:4">
      <c r="B6261">
        <v>54</v>
      </c>
      <c r="C6261" s="1">
        <f>hyperlink("https://hetutrechtsarchief.nl/collectie/8C62E6C7E79B5ED4B90AB25D5B9E9AE7","De ramen in het schip van de St Nicolaaskerk 3-8 tek 1973")</f>
        <v>0</v>
      </c>
      <c r="D6261" s="1">
        <f>hyperlink("http://dspace.library.uu.nl/handle/1874/302381","Leerdams glaswerk in IJsselstein Hildo Krop en de oude Nicolaaskerk Thimo te Duits 395-404 1996")</f>
        <v>0</v>
      </c>
    </row>
    <row r="6262" spans="2:4">
      <c r="B6262">
        <v>53</v>
      </c>
      <c r="C6262" s="1">
        <f>hyperlink("https://hetutrechtsarchief.nl/collectie/9EC56FF446A757C2BBD07D93D3448465","Het archief van het kasteel De Haar te Haarzuilens A J van de Ven 4-5 1960")</f>
        <v>0</v>
      </c>
      <c r="D6262" s="1">
        <f>hyperlink("http://dspace.library.uu.nl/handle/1874/302382","Octrooi van de wekelijkse marktdag en haar privilegien in dato den 6e maart 1524 405-408 1996")</f>
        <v>0</v>
      </c>
    </row>
    <row r="6263" spans="2:4">
      <c r="B6263">
        <v>61</v>
      </c>
      <c r="C6263" s="1">
        <f>hyperlink("https://hetutrechtsarchief.nl/collectie/0C058AE27B4D5114B4D32B0A1D890D05","40 jaar eigentijdse geschiedenis Onder red van Historische Kring IJsselstein 4-30 2015")</f>
        <v>0</v>
      </c>
      <c r="D6263" s="1">
        <f>hyperlink("http://dspace.library.uu.nl/handle/1874/302383","Albertus Poot ondernemer gemeente-opzichter en architect Historische Kring IJsselstein 409-426 1996")</f>
        <v>0</v>
      </c>
    </row>
    <row r="6264" spans="2:4">
      <c r="B6264">
        <v>96</v>
      </c>
      <c r="C6264" s="1">
        <f>hyperlink("https://hetutrechtsarchief.nl/collectie/061230BF4D52515F932E69360EA6DC7F","gerustheid int midden van alle die beroeringen IJsselstein in het midden van de achttiende eeuw een studie naar de macht van de regenten in de baronie IJsselstein 1731-1765 Sunny Jansen 1-40 ill portr 1998")</f>
        <v>0</v>
      </c>
      <c r="D6264" s="1">
        <f>hyperlink("http://dspace.library.uu.nl/handle/1874/302453","gerustheid int midden van alle die beroeringen IJsselstein in het midden van de achttiende eeuw een studie naar de macht van de regenten in de baronie IJsselstein 1731-1765 Sunny Jansen 1998")</f>
        <v>0</v>
      </c>
    </row>
    <row r="6265" spans="2:4">
      <c r="B6265">
        <v>96</v>
      </c>
      <c r="C6265" s="1">
        <f>hyperlink("https://hetutrechtsarchief.nl/collectie/8AF0A9D7B88655629B1FA9B9B3CFC174","Van deurkruk tot klimgym de geschiedenis van Schilte 140 jaar houtbewerking in IJsselstein E van Nederveen Meerkerk 1-20 1998")</f>
        <v>0</v>
      </c>
      <c r="D6265" s="1">
        <f>hyperlink("http://dspace.library.uu.nl/handle/1874/302454","Van deurkruk tot klimgym de geschiedenis van Schilte 140 jaar houtbewerking in IJsselstein Elise van Nederveen Meerkerk 1998")</f>
        <v>0</v>
      </c>
    </row>
    <row r="6266" spans="2:4">
      <c r="B6266">
        <v>98</v>
      </c>
      <c r="C6266" s="1">
        <f>hyperlink("https://hetutrechtsarchief.nl/collectie/24E63EC68A3258678FD96A9BE16CD905","hun leven voor de paus pauselijke zouaven uit IJsselstein en omgeving 1860-1870 Hans Ellenbroek 1-28 1999")</f>
        <v>0</v>
      </c>
      <c r="D6266" s="1">
        <f>hyperlink("http://dspace.library.uu.nl/handle/1874/302455","hun leven voor de paus pauselijke zouaven uit IJsselstein en omgeving 1860-1870 Hans Ellenbroek 1999")</f>
        <v>0</v>
      </c>
    </row>
    <row r="6267" spans="2:4">
      <c r="B6267">
        <v>98</v>
      </c>
      <c r="C6267" s="1">
        <f>hyperlink("https://hetutrechtsarchief.nl/collectie/0299A8A3488B55FE8ED218E7E2E91B27","zegen of glorie over het middeleeuwse grafmonument in de Nederlands Hervormde Kerk te IJsselstein Xabier Jense 1-28 1999")</f>
        <v>0</v>
      </c>
      <c r="D6267" s="1">
        <f>hyperlink("http://dspace.library.uu.nl/handle/1874/302456","zegen of glorie over het middeleeuwse grafmonument in de Nederlands Hervormde Kerk te IJsselstein Xabier Jense 1999")</f>
        <v>0</v>
      </c>
    </row>
    <row r="6268" spans="2:4">
      <c r="B6268">
        <v>97</v>
      </c>
      <c r="C6268" s="1">
        <f>hyperlink("https://hetutrechtsarchief.nl/collectie/BB386F8DF22F5D38ABD641EDC332E949","IJsselstein in de kunst historie als onderscheidend cultuurbezit 1-24 2000")</f>
        <v>0</v>
      </c>
      <c r="D6268" s="1">
        <f>hyperlink("http://dspace.library.uu.nl/handle/1874/302457","IJsselstein in de kunst historie als onderscheidend cultuurbezit 2000")</f>
        <v>0</v>
      </c>
    </row>
    <row r="6269" spans="2:4">
      <c r="B6269">
        <v>97</v>
      </c>
      <c r="C6269" s="1">
        <f>hyperlink("https://hetutrechtsarchief.nl/collectie/85A350F8C90854D39A631B45624DAF79","ieder huis een eigen ledikant geschiedenis van het Imminkplein Saskia Raue 1-20 2000")</f>
        <v>0</v>
      </c>
      <c r="D6269" s="1">
        <f>hyperlink("http://dspace.library.uu.nl/handle/1874/302458","ieder huis een eigen ledikant geschiedenis van het Imminkplein Saskia Raue 2000")</f>
        <v>0</v>
      </c>
    </row>
    <row r="6270" spans="2:4">
      <c r="B6270">
        <v>98</v>
      </c>
      <c r="C6270" s="1">
        <f>hyperlink("https://hetutrechtsarchief.nl/collectie/0FA200BBD37D59ECA1B96BA30465F956","genaamd Merenborgerhorn Meerenburgerhorn een middeleeuwse puzzel A M Fafianie 1-20")</f>
        <v>0</v>
      </c>
      <c r="D6270" s="1">
        <f>hyperlink("http://dspace.library.uu.nl/handle/1874/302459","genaamd Merenborgerhorn Meerenburgerhorn een middeleeuwse puzzel A M Fafianie 2000")</f>
        <v>0</v>
      </c>
    </row>
    <row r="6271" spans="2:4">
      <c r="B6271">
        <v>68</v>
      </c>
      <c r="C6271" s="1">
        <f>hyperlink("https://hetutrechtsarchief.nl/collectie/F79AAB4E9EDD5BD085A95A52F2E99911","Isselwaerde duizendpoot met groot hart van Sint Joseph-Gesticht tot Isselwaerde 1970-1985 Tonny de Jong-van Vliet en Carla Rentinck 1-32 2002")</f>
        <v>0</v>
      </c>
      <c r="D6271" s="1">
        <f>hyperlink("http://dspace.library.uu.nl/handle/1874/302460","Van Sint Joseph-Gesticht tot Isselwaerde 1927-1940 Carla Jong-van Vliet Tonny de Rentinck 2002")</f>
        <v>0</v>
      </c>
    </row>
    <row r="6272" spans="2:4">
      <c r="B6272">
        <v>99</v>
      </c>
      <c r="C6272" s="1">
        <f>hyperlink("https://hetutrechtsarchief.nl/collectie/49E77BD14763532C837D31BD92FB1019","steeds meer nieuwe behoeften vernieuwingen binnen de cultuurhistorische identiteit Bart Rietveld 1-24 2001")</f>
        <v>0</v>
      </c>
      <c r="D6272" s="1">
        <f>hyperlink("http://dspace.library.uu.nl/handle/1874/302461","steeds meer nieuwe behoeften vernieuwingen binnen de cultuurhistorische identiteit Bart Rietveld 1-14 2001")</f>
        <v>0</v>
      </c>
    </row>
    <row r="6273" spans="2:4">
      <c r="B6273">
        <v>100</v>
      </c>
      <c r="C6273" s="1">
        <f>hyperlink("https://hetutrechtsarchief.nl/collectie/6C23EF1A8B68553BAD9D5D14F4C47763","toch heb ik dat ding gemaakt een fascinerend onderzoek met een merkwaardige afloop Ries van Rooijen 15-24 2001")</f>
        <v>0</v>
      </c>
      <c r="D6273" s="1">
        <f>hyperlink("http://dspace.library.uu.nl/handle/1874/302462","toch heb ik dat ding gemaakt een fascinerend onderzoek met een merkwaardige afloop Ries van Rooijen 15-24 2001")</f>
        <v>0</v>
      </c>
    </row>
    <row r="6274" spans="2:4">
      <c r="B6274">
        <v>88</v>
      </c>
      <c r="C6274" s="1">
        <f>hyperlink("https://hetutrechtsarchief.nl/collectie/B79AA58E5DFD5AA5A228E7D7D5D4DA2B","ideaal voor het wassen van kinderen en spinazie honderd jaar woningwet in IJsselstein Hans Jonkers Theo van de Voorn en Saskia Raue 1-28 2001")</f>
        <v>0</v>
      </c>
      <c r="D6274" s="1">
        <f>hyperlink("http://dspace.library.uu.nl/handle/1874/302463","ideaal voor het wassen van kinderen en spinazie honderd jaar woningwet in IJsselstein Saskia Jonkers Hans Voorn Theo van de Raue 2001")</f>
        <v>0</v>
      </c>
    </row>
    <row r="6275" spans="2:4">
      <c r="B6275">
        <v>88</v>
      </c>
      <c r="C6275" s="1">
        <f>hyperlink("https://hetutrechtsarchief.nl/collectie/93B9F171DC2A5D7295938BC33B4B1C6D","we hebben de Papen horen zingen geschiedenis van de schuilkerk aan de Havenstraat Hans Jonkers Ans van der Linden en Ko Peeters 1-19 2001")</f>
        <v>0</v>
      </c>
      <c r="D6275" s="1">
        <f>hyperlink("http://dspace.library.uu.nl/handle/1874/302464","we hebben de Papen horen zingen geschiedenis van de schuilkerk aan de Havenstraat Ko Jonkers Hans Linden Ans van der Peeters 2001")</f>
        <v>0</v>
      </c>
    </row>
    <row r="6276" spans="2:4">
      <c r="B6276">
        <v>96</v>
      </c>
      <c r="C6276" s="1">
        <f>hyperlink("https://hetutrechtsarchief.nl/collectie/B906D2BDBEA8555990EB91F8E9E6E7CC","Trekhond een hondenbaan de geschiedenis van de trekhond in IJsselstein L Murk en K Peeters 1-18 1999")</f>
        <v>0</v>
      </c>
      <c r="D6276" s="1">
        <f>hyperlink("http://dspace.library.uu.nl/handle/1874/302465","Trekhond een hondenbaan de geschiedenis van de trekhond in IJsselstein K Murk L Peeters 1-18 1999")</f>
        <v>0</v>
      </c>
    </row>
    <row r="6277" spans="2:4">
      <c r="B6277">
        <v>93</v>
      </c>
      <c r="C6277" s="1">
        <f>hyperlink("https://hetutrechtsarchief.nl/collectie/8A9545AE3DF958A1880732D60332D4E7","Honderd uitgaven Stichting Historische Kring IJsselstein register op onderwerp ter ontsluiting van de tijdschriften 1-100 samengest door Johan Klein 1-32 2002")</f>
        <v>0</v>
      </c>
      <c r="D6277" s="1">
        <f>hyperlink("http://dspace.library.uu.nl/handle/1874/302466","Honderd uitgaven Stichting Historische Kring IJsselstein register op onderwerp ter ontsluiting van de tijdschriften 1-100 Johan Klein 2002")</f>
        <v>0</v>
      </c>
    </row>
    <row r="6278" spans="2:4">
      <c r="B6278">
        <v>53</v>
      </c>
      <c r="C6278" s="1">
        <f>hyperlink("https://hetutrechtsarchief.nl/collectie/4A343DCB4C065F19AB22F20A2573C6EE","Die Anbetung Jesu von W Luetgert 47-65 1904")</f>
        <v>0</v>
      </c>
      <c r="D6278" s="1">
        <f>hyperlink("http://dspace.library.uu.nl/handle/1874/302467","Piet Bokketouw een zwerver L Murk 40-46 1992")</f>
        <v>0</v>
      </c>
    </row>
    <row r="6279" spans="2:4">
      <c r="B6279">
        <v>100</v>
      </c>
      <c r="C6279" s="1">
        <f>hyperlink("https://hetutrechtsarchief.nl/collectie/2194DB48AC3A5FF8B28689836BB99829","eertijds was de Pruis in t land achtergronden van een Pruisische bezetting in 1702 A M Fafianie 11-32 2003")</f>
        <v>0</v>
      </c>
      <c r="D6279" s="1">
        <f>hyperlink("http://dspace.library.uu.nl/handle/1874/302468","eertijds was de Pruis in t land achtergronden van een Pruisische bezetting in 1702 A M Fafianie 11-32 2003")</f>
        <v>0</v>
      </c>
    </row>
    <row r="6280" spans="2:4">
      <c r="B6280">
        <v>74</v>
      </c>
      <c r="C6280" s="1">
        <f>hyperlink("https://hetutrechtsarchief.nl/collectie/1454C99CC5B357BCAA57C8426535ED91","Benschopperstraat 34 te IJsselstein bouwhistorische opname Bureau voor Bouwhistorie en Architectuurgeschiedenis rapportage A Viersen hist onderzoek J van Meerwijk onder red van J Meijman 1-32 2003")</f>
        <v>0</v>
      </c>
      <c r="D6280" s="1">
        <f>hyperlink("http://dspace.library.uu.nl/handle/1874/302469","Benschopperstraat 34 te IJsselstein bouwhistorische opname Bureau voor Bouwhistorie en Architectuurgeschiedenis 2003")</f>
        <v>0</v>
      </c>
    </row>
    <row r="6281" spans="2:4">
      <c r="B6281">
        <v>91</v>
      </c>
      <c r="C6281" s="1">
        <f>hyperlink("https://hetutrechtsarchief.nl/collectie/ABF2CDBA14B456FA8B9FB59B42FB41A5","een alleszins behoorlijk resultaat het ontstaan instandhouding en opluistering van de oude Sint Nicolaaskerk te IJsselstein Martijn Vergouw en Peter Siccama 1-24 2003")</f>
        <v>0</v>
      </c>
      <c r="D6281" s="1">
        <f>hyperlink("http://dspace.library.uu.nl/handle/1874/302470","een alleszins behoorlijk resultaat het ontstaan instandhouding en opluistering van de oude Sint Nicolaaskerk te IJsselstein Peter Vergouw Martijn Siccama 2003")</f>
        <v>0</v>
      </c>
    </row>
    <row r="6282" spans="2:4">
      <c r="B6282">
        <v>98</v>
      </c>
      <c r="C6282" s="1">
        <f>hyperlink("https://hetutrechtsarchief.nl/collectie/54CBF6F2A53E567AAEC28D54D9B89C67","1953 tienduizend zandzakken uit IJsselstein Lopikerwaard ontsnapt aan watersnoodramp L Murk 1-10 2003")</f>
        <v>0</v>
      </c>
      <c r="D6282" s="1">
        <f>hyperlink("http://dspace.library.uu.nl/handle/1874/302471","1953 tienduizend zandzakken uit IJsselstein Lopikerwaard ontsnapt aan watersnoodramp L Bep Murk 1-10 2003")</f>
        <v>0</v>
      </c>
    </row>
    <row r="6283" spans="2:4">
      <c r="B6283">
        <v>100</v>
      </c>
      <c r="C6283" s="1">
        <f>hyperlink("https://hetutrechtsarchief.nl/collectie/A9597F85A08B5D59B33E133422E47F48","alwaar voor desen een melaatshuijs gestaan heeft de leprozerie van Eiteren gelocaliseerd A M Fafianie 1-16 2003")</f>
        <v>0</v>
      </c>
      <c r="D6283" s="1">
        <f>hyperlink("http://dspace.library.uu.nl/handle/1874/302472","alwaar voor desen een melaatshuijs gestaan heeft de leprozerie van Eiteren gelocaliseerd A M Fafianie 1-16 2003")</f>
        <v>0</v>
      </c>
    </row>
    <row r="6284" spans="2:4">
      <c r="B6284">
        <v>100</v>
      </c>
      <c r="C6284" s="1">
        <f>hyperlink("https://hetutrechtsarchief.nl/collectie/22F9D5B1C76C53A8A1DEDCCC3FFB4D0B","Barre winters van de twintigste eeuw de winters van 1942 en 1963 bezien 17-20 2003")</f>
        <v>0</v>
      </c>
      <c r="D6284" s="1">
        <f>hyperlink("http://dspace.library.uu.nl/handle/1874/302473","Barre winters van de twintigste eeuw de winters van 1942 en 1963 bezien 17-20 2003")</f>
        <v>0</v>
      </c>
    </row>
    <row r="6285" spans="2:4">
      <c r="B6285">
        <v>57</v>
      </c>
      <c r="C6285" s="1">
        <f>hyperlink("https://hetutrechtsarchief.nl/collectie/99BB2284184757429618CF89F253C21F","Kort levensberigt van P C Bor 211 -214 1835")</f>
        <v>0</v>
      </c>
      <c r="D6285" s="1">
        <f>hyperlink("http://dspace.library.uu.nl/handle/1874/302474","Voor IJsselstein en Bertha Agnes Jonker 241-242 1985")</f>
        <v>0</v>
      </c>
    </row>
    <row r="6286" spans="2:4">
      <c r="B6286">
        <v>52</v>
      </c>
      <c r="C6286" s="1">
        <f>hyperlink("https://hetutrechtsarchief.nl/collectie/B906D2BDBEA8555990EB91F8E9E6E7CC","Trekhond een hondenbaan de geschiedenis van de trekhond in IJsselstein L Murk en K Peeters 1-18 1999")</f>
        <v>0</v>
      </c>
      <c r="D6286" s="1">
        <f>hyperlink("http://dspace.library.uu.nl/handle/1874/302475","Behoud van de culturele erfenis en het eigene van IJsselstein afscheid van Bep Murk als voorzitter van de HKIJ Th Daams 19-24 1999")</f>
        <v>0</v>
      </c>
    </row>
    <row r="6287" spans="2:4">
      <c r="B6287">
        <v>53</v>
      </c>
      <c r="C6287" s="1">
        <f>hyperlink("https://hetutrechtsarchief.nl/collectie/9EFAEE3764495FCB88F39D41329868FB","Een onbekende dijkdoorbraak tussen Amerongen en Wijk bij Duurstede in 1277 Ad van Bemmel 1-5 2011")</f>
        <v>0</v>
      </c>
      <c r="D6287" s="1">
        <f>hyperlink("http://dspace.library.uu.nl/handle/1874/302476","eensklaps gesonken en doorgebrooken 250 jaar geleden Lekdijk bij Jaarsveld op 2 plaatsen doorgebroken P W A Broeders 1-12 2001")</f>
        <v>0</v>
      </c>
    </row>
    <row r="6288" spans="2:4">
      <c r="B6288">
        <v>51</v>
      </c>
      <c r="C6288" s="1">
        <f>hyperlink("https://hetutrechtsarchief.nl/collectie/1454C99CC5B357BCAA57C8426535ED91","Benschopperstraat 34 te IJsselstein bouwhistorische opname Bureau voor Bouwhistorie en Architectuurgeschiedenis rapportage A Viersen hist onderzoek J van Meerwijk onder red van J Meijman 1-32 2003")</f>
        <v>0</v>
      </c>
      <c r="D6288" s="1">
        <f>hyperlink("http://dspace.library.uu.nl/handle/1874/302477","Benschopperstraat 25 en zijn bewoners genaemt den Sleutel zoe die daer vuyt hanght huysinge hoff ende hofstede L Steenkamer H Beijen 13-24 2001")</f>
        <v>0</v>
      </c>
    </row>
    <row r="6289" spans="2:4">
      <c r="B6289">
        <v>53</v>
      </c>
      <c r="C6289" s="1">
        <f>hyperlink("https://hetutrechtsarchief.nl/collectie/BFC852387DC45A209F81088F79E58CAB","De sneltram Utrecht-Nieuwegein IJsselstein 1 - van Tol 3-7 plgr 1981")</f>
        <v>0</v>
      </c>
      <c r="D6289" s="1">
        <f>hyperlink("http://dspace.library.uu.nl/handle/1874/302478","Kerkegids IJsselstein samenst I B Jorna et al I B Jorna 1981")</f>
        <v>0</v>
      </c>
    </row>
    <row r="6290" spans="2:4">
      <c r="B6290">
        <v>54</v>
      </c>
      <c r="C6290" s="1">
        <f>hyperlink("https://hetutrechtsarchief.nl/collectie/FAACC7829A6E5A02B89048AB5EC41B98","Gastvrijheid en caritas op de grens van Amersfoort en Leusden de geschiedenis van het Aldegonde Gasthuis 1890-1905 Willem Veltheer 31-48 2007")</f>
        <v>0</v>
      </c>
      <c r="D6290" s="1">
        <f>hyperlink("http://dspace.library.uu.nl/handle/1874/302479","in Goeds ere ende des goeden sinte Ewalds ter ere van God en van de goede sint Ewoud geschiedenis van het Ewouds Gasthuis A M Fafianie 1998")</f>
        <v>0</v>
      </c>
    </row>
    <row r="6291" spans="2:4">
      <c r="B6291">
        <v>51</v>
      </c>
      <c r="C6291" s="1">
        <f>hyperlink("https://hetutrechtsarchief.nl/collectie/7228E44AFCEA581E80DE0EA525FA4A94","Driekoningenviering C Catharina van de Graft 2-4 1927")</f>
        <v>0</v>
      </c>
      <c r="D6291" s="1">
        <f>hyperlink("http://dspace.library.uu.nl/handle/1874/302509","Broodvoorziening in 1795 G A B Fijnvandraat 1917")</f>
        <v>0</v>
      </c>
    </row>
    <row r="6292" spans="2:4">
      <c r="B6292">
        <v>58</v>
      </c>
      <c r="C6292" s="1">
        <f>hyperlink("https://hetutrechtsarchief.nl/collectie/0C058AE27B4D5114B4D32B0A1D890D05","40 jaar eigentijdse geschiedenis Onder red van Historische Kring IJsselstein 4-30 2015")</f>
        <v>0</v>
      </c>
      <c r="D6292" s="1">
        <f>hyperlink("http://dspace.library.uu.nl/handle/1874/302510","Historische Kring IJsselstein Stichting Historische Kring IJsselstein 1976-2009")</f>
        <v>0</v>
      </c>
    </row>
    <row r="6293" spans="2:4">
      <c r="B6293">
        <v>53</v>
      </c>
      <c r="C6293" s="1">
        <f>hyperlink("https://hetutrechtsarchief.nl/collectie/CFF898B5DA35F048E0538F04000ABAB1","Om te verdiepen en te verwijden werk aan de Holandse IJssel in 1 Rob Alkemade 8-19 2021")</f>
        <v>0</v>
      </c>
      <c r="D6293" s="1">
        <f>hyperlink("http://dspace.library.uu.nl/handle/1874/302814","Jos Merckelbagh lederciseleur en hofleverancier anno 1895 Frans Delvigne Rob Landzaat 4-17 2014")</f>
        <v>0</v>
      </c>
    </row>
    <row r="6294" spans="2:4">
      <c r="B6294">
        <v>94</v>
      </c>
      <c r="C6294" s="1">
        <f>hyperlink("https://hetutrechtsarchief.nl/collectie/B38B8A9EA7D654338F4DAB012BC0733E","De herontdekking van malenhoeve Ten Bosch het Hooglandse goederenbezit van het kapittel van Sint-Pieter en de rol van Amersfoortse regentenfamilies 1280-1650 Gerad Raven 34-66 2003")</f>
        <v>0</v>
      </c>
      <c r="D6294" s="1">
        <f>hyperlink("http://dspace.library.uu.nl/handle/1874/302943","De herontdekking van malenhoeve Ten Bosch het Hooglandse goederenbezit van het kapittel van Sint-Pieter en de rol van Amersfoortse regentenfamilies 1280-1650 Gerard Raven 34-66 dl 6 2005 p 64 -93 2003-2005")</f>
        <v>0</v>
      </c>
    </row>
    <row r="6295" spans="2:4">
      <c r="B6295">
        <v>77</v>
      </c>
      <c r="C6295" s="1">
        <f>hyperlink("https://hetutrechtsarchief.nl/collectie/8534C4BE4A0C575099F761AC98CCA823","Met Pieter Pypers op stap langs de Amersfoortse Lustwarande J Ayolt Brongers 67-91 2003")</f>
        <v>0</v>
      </c>
      <c r="D6295" s="1">
        <f>hyperlink("http://dspace.library.uu.nl/handle/1874/302944","Met Pieter Pypers op stap langs de Amersfoortse Lustwarande Pieter Brongers J Ayolt Pypers 67-91 2004 p 158 erratum 2003-2004")</f>
        <v>0</v>
      </c>
    </row>
    <row r="6296" spans="2:4">
      <c r="B6296">
        <v>75</v>
      </c>
      <c r="C6296" s="1">
        <f>hyperlink("https://hetutrechtsarchief.nl/collectie/53AF050DA1B45434BBB085FBC066C6A2","Kroniek Monumentenzorg in 2003 Max Cramer et al 129-142 2004")</f>
        <v>0</v>
      </c>
      <c r="D6296" s="1">
        <f>hyperlink("http://dspace.library.uu.nl/handle/1874/302945","Kroniek Monumentenzorg in 103-114 5 2004 p 129-142 2003-2004")</f>
        <v>0</v>
      </c>
    </row>
    <row r="6297" spans="2:4">
      <c r="B6297">
        <v>53</v>
      </c>
      <c r="C6297" s="1">
        <f>hyperlink("https://hetutrechtsarchief.nl/collectie/E3FEF2B8922750D2BD1F5DEF53552280","De dominee van Amersfoort religie in de Keistad tijdens de jaren 60 James C Kennedy 35-47 2004")</f>
        <v>0</v>
      </c>
      <c r="D6297" s="1">
        <f>hyperlink("http://dspace.library.uu.nl/handle/1874/302946","De jaren 60 ook in Amersfoort een omwenteling Arie Jongen Ludo Brusse Paul Schuurman Addy Kennedy James C Keijzer 6-52 2004")</f>
        <v>0</v>
      </c>
    </row>
    <row r="6298" spans="2:4">
      <c r="B6298">
        <v>100</v>
      </c>
      <c r="C6298" s="1">
        <f>hyperlink("https://hetutrechtsarchief.nl/collectie/9A6285308FAA547C95F1FA36CFD278AC","De teloorgang van de nijverheid in Amersfoort de jaren 60 als breekpunt maar in welke eeuw Paul Brusse 10-17 2004")</f>
        <v>0</v>
      </c>
      <c r="D6298" s="1">
        <f>hyperlink("http://dspace.library.uu.nl/handle/1874/302947","De teloorgang van de nijverheid in Amersfoort de jaren 60 als breekpunt maar in welke eeuw Paul Brusse 10-17 2004")</f>
        <v>0</v>
      </c>
    </row>
    <row r="6299" spans="2:4">
      <c r="B6299">
        <v>100</v>
      </c>
      <c r="C6299" s="1">
        <f>hyperlink("https://hetutrechtsarchief.nl/collectie/79C15631A98B5756BA7310E38DFBB4C5","Wij hebben er tabak van bestuurlijke ambitie en politieke opwinding tussen 1950 en 1975 Addy Schuurman 18-34 2004")</f>
        <v>0</v>
      </c>
      <c r="D6299" s="1">
        <f>hyperlink("http://dspace.library.uu.nl/handle/1874/302948","Wij hebben er tabak van bestuurlijke ambitie en politieke opwinding tussen 1950 en 1975 Addy Schuurman 18-34 2004")</f>
        <v>0</v>
      </c>
    </row>
    <row r="6300" spans="2:4">
      <c r="B6300">
        <v>100</v>
      </c>
      <c r="C6300" s="1">
        <f>hyperlink("https://hetutrechtsarchief.nl/collectie/AAB9E9DF74185374870746796348DA95","John Mayall in Amersfoort Arie Keijzer 48-52 2004")</f>
        <v>0</v>
      </c>
      <c r="D6300" s="1">
        <f>hyperlink("http://dspace.library.uu.nl/handle/1874/302949","John Mayall in Amersfoort Arie Keijzer 48-52 2004")</f>
        <v>0</v>
      </c>
    </row>
    <row r="6301" spans="2:4">
      <c r="B6301">
        <v>100</v>
      </c>
      <c r="C6301" s="1">
        <f>hyperlink("https://hetutrechtsarchief.nl/collectie/3F25E1193FEA50279B58AD7D3EA3D8F5","Het oudste stenen huis van Amersfoort of de oudste stenen in een Amersfoorts huis de bouwgeschiedenis van het huis Hof 39 Albert van Engelenhoven 53-81 2004")</f>
        <v>0</v>
      </c>
      <c r="D6301" s="1">
        <f>hyperlink("http://dspace.library.uu.nl/handle/1874/302950","Het oudste stenen huis van Amersfoort of de oudste stenen in een Amersfoorts huis de bouwgeschiedenis van het huis Hof 39 Albert van Engelenhoven 53-81 2004")</f>
        <v>0</v>
      </c>
    </row>
    <row r="6302" spans="2:4">
      <c r="B6302">
        <v>100</v>
      </c>
      <c r="C6302" s="1">
        <f>hyperlink("https://hetutrechtsarchief.nl/collectie/4A909E66112C52018F46BB45F1944724","De stadsplattegronden van Amersfoort J -M A W Morel 82-126 2004")</f>
        <v>0</v>
      </c>
      <c r="D6302" s="1">
        <f>hyperlink("http://dspace.library.uu.nl/handle/1874/302951","De stadsplattegronden van Amersfoort J -M A W Morel 82-126 2004")</f>
        <v>0</v>
      </c>
    </row>
    <row r="6303" spans="2:4">
      <c r="B6303">
        <v>100</v>
      </c>
      <c r="C6303" s="1">
        <f>hyperlink("https://hetutrechtsarchief.nl/collectie/E3FEF2B8922750D2BD1F5DEF53552280","De dominee van Amersfoort religie in de Keistad tijdens de jaren 60 James C Kennedy 35-47 2004")</f>
        <v>0</v>
      </c>
      <c r="D6303" s="1">
        <f>hyperlink("http://dspace.library.uu.nl/handle/1874/302952","De dominee van Amersfoort religie in de Keistad tijdens de jaren 60 James C Kennedy 35-47 2004")</f>
        <v>0</v>
      </c>
    </row>
    <row r="6304" spans="2:4">
      <c r="B6304">
        <v>100</v>
      </c>
      <c r="C6304" s="1">
        <f>hyperlink("https://hetutrechtsarchief.nl/collectie/116D3ECDC1385E32BE3A6BD59C064A2F","Tussen Keulen en Parijs ligt de weg naar Leuven studiegedrag van Amersfoortse studenten aan universteiten 1370-1650 Leen Alberts 22 -63 2005")</f>
        <v>0</v>
      </c>
      <c r="D6304" s="1">
        <f>hyperlink("http://dspace.library.uu.nl/handle/1874/302953","Tussen Keulen en Parijs ligt de weg naar Leuven studiegedrag van Amersfoortse studenten aan universiteiten 1370-1650 Leen Alberts 22 -63 2005")</f>
        <v>0</v>
      </c>
    </row>
    <row r="6305" spans="2:4">
      <c r="B6305">
        <v>98</v>
      </c>
      <c r="C6305" s="1">
        <f>hyperlink("https://hetutrechtsarchief.nl/collectie/C37DFE0C06F958179B599AB516A3AA66","Polders in het Amersfoortse stadsgebied J Ayolt Brongers 7-21 2005")</f>
        <v>0</v>
      </c>
      <c r="D6305" s="1">
        <f>hyperlink("http://dspace.library.uu.nl/handle/1874/302954","Polders in het Amersfoortse stadsgebied J Ayolt Brongers 6 -21 2005")</f>
        <v>0</v>
      </c>
    </row>
    <row r="6306" spans="2:4">
      <c r="B6306">
        <v>100</v>
      </c>
      <c r="C6306" s="1">
        <f>hyperlink("https://hetutrechtsarchief.nl/collectie/764B30E39DD75C09907A96D3F17FC4BE","De vuurstolp Andr Clazing 94 -107 2005")</f>
        <v>0</v>
      </c>
      <c r="D6306" s="1">
        <f>hyperlink("http://dspace.library.uu.nl/handle/1874/302955","De vuurstolp Andr Clazing 94 -107 2005")</f>
        <v>0</v>
      </c>
    </row>
    <row r="6307" spans="2:4">
      <c r="B6307">
        <v>100</v>
      </c>
      <c r="C6307" s="1">
        <f>hyperlink("https://hetutrechtsarchief.nl/collectie/31665C45687A57C38DD5FE7811469355","Matthias Withoos ca 1627-1703 en zijn kinderen een Amersfoortse schildersfamilie M W Heijenga-Klomp 108 -131 2005")</f>
        <v>0</v>
      </c>
      <c r="D6307" s="1">
        <f>hyperlink("http://dspace.library.uu.nl/handle/1874/302956","Matthias Withoos ca 1627-1703 en zijn kinderen een Amersfoortse schildersfamilie M W Heijenga-Klomp 108 -131 2005")</f>
        <v>0</v>
      </c>
    </row>
    <row r="6308" spans="2:4">
      <c r="B6308">
        <v>99</v>
      </c>
      <c r="C6308" s="1">
        <f>hyperlink("https://hetutrechtsarchief.nl/collectie/2577662C5FCD5399A85D2C6A8515CE2C","Jasper van Wittel ca 1652-1736 een Amersfoortse schilder in Itali M W Heijenga-Klomp 132 -147 2005")</f>
        <v>0</v>
      </c>
      <c r="D6308" s="1">
        <f>hyperlink("http://dspace.library.uu.nl/handle/1874/302957","Jasper van Wittel ca 1652-1736 een Amersfoortse schilder in Itali M W Heijnega-Klomp 132 -147 2005")</f>
        <v>0</v>
      </c>
    </row>
    <row r="6309" spans="2:4">
      <c r="B6309">
        <v>73</v>
      </c>
      <c r="C6309" s="1">
        <f>hyperlink("https://hetutrechtsarchief.nl/collectie/C9AF003031BA5B6384BAB1C86B5F5C4F","Van kapel tot kade Francien Snieder 2-3 2009")</f>
        <v>0</v>
      </c>
      <c r="D6309" s="1">
        <f>hyperlink("http://dspace.library.uu.nl/handle/1874/302958","Van spieker tot stadsmuur Francien Snieder 143-147 2004")</f>
        <v>0</v>
      </c>
    </row>
    <row r="6310" spans="2:4">
      <c r="B6310">
        <v>100</v>
      </c>
      <c r="C6310" s="1">
        <f>hyperlink("https://hetutrechtsarchief.nl/collectie/5F71C8BB1F5C5C2E8887271721D35E66","Het gemeentelijk ziekenhuis voor besmettelijke ziekten op het terrein van het Hofje Armen de Poth 1874-1904 D C Hoevers 148 -157 2005")</f>
        <v>0</v>
      </c>
      <c r="D6310" s="1">
        <f>hyperlink("http://dspace.library.uu.nl/handle/1874/302959","Het gemeentelijk ziekenhuis voor besmettelijke ziekten op het terrein van het Hofje Armen de Poth 1874-1904 D C Hoevers 148 -157 2005")</f>
        <v>0</v>
      </c>
    </row>
    <row r="6311" spans="2:4">
      <c r="B6311">
        <v>93</v>
      </c>
      <c r="C6311" s="1">
        <f>hyperlink("https://hetutrechtsarchief.nl/collectie/C3200205331E5EC5A9E50F4E22A37981","Als het kalf inventarisatie van waterputten uit opgravingen binnen de tweede omwalling van Amersfoort Gideon Boekenoogen en Timo d Hollosy 7-27 2006")</f>
        <v>0</v>
      </c>
      <c r="D6311" s="1">
        <f>hyperlink("http://dspace.library.uu.nl/handle/1874/303182","Als het kalf inventarisatie van waterputten uit opgravingen binnen de tweede omwalling van Amersfoort Timo d Boekenoogen Gideon Hollosy 6-27 2006")</f>
        <v>0</v>
      </c>
    </row>
    <row r="6312" spans="2:4">
      <c r="B6312">
        <v>91</v>
      </c>
      <c r="C6312" s="1">
        <f>hyperlink("https://hetutrechtsarchief.nl/collectie/5F458ADFB40A5053B904DC9FF5085956","Wegh der weegen ontwerp en aanleg van de Amersfoortseweg een zeventiende-eeuws landinrichtingsproject door Jacob van Campen Jaap Evert Abrahamse 73-97 vervolg ill op p 113-121 abusievelijk 2006")</f>
        <v>0</v>
      </c>
      <c r="D6312" s="1">
        <f>hyperlink("http://dspace.library.uu.nl/handle/1874/303183","Wegh der weegen ontwerp en aanleg van de Amersfoortseweg een zeventiende-eeuws landinrichtingsproject door Jacob van Campen Jaap Evert Abrahamse 72-97 113-121 2006")</f>
        <v>0</v>
      </c>
    </row>
    <row r="6313" spans="2:4">
      <c r="B6313">
        <v>99</v>
      </c>
      <c r="C6313" s="1">
        <f>hyperlink("https://hetutrechtsarchief.nl/collectie/7D610525841A5CCEB24BFBBF0E0F25F6","De Byler- of Bijlaarsfundatie in Amersfoort 1520-circa 1950 P J J M van Wees 29-53 2006")</f>
        <v>0</v>
      </c>
      <c r="D6313" s="1">
        <f>hyperlink("http://dspace.library.uu.nl/handle/1874/303184","De Byler- of Bijlaarsfundatie in Amersfoort 1520-circa 1950 P J J M van Wees 28-53 2006")</f>
        <v>0</v>
      </c>
    </row>
    <row r="6314" spans="2:4">
      <c r="B6314">
        <v>89</v>
      </c>
      <c r="C6314" s="1">
        <f>hyperlink("https://hetutrechtsarchief.nl/collectie/5E9A86F527855416AD04BB14CA38E85C","Het hofje De Armen de Poth de bouwgeschiedenis W J H Verwers en A D de Jonge 55-71 2006")</f>
        <v>0</v>
      </c>
      <c r="D6314" s="1">
        <f>hyperlink("http://dspace.library.uu.nl/handle/1874/303185","Het hofje De Armen de Poth de bouwgeschiedenis A D de Verwers W J H Jonge 54-71 2006")</f>
        <v>0</v>
      </c>
    </row>
    <row r="6315" spans="2:4">
      <c r="B6315">
        <v>96</v>
      </c>
      <c r="C6315" s="1">
        <f>hyperlink("https://hetutrechtsarchief.nl/collectie/DF8EDC4EBCD65A50884F1EA312CAEAD1","Zwaar met ijs bezet en bovenmate met water bezwaard de doorbraak van de Grebbedijk op 5 maar 1855 en wat daaraan voorafging M Mijnssen-Dutilh 99-135 2006")</f>
        <v>0</v>
      </c>
      <c r="D6315" s="1">
        <f>hyperlink("http://dspace.library.uu.nl/handle/1874/303235","Zwaar met ijs bezet en bovenmate met water bezwaard de doorbraak van de Grebbedijk op 5 maart 1855 en wat daaraan voorafging M Mijnssen-Dutilh 98-112 122 -135 2006")</f>
        <v>0</v>
      </c>
    </row>
    <row r="6316" spans="2:4">
      <c r="B6316">
        <v>99</v>
      </c>
      <c r="C6316" s="1">
        <f>hyperlink("https://hetutrechtsarchief.nl/collectie/EB673834A95653E3AA950C67181CFCA6","Waar spannen wij ons dan nog voor in de stoombootdienst van Kievits Co 1858-1859 Arend Ruizendaal 137-149 2006")</f>
        <v>0</v>
      </c>
      <c r="D6316" s="1">
        <f>hyperlink("http://dspace.library.uu.nl/handle/1874/303236","Waar spannen wij ons dan nog voor in de stoombootdienst van Kievits Co 1858-1859 Arend Ruizendaal 136-149 2006")</f>
        <v>0</v>
      </c>
    </row>
    <row r="6317" spans="2:4">
      <c r="B6317">
        <v>99</v>
      </c>
      <c r="C6317" s="1">
        <f>hyperlink("https://hetutrechtsarchief.nl/collectie/05EFBBD23C2F56E79DB5C840A79EC29E","De Amersfoortsche winkeliersbeurs van 1923 Fred van Kan 151-159 2006")</f>
        <v>0</v>
      </c>
      <c r="D6317" s="1">
        <f>hyperlink("http://dspace.library.uu.nl/handle/1874/303237","De Amersfoortsche winkeliersbeurs van 1923 Fred van Kan 150-159 2006")</f>
        <v>0</v>
      </c>
    </row>
    <row r="6318" spans="2:4">
      <c r="B6318">
        <v>99</v>
      </c>
      <c r="C6318" s="1">
        <f>hyperlink("https://hetutrechtsarchief.nl/collectie/02C7B0FD7D7C5FA38AB4E2EAD01485CC","Daar heb je de dames weer bewonersparticipatie in Liendert en Rustenburg in de jaren 70 en 80 van de vorige eeuw Addy Schuurman 7- 29 2007")</f>
        <v>0</v>
      </c>
      <c r="D6318" s="1">
        <f>hyperlink("http://dspace.library.uu.nl/handle/1874/303238","Daar heb je de dames weer bewonersparticipatie in Liendert en Rustenburg in de jaren 70 en 80 van de vorige eeuw Addy Schuurman 6- 29 2007")</f>
        <v>0</v>
      </c>
    </row>
    <row r="6319" spans="2:4">
      <c r="B6319">
        <v>99</v>
      </c>
      <c r="C6319" s="1">
        <f>hyperlink("https://hetutrechtsarchief.nl/collectie/F51B4777626755E1896835A78BB4804C","Over het bezit in Baarn van het stift te Elten Jos G M Hilhorst 51- 65 2007")</f>
        <v>0</v>
      </c>
      <c r="D6319" s="1">
        <f>hyperlink("http://dspace.library.uu.nl/handle/1874/303239","Over het bezit in Baarn van het stift te Elten Jos G M Hilhorst 50- 65 2007")</f>
        <v>0</v>
      </c>
    </row>
    <row r="6320" spans="2:4">
      <c r="B6320">
        <v>96</v>
      </c>
      <c r="C6320" s="1">
        <f>hyperlink("https://hetutrechtsarchief.nl/collectie/D864A26F03415007BAD0754AD2A7ABCF","De stad en het vuil een onderzoek naar beerputten en afval Andr Clazing 2007")</f>
        <v>0</v>
      </c>
      <c r="D6320" s="1">
        <f>hyperlink("http://dspace.library.uu.nl/handle/1874/303240","De stad en het vuil een onderzoek naar beerputten en afval Andr Clazing 66-83 2007")</f>
        <v>0</v>
      </c>
    </row>
    <row r="6321" spans="2:4">
      <c r="B6321">
        <v>99</v>
      </c>
      <c r="C6321" s="1">
        <f>hyperlink("https://hetutrechtsarchief.nl/collectie/14EF1B4B8DE95A6F991BA090EE553EF4","Nadere Reformatie in Amersfoort geloofsleven binnen en buiten de gereformeerde kerk 1630-1650 Carina Kapteyn 85-105 2007")</f>
        <v>0</v>
      </c>
      <c r="D6321" s="1">
        <f>hyperlink("http://dspace.library.uu.nl/handle/1874/303241","Nadere Reformatie in Amersfoort geloofsleven binnen en buiten de gereformeerde kerk 1630-1650 Carina Kapteyn 84-105 2007")</f>
        <v>0</v>
      </c>
    </row>
    <row r="6322" spans="2:4">
      <c r="B6322">
        <v>98</v>
      </c>
      <c r="C6322" s="1">
        <f>hyperlink("https://hetutrechtsarchief.nl/collectie/D3A58E47F75757398C7A3516664BD5FA","Dynamiek in het stadhuisgebied Sandra Hovens 107-121 2007")</f>
        <v>0</v>
      </c>
      <c r="D6322" s="1">
        <f>hyperlink("http://dspace.library.uu.nl/handle/1874/303242","Dynamiek in het stadhuisgebied Sandra Hovens 106-121 2007")</f>
        <v>0</v>
      </c>
    </row>
    <row r="6323" spans="2:4">
      <c r="B6323">
        <v>99</v>
      </c>
      <c r="C6323" s="1">
        <f>hyperlink("https://hetutrechtsarchief.nl/collectie/FAACC7829A6E5A02B89048AB5EC41B98","Gastvrijheid en caritas op de grens van Amersfoort en Leusden de geschiedenis van het Aldegonde Gasthuis 1890-1905 Willem Veltheer 31-48 2007")</f>
        <v>0</v>
      </c>
      <c r="D6323" s="1">
        <f>hyperlink("http://dspace.library.uu.nl/handle/1874/303243","Gastvrijheid en caritas op de grens van Amersfoort en Leusden de geschiedenis van het Aldegonde Gasthuis 1890-1905 Willem Veltheer 30-48 2007")</f>
        <v>0</v>
      </c>
    </row>
    <row r="6324" spans="2:4">
      <c r="B6324">
        <v>97</v>
      </c>
      <c r="C6324" s="1">
        <f>hyperlink("https://hetutrechtsarchief.nl/collectie/4E2AE3223B135095B167479DD5C15025","Twee 19de eeuwse schilderijen met de Smeetoren en de Geertekerk J A L de Meyere 75-77 ill 1986")</f>
        <v>0</v>
      </c>
      <c r="D6324" s="1">
        <f>hyperlink("http://dspace.library.uu.nl/handle/1874/303524","Twee 19de eeuwse schiderijen met De Smeetoren en de Geertekerk J A L de Meyere 75-77 1986")</f>
        <v>0</v>
      </c>
    </row>
    <row r="6325" spans="2:4">
      <c r="B6325">
        <v>99</v>
      </c>
      <c r="C6325" s="1">
        <f>hyperlink("https://hetutrechtsarchief.nl/collectie/5357904DA55157B3935E803BDFE284E9","Cantionum musicarum D sseldorf 1563 een Amersfoorts muziekboek S H Groot 8 -29 2008")</f>
        <v>0</v>
      </c>
      <c r="D6325" s="1">
        <f>hyperlink("http://dspace.library.uu.nl/handle/1874/303525","Cantionum Musicarum D sseldorf 1563 een Amersfoorts muziekboek S H Groot 8-29 2008")</f>
        <v>0</v>
      </c>
    </row>
    <row r="6326" spans="2:4">
      <c r="B6326">
        <v>97</v>
      </c>
      <c r="C6326" s="1">
        <f>hyperlink("https://hetutrechtsarchief.nl/collectie/D0CA1444B2C25DBFAE7959880C9496CA","Genacht geliefden voor eeuwig genacht Lucas Kier van Ootmarsum en het einde der tijden Ignaz Matthey 30 -53")</f>
        <v>0</v>
      </c>
      <c r="D6326" s="1">
        <f>hyperlink("http://dspace.library.uu.nl/handle/1874/303526","Genacht geliefden voor eeuwig genacht Lucas Kier van Ootmarsum en het einde der tijden Ignaz Matthey 30-53 2008")</f>
        <v>0</v>
      </c>
    </row>
    <row r="6327" spans="2:4">
      <c r="B6327">
        <v>99</v>
      </c>
      <c r="C6327" s="1">
        <f>hyperlink("https://hetutrechtsarchief.nl/collectie/93029575C042568684540CC201DE3C78","De hervormde kerkbladen van Amersfoort 1846-1999 Gerard Raven 54 -73 2008")</f>
        <v>0</v>
      </c>
      <c r="D6327" s="1">
        <f>hyperlink("http://dspace.library.uu.nl/handle/1874/303527","De hervormde kerkbladen van Amersfoort 1846-1999 Gerard Raven 54-73 2008")</f>
        <v>0</v>
      </c>
    </row>
    <row r="6328" spans="2:4">
      <c r="B6328">
        <v>99</v>
      </c>
      <c r="C6328" s="1">
        <f>hyperlink("https://hetutrechtsarchief.nl/collectie/FA8FED2FFE3A5675AB59089526E73B48","Weefkunst in Soest en Baarn de handweverij en tapijtknoperij Edmondt de Cneudt 1937-1984 Gerard Brouwer 74 -95 2008")</f>
        <v>0</v>
      </c>
      <c r="D6328" s="1">
        <f>hyperlink("http://dspace.library.uu.nl/handle/1874/303528","Weefkunst in Soest en Baarn de handweverij en tapijtknoperij Edmond de Cneudt 1937-1984 Gerard Brouwer 74-95 2008")</f>
        <v>0</v>
      </c>
    </row>
    <row r="6329" spans="2:4">
      <c r="B6329">
        <v>99</v>
      </c>
      <c r="C6329" s="1">
        <f>hyperlink("https://hetutrechtsarchief.nl/collectie/B32EFBED3A295D2E9C82E5E676B99A3B","Het ontslag van dominee Johannes Kluppel in 1745 Koos van Noppen 96-103 2008")</f>
        <v>0</v>
      </c>
      <c r="D6329" s="1">
        <f>hyperlink("http://dspace.library.uu.nl/handle/1874/303529","Het ontslag van dominee Johannes Kluppel in 1745 Koos van Noppen 96- 103 2008")</f>
        <v>0</v>
      </c>
    </row>
    <row r="6330" spans="2:4">
      <c r="B6330">
        <v>99</v>
      </c>
      <c r="C6330" s="1">
        <f>hyperlink("https://hetutrechtsarchief.nl/collectie/E5E4651FE5E850FC91EFABE9068AA678","Het kantoor van de Rijksdienst voor het Oudheidkundig Bodemonderzoek een modern gebouw in het historische hart van Amersfoort Loes Tieman 104 -119 2008")</f>
        <v>0</v>
      </c>
      <c r="D6330" s="1">
        <f>hyperlink("http://dspace.library.uu.nl/handle/1874/303530","Het kantoor van de Rijksdienst voor het Oudheidkundig Bodemonzerzoek een modern gebouw in het historisch hart van Amersfoort Loes Tieman 104-119 2008")</f>
        <v>0</v>
      </c>
    </row>
    <row r="6331" spans="2:4">
      <c r="B6331">
        <v>99</v>
      </c>
      <c r="C6331" s="1">
        <f>hyperlink("https://hetutrechtsarchief.nl/collectie/9F88EE81544F5FD89E30404506759813","Drie Melmen aan de Eem een kritiek na veertig jaren Jan H Lodewijks 120 -123 2008")</f>
        <v>0</v>
      </c>
      <c r="D6331" s="1">
        <f>hyperlink("http://dspace.library.uu.nl/handle/1874/303531","Drie Melmen aan de Eem een kritiek na veertig jaren Jan H Lodewijks 120-123 2008")</f>
        <v>0</v>
      </c>
    </row>
    <row r="6332" spans="2:4">
      <c r="B6332">
        <v>97</v>
      </c>
      <c r="C6332" s="1">
        <f>hyperlink("https://hetutrechtsarchief.nl/collectie/DD4B4897E3B85621A69DA143B026D59A","In memoriam van Prof Dr C D J Brandt J W C van Campen 82-83 1966")</f>
        <v>0</v>
      </c>
      <c r="D6332" s="1">
        <f>hyperlink("http://dspace.library.uu.nl/handle/1874/304018","In memoriam Prof dr C D J Brandt J W C van Campen 82-83 1966")</f>
        <v>0</v>
      </c>
    </row>
    <row r="6333" spans="2:4">
      <c r="B6333">
        <v>87</v>
      </c>
      <c r="C6333" s="1">
        <f>hyperlink("https://hetutrechtsarchief.nl/collectie/E47B37188AD75D0FA4D07CF257D8C83C","De gemeente in 1832 grondgebruik en eigendom 18-19 1996")</f>
        <v>0</v>
      </c>
      <c r="D6333" s="1">
        <f>hyperlink("http://dspace.library.uu.nl/handle/1874/304190","De gemeente in 1832 grondgebruik en eigendom Dick Wijmer 18-20 1996")</f>
        <v>0</v>
      </c>
    </row>
    <row r="6334" spans="2:4">
      <c r="B6334">
        <v>100</v>
      </c>
      <c r="C6334" s="1">
        <f>hyperlink("https://hetutrechtsarchief.nl/collectie/33AB1BE8033D500585713A62A403A747","In memoriam Richard Albertus Hoogland Utrecht 28-8-1895 - Bilthoven 30-9-1980 G T Haneveld 138 1980")</f>
        <v>0</v>
      </c>
      <c r="D6334" s="1">
        <f>hyperlink("http://dspace.library.uu.nl/handle/1874/304191","In memoriam Richard Albertus Hoogland Utrecht 28-8-1895 - Bilthoven 30-9-1980 G T Haneveld 138 1980")</f>
        <v>0</v>
      </c>
    </row>
    <row r="6335" spans="2:4">
      <c r="B6335">
        <v>92</v>
      </c>
      <c r="C6335" s="1">
        <f>hyperlink("https://hetutrechtsarchief.nl/collectie/7F7784B804505AD99C4471ED6FC5BA77","De wordingsgeschiedenis en vroegste bewoning R Isarin 3-8 fig krt 1992")</f>
        <v>0</v>
      </c>
      <c r="D6335" s="1">
        <f>hyperlink("http://dspace.library.uu.nl/handle/1874/304192","De wordingsgeschiedenis en vroegste bewoning R Isarin 3-8 1993")</f>
        <v>0</v>
      </c>
    </row>
    <row r="6336" spans="2:4">
      <c r="B6336">
        <v>58</v>
      </c>
      <c r="C6336" s="1">
        <f>hyperlink("https://hetutrechtsarchief.nl/collectie/968A3D5A600859FDA2D592CAF119E2E5","De provinciale atlas van Utrecht - S M 160-161 1901")</f>
        <v>0</v>
      </c>
      <c r="D6336" s="1">
        <f>hyperlink("http://dspace.library.uu.nl/handle/1874/304193","Provinciaal plaatsnamenregister Gibo Smilda 160 1979")</f>
        <v>0</v>
      </c>
    </row>
    <row r="6337" spans="2:4">
      <c r="B6337">
        <v>97</v>
      </c>
      <c r="C6337" s="1">
        <f>hyperlink("https://hetutrechtsarchief.nl/collectie/C305D9D5F97F579DA3E2EFA1EE36952D","De veranderende relaties tussen mens en natuur D Prins 32-40 ill 1992")</f>
        <v>0</v>
      </c>
      <c r="D6337" s="1">
        <f>hyperlink("http://dspace.library.uu.nl/handle/1874/304194","De veranderende relaties tussen mens en natuur D Prins 32-40 1992")</f>
        <v>0</v>
      </c>
    </row>
    <row r="6338" spans="2:4">
      <c r="B6338">
        <v>98</v>
      </c>
      <c r="C6338" s="1">
        <f>hyperlink("https://hetutrechtsarchief.nl/collectie/6F6F21EA879153CF8CEE3BA3AA49D356","Het klinisch geneeskundig onderwijs te Utrecht in de 17e eeuw H M Beumer 25-29 ill 1965")</f>
        <v>0</v>
      </c>
      <c r="D6338" s="1">
        <f>hyperlink("http://dspace.library.uu.nl/handle/1874/304195","Het klinisch geneeskundig onderwijs te Utrecht in de 17e eeuw H M Beumer 25-29 1965")</f>
        <v>0</v>
      </c>
    </row>
    <row r="6339" spans="2:4">
      <c r="B6339">
        <v>100</v>
      </c>
      <c r="C6339" s="1">
        <f>hyperlink("https://hetutrechtsarchief.nl/collectie/30B4BDCABA435711B15923FB7C984706","Gevaarlijke ontwikkelingen uit het verslag van de raadsvergadering van de Gemeente Utrecht van 30 juni 1887 J N van der Meulen 38 1979")</f>
        <v>0</v>
      </c>
      <c r="D6339" s="1">
        <f>hyperlink("http://dspace.library.uu.nl/handle/1874/304196","Gevaarlijke ontwikkelingen uit het verslag van de raadsvergadering van de gemeente Utrecht van 30 Juni 1887 J N van der Meulen 38 1979")</f>
        <v>0</v>
      </c>
    </row>
    <row r="6340" spans="2:4">
      <c r="B6340">
        <v>57</v>
      </c>
      <c r="C6340" s="1">
        <f>hyperlink("https://hetutrechtsarchief.nl/collectie/7F7B4B4ECC18546EB0BB9A92D5F338F8","Kunstwerken het toilet 8 ill 1979")</f>
        <v>0</v>
      </c>
      <c r="D6340" s="1">
        <f>hyperlink("http://dspace.library.uu.nl/handle/1874/304197","Is men het niet D P Snoep 1979")</f>
        <v>0</v>
      </c>
    </row>
    <row r="6341" spans="2:4">
      <c r="B6341">
        <v>98</v>
      </c>
      <c r="C6341" s="1">
        <f>hyperlink("https://hetutrechtsarchief.nl/collectie/CF431470305D55F1A8E190612904A177","Een geschilderd interieur van de Sint Catharinakerk te Utrecht uit 1843 H L M Defoer 37-39 ill 1980")</f>
        <v>0</v>
      </c>
      <c r="D6341" s="1">
        <f>hyperlink("http://dspace.library.uu.nl/handle/1874/304198","Een geschilderd interieur van de Sint Catharinakerk te Utrecht uit 1843 H L M Defoer 37-39 1980")</f>
        <v>0</v>
      </c>
    </row>
    <row r="6342" spans="2:4">
      <c r="B6342">
        <v>55</v>
      </c>
      <c r="C6342" s="1">
        <f>hyperlink("https://hetutrechtsarchief.nl/collectie/42C246F77BBA5B018E16C18D34C9143B","De registers van persoonsnamen in der stat dagelix boec 1449-1500 A Graafhuis 20-23 ill 1981")</f>
        <v>0</v>
      </c>
      <c r="D6342" s="1">
        <f>hyperlink("http://dspace.library.uu.nl/handle/1874/304199","Indices op het Buurspraakboek 1449-1500 A Graafhuis 184 1983")</f>
        <v>0</v>
      </c>
    </row>
    <row r="6343" spans="2:4">
      <c r="B6343">
        <v>57</v>
      </c>
      <c r="C6343" s="1">
        <f>hyperlink("https://hetutrechtsarchief.nl/collectie/6060FD8F16E9550B89EDA49B3DA1BE16","Be graven in enkele Utrechtse kerken A Graafhuis 1-16 ill 1978")</f>
        <v>0</v>
      </c>
      <c r="D6343" s="1">
        <f>hyperlink("http://dspace.library.uu.nl/handle/1874/306167","Recreatieschap Rijn en Lekoevers F A Graafhuis A Groen 1 -4 1967")</f>
        <v>0</v>
      </c>
    </row>
    <row r="6344" spans="2:4">
      <c r="B6344">
        <v>53</v>
      </c>
      <c r="C6344" s="1">
        <f>hyperlink("https://hetutrechtsarchief.nl/collectie/05388E9063EA50EE847506055D6F982F","Louis Hennepin te Utrecht David de Kok 165-176 1937")</f>
        <v>0</v>
      </c>
      <c r="D6344" s="1">
        <f>hyperlink("http://dspace.library.uu.nl/handle/1874/306168","Landbouw en nijverheid te Bunnik in 1887 C Dekker 5-7 1967")</f>
        <v>0</v>
      </c>
    </row>
    <row r="6345" spans="2:4">
      <c r="B6345">
        <v>55</v>
      </c>
      <c r="C6345" s="1">
        <f>hyperlink("https://hetutrechtsarchief.nl/collectie/7E91D17332F45D238F8F8AA2370B0DED","Nieuw-Amelisweerd - v A 2-4 ill plgr 1966")</f>
        <v>0</v>
      </c>
      <c r="D6345" s="1">
        <f>hyperlink("http://dspace.library.uu.nl/handle/1874/306169","Nieuw-Amelisweerd of Groenewoude L M J de Heijmink Liesert P M Keijzer 8-12 1967")</f>
        <v>0</v>
      </c>
    </row>
    <row r="6346" spans="2:4">
      <c r="B6346">
        <v>54</v>
      </c>
      <c r="C6346" s="1">
        <f>hyperlink("https://hetutrechtsarchief.nl/collectie/C21B22D82C935770B32441BF7B36B77B","Landgoed Oud-Amelisweerd juweeltje rijker 16-17 ill portr 1996")</f>
        <v>0</v>
      </c>
      <c r="D6346" s="1">
        <f>hyperlink("http://dspace.library.uu.nl/handle/1874/306170","Oud-Amelisweerd L M J de Heijmink Liesert P M Keijzer 10-12 1967")</f>
        <v>0</v>
      </c>
    </row>
    <row r="6347" spans="2:4">
      <c r="B6347">
        <v>56</v>
      </c>
      <c r="C6347" s="1">
        <f>hyperlink("https://hetutrechtsarchief.nl/collectie/691E05FA760E5329900760107CDB6FDD","Achttienhoven en Werkhoven J Prakken 22 1952")</f>
        <v>0</v>
      </c>
      <c r="D6347" s="1">
        <f>hyperlink("http://dspace.library.uu.nl/handle/1874/306172","Historisch overzicht van Bunnik Odijk en Werkhoven C Dekker 2 - 32 1968")</f>
        <v>0</v>
      </c>
    </row>
    <row r="6348" spans="2:4">
      <c r="B6348">
        <v>52</v>
      </c>
      <c r="C6348" s="1">
        <f>hyperlink("https://hetutrechtsarchief.nl/collectie/F8F7451E1B6D50E0A5BF030430331630","De luchtwachttoren te Schalkwijk Piet Heijmink Liesert 75-78 2004")</f>
        <v>0</v>
      </c>
      <c r="D6348" s="1">
        <f>hyperlink("http://dspace.library.uu.nl/handle/1874/306173","Schonauwen L M J de Heijmink Liesert P M Keijzer 5-8 1967")</f>
        <v>0</v>
      </c>
    </row>
    <row r="6349" spans="2:4">
      <c r="B6349">
        <v>63</v>
      </c>
      <c r="C6349" s="1">
        <f>hyperlink("https://hetutrechtsarchief.nl/collectie/BC90834620A657E6AC43EDE2D497DAF7","De Bilt met een d P H Damst 17-19 1969")</f>
        <v>0</v>
      </c>
      <c r="D6349" s="1">
        <f>hyperlink("http://dspace.library.uu.nl/handle/1874/306174","De hofstede Scherpenborch P H Damst 8-12 1967")</f>
        <v>0</v>
      </c>
    </row>
    <row r="6350" spans="2:4">
      <c r="B6350">
        <v>60</v>
      </c>
      <c r="C6350" s="1">
        <f>hyperlink("https://hetutrechtsarchief.nl/collectie/938353DC2AE752E68DACBB033DF2EFC2","Compostel in Utrecht P H Damst 27-52 ill 1967")</f>
        <v>0</v>
      </c>
      <c r="D6350" s="1">
        <f>hyperlink("http://dspace.library.uu.nl/handle/1874/306175","Nogmaals Scherpenborch P H Damst 5-6 1967")</f>
        <v>0</v>
      </c>
    </row>
    <row r="6351" spans="2:4">
      <c r="B6351">
        <v>59</v>
      </c>
      <c r="C6351" s="1">
        <f>hyperlink("https://hetutrechtsarchief.nl/collectie/1EA88D535185561CBD75FB730074C5E0","Joden in IJsselstein T A van Dijk 23-30 2016")</f>
        <v>0</v>
      </c>
      <c r="D6351" s="1">
        <f>hyperlink("http://dspace.library.uu.nl/handle/1874/306176","Oude bewoningssporen te Odijk Th G van Dijk 14-16 1967")</f>
        <v>0</v>
      </c>
    </row>
    <row r="6352" spans="2:4">
      <c r="B6352">
        <v>57</v>
      </c>
      <c r="C6352" s="1">
        <f>hyperlink("https://hetutrechtsarchief.nl/collectie/5D66167F4D8E518EA88F38AA3CAB5A51","Een Stichtenaar op den Deventer leerstoel W B J van Eijck 157-169 1868")</f>
        <v>0</v>
      </c>
      <c r="D6352" s="1">
        <f>hyperlink("http://dspace.library.uu.nl/handle/1874/306177","Een raadselachtige put op de Schoudermantel te Odijk Th G van Dijk 6-9 1967")</f>
        <v>0</v>
      </c>
    </row>
    <row r="6353" spans="2:4">
      <c r="B6353">
        <v>60</v>
      </c>
      <c r="C6353" s="1">
        <f>hyperlink("https://hetutrechtsarchief.nl/collectie/AD4BD9FDFB2D7D55E0534701000ACC3F","Terug naar Pompeii Ontstaan verdwijning en herstel van een Pompeiiaans interieur in Paushuize Froukje van de Meulen 4-9 2020")</f>
        <v>0</v>
      </c>
      <c r="D6353" s="1">
        <f>hyperlink("http://dspace.library.uu.nl/handle/1874/30657","Honderd jaar restaureren drie generaties Van Hoogevest Architecten in theorie en praktijk Froukje van der Meulen 2008")</f>
        <v>0</v>
      </c>
    </row>
    <row r="6354" spans="2:4">
      <c r="B6354">
        <v>54</v>
      </c>
      <c r="C6354" s="1">
        <f>hyperlink("https://hetutrechtsarchief.nl/collectie/BAC32A813B0C5995888085A43D60A40F","Een en ander over het maandblad G A Evers 14-16 1948")</f>
        <v>0</v>
      </c>
      <c r="D6354" s="1">
        <f>hyperlink("http://dspace.library.uu.nl/handle/1874/308836","Toen en nu I-II de Brink te Houten foto s G M Staal G M Staal 6 nr 4 p 12 1968")</f>
        <v>0</v>
      </c>
    </row>
    <row r="6355" spans="2:4">
      <c r="B6355">
        <v>56</v>
      </c>
      <c r="C6355" s="1">
        <f>hyperlink("https://hetutrechtsarchief.nl/collectie/960B59558545F20AE0534701000A672A","Sporen van een gedeeld verleden Frank van der Velden 12-13 2019")</f>
        <v>0</v>
      </c>
      <c r="D6355" s="1">
        <f>hyperlink("http://dspace.library.uu.nl/handle/1874/308837","Formulier van den eed als schepen van Schonauwen 18e eeuw 12 1968")</f>
        <v>0</v>
      </c>
    </row>
    <row r="6356" spans="2:4">
      <c r="B6356">
        <v>64</v>
      </c>
      <c r="C6356" s="1">
        <f>hyperlink("https://hetutrechtsarchief.nl/collectie/2BBE8951140E5EA18A0DD2CD25FA03D6","De Utrechtsche volkstaal J Rasch 13 1928")</f>
        <v>0</v>
      </c>
      <c r="D6356" s="1">
        <f>hyperlink("http://dspace.library.uu.nl/handle/1874/308838","Uit de Utrechtsche Volksalmanak van 1868 A Graafhuis 19-20 1968")</f>
        <v>0</v>
      </c>
    </row>
    <row r="6357" spans="2:4">
      <c r="B6357">
        <v>56</v>
      </c>
      <c r="C6357" s="1">
        <f>hyperlink("https://hetutrechtsarchief.nl/collectie/671EF49FCB395BB3BFB894EAC8FE0EB5","Ram van Schalkwijk - v d V 89-92")</f>
        <v>0</v>
      </c>
      <c r="D6357" s="1">
        <f>hyperlink("http://dspace.library.uu.nl/handle/1874/308839","Toen en nu IV Schalkwijk - Het Dorp G M Staal 8-9 1969")</f>
        <v>0</v>
      </c>
    </row>
    <row r="6358" spans="2:4">
      <c r="B6358">
        <v>58</v>
      </c>
      <c r="C6358" s="1">
        <f>hyperlink("https://hetutrechtsarchief.nl/collectie/66CE7AE2AD98522EB0C608E2F6650A38","Open huizen en ridderhofsteden in het Nedersticht II slot W van Iterson 81-115 1955")</f>
        <v>0</v>
      </c>
      <c r="D6358" s="1">
        <f>hyperlink("http://dspace.library.uu.nl/handle/1874/308840","Het naastingsrecht van de Abt van Oostbroek in het gerecht De Bilt W van Iterson 2-5 1969")</f>
        <v>0</v>
      </c>
    </row>
    <row r="6359" spans="2:4">
      <c r="B6359">
        <v>53</v>
      </c>
      <c r="C6359" s="1">
        <f>hyperlink("https://hetutrechtsarchief.nl/collectie/E0EFEC0F2A2F5675964F1D77BC46F339","Arkelse nonnen streken in Utrecht neer Nettie Stoppelenburg 211-212 1998")</f>
        <v>0</v>
      </c>
      <c r="D6359" s="1">
        <f>hyperlink("http://dspace.library.uu.nl/handle/1874/308841","2000 jaar geleden bouwden Romeinen bij Vechten een vlootbasis G Koppert 2-8 1968")</f>
        <v>0</v>
      </c>
    </row>
    <row r="6360" spans="2:4">
      <c r="B6360">
        <v>54</v>
      </c>
      <c r="C6360" s="1">
        <f>hyperlink("https://hetutrechtsarchief.nl/collectie/012F03B6352157DA9A942A9ECB98D1DC","In memoriam Johannes Severijn 1883-1966 S van der Linde 28-29 portr 1965")</f>
        <v>0</v>
      </c>
      <c r="D6360" s="1">
        <f>hyperlink("http://dspace.library.uu.nl/handle/1874/308842","Johannes de Kruijf 1885 - 1966 F H C Weijtens 4-8 1968")</f>
        <v>0</v>
      </c>
    </row>
    <row r="6361" spans="2:4">
      <c r="B6361">
        <v>55</v>
      </c>
      <c r="C6361" s="1">
        <f>hyperlink("https://hetutrechtsarchief.nl/collectie/FC9C6725D5375A16BBA31987D703CDB6","Een plaatsnaam aan de wandel Jan van Dijk 14-18 1998")</f>
        <v>0</v>
      </c>
      <c r="D6361" s="1">
        <f>hyperlink("http://dspace.library.uu.nl/handle/1874/308843","Ligt er een romeins graf aan de Achterdijk Th G van Dijk 15 1969")</f>
        <v>0</v>
      </c>
    </row>
    <row r="6362" spans="2:4">
      <c r="B6362">
        <v>57</v>
      </c>
      <c r="C6362" s="1">
        <f>hyperlink("https://hetutrechtsarchief.nl/collectie/80D4B6D32AB456B091C81649E3436592","In memoriam dr J van der Werf 11 oktober 1926-2 oktober 1979 A Graafhuis 143-144 portr 1979")</f>
        <v>0</v>
      </c>
      <c r="D6362" s="1">
        <f>hyperlink("http://dspace.library.uu.nl/handle/1874/308844","Reglement en Ordre op t Begraven der Dooden te Bunnik 15 Oktober 1745 A Graafhuis 11-13 nr 4 p 17-20 1969")</f>
        <v>0</v>
      </c>
    </row>
    <row r="6363" spans="2:4">
      <c r="B6363">
        <v>57</v>
      </c>
      <c r="C6363" s="1">
        <f>hyperlink("https://hetutrechtsarchief.nl/collectie/8BAAE7DDF1255A75A532B6EDE3290A8C","Een ruilverkaveling te Breukelerveen in 1552 W van Iterson 91-102 1960")</f>
        <v>0</v>
      </c>
      <c r="D6363" s="1">
        <f>hyperlink("http://dspace.library.uu.nl/handle/1874/308845","Hoe in 1621 te Bunnik een nieuw leen tot stand kwam W van Iterson 6-10 1969")</f>
        <v>0</v>
      </c>
    </row>
    <row r="6364" spans="2:4">
      <c r="B6364">
        <v>59</v>
      </c>
      <c r="C6364" s="1">
        <f>hyperlink("https://hetutrechtsarchief.nl/collectie/919AC2C3CFF553078705BA2618CF63AE","De gouden schat van de Korte Nieuwstraat A Graafhuis 31-35 1961")</f>
        <v>0</v>
      </c>
      <c r="D6364" s="1">
        <f>hyperlink("http://dspace.library.uu.nl/handle/1874/308846","Eed voor den Schout en Secretaris van Schonauwen 18e eeuw A Graafhuis 5 1968")</f>
        <v>0</v>
      </c>
    </row>
    <row r="6365" spans="2:4">
      <c r="B6365">
        <v>52</v>
      </c>
      <c r="C6365" s="1">
        <f>hyperlink("https://hetutrechtsarchief.nl/collectie/B23143D1C72954D7984920BEA37EE9AF","Nog een en ander over het geslacht Freys van Dolre P M van Walchren 168-170 1902")</f>
        <v>0</v>
      </c>
      <c r="D6365" s="1">
        <f>hyperlink("http://dspace.library.uu.nl/handle/1874/308847","Toen en nu III de R K-Kerk te Schalkwijk foto s van G M Staal G M Staal 8 - 9 1969")</f>
        <v>0</v>
      </c>
    </row>
    <row r="6366" spans="2:4">
      <c r="B6366">
        <v>55</v>
      </c>
      <c r="C6366" s="1">
        <f>hyperlink("https://hetutrechtsarchief.nl/collectie/B5AA50B0AB445CEDBCD5E91FBD0A08DF","Over het ontstaan van het gebruik om wapenborden in de kerken op te hangen A Graafhuis 69-74 ill 1960")</f>
        <v>0</v>
      </c>
      <c r="D6366" s="1">
        <f>hyperlink("http://dspace.library.uu.nl/handle/1874/308848","Inwoners van het thans tot de gemeente Houten behorende gerecht van Schonauwen anno 1808 A Graafhuis 11-12 1968")</f>
        <v>0</v>
      </c>
    </row>
    <row r="6367" spans="2:4">
      <c r="B6367">
        <v>60</v>
      </c>
      <c r="C6367" s="1">
        <f>hyperlink("https://hetutrechtsarchief.nl/collectie/367C4B1FF61F58DEB6687ABCD3BEE826","Meetpunten in de toren van de Ned Herv kerk te Abcoude Wim Timmer 252 2005")</f>
        <v>0</v>
      </c>
      <c r="D6367" s="1">
        <f>hyperlink("http://dspace.library.uu.nl/handle/1874/308849","De klok in de toren van de Ned Hervormde Kerk te Houten L M J de Heijmink Liesert P M Keijzer 15-19 1968")</f>
        <v>0</v>
      </c>
    </row>
    <row r="6368" spans="2:4">
      <c r="B6368">
        <v>55</v>
      </c>
      <c r="C6368" s="1">
        <f>hyperlink("https://hetutrechtsarchief.nl/collectie/F89228C37A6A59D597F898307BE58570","Ridderhofstad Oudaen M A Dukes-Greup 25-34 2011")</f>
        <v>0</v>
      </c>
      <c r="D6368" s="1">
        <f>hyperlink("http://dspace.library.uu.nl/handle/1874/308850","Ridderhofstad Wulven L M J de Heijmink Liesert P M Keijzer 11-16 1969")</f>
        <v>0</v>
      </c>
    </row>
    <row r="6369" spans="2:4">
      <c r="B6369">
        <v>54</v>
      </c>
      <c r="C6369" s="1">
        <f>hyperlink("https://hetutrechtsarchief.nl/collectie/62F2B9E6B50A5675B4773F390428DA85","Bestrijding van de hondsdolheid in de 18e en 19e eeuw Greet van Stavel 37-49 2004")</f>
        <v>0</v>
      </c>
      <c r="D6369" s="1">
        <f>hyperlink("http://dspace.library.uu.nl/handle/1874/308851","Bestrijding van besmettelijke ziekten in de 19e eeuw P M Buys-de Geus B E Zwart-de Vries 9-11 13-14 1968")</f>
        <v>0</v>
      </c>
    </row>
    <row r="6370" spans="2:4">
      <c r="B6370">
        <v>64</v>
      </c>
      <c r="C6370" s="1">
        <f>hyperlink("https://hetutrechtsarchief.nl/collectie/0C6D7302CA59511C919B694CF06B12FB","De koperen schuitjes van 1672 A Graafhuis 164-166 ill 1981")</f>
        <v>0</v>
      </c>
      <c r="D6370" s="1">
        <f>hyperlink("http://dspace.library.uu.nl/handle/1874/308852","Pastorie in Odijk verbrand 1672 A Graafhuis 16 1969")</f>
        <v>0</v>
      </c>
    </row>
    <row r="6371" spans="2:4">
      <c r="B6371">
        <v>51</v>
      </c>
      <c r="C6371" s="1">
        <f>hyperlink("https://hetutrechtsarchief.nl/collectie/BCC087C6EB7152C8940E03349FEC98DD","De stoelgang als historisch fenomeen interview met Ineke Strouken en Albert van der Zeijden over de geschiedenis van het dagelijkse leven Reinoud de Haan en Alexander van der Haven 7 -20 portr 1994")</f>
        <v>0</v>
      </c>
      <c r="D6371" s="1">
        <f>hyperlink("http://dspace.library.uu.nl/handle/1874/308853","Ridderhofstad Schalkwijk Tussen Rijn en Lek tijdschrift voor de geschiedenis van het gebied tussen Kromme Rijn en Lek L M J de Heijmink Liesert P M Keijzer 1968")</f>
        <v>0</v>
      </c>
    </row>
    <row r="6372" spans="2:4">
      <c r="B6372">
        <v>57</v>
      </c>
      <c r="C6372" s="1">
        <f>hyperlink("https://hetutrechtsarchief.nl/collectie/8B81C08B09032FACE0534701000AC0AA","De ontginning van De Ronde Venen Piet van Buul 8-11 2019")</f>
        <v>0</v>
      </c>
      <c r="D6372" s="1">
        <f>hyperlink("http://dspace.library.uu.nl/handle/1874/308854","De ontginning van de polder Vuylcop W Thoomes 9-10 jg 3 1969 nr 1 p 10-12 1968")</f>
        <v>0</v>
      </c>
    </row>
    <row r="6373" spans="2:4">
      <c r="B6373">
        <v>53</v>
      </c>
      <c r="C6373" s="1">
        <f>hyperlink("https://hetutrechtsarchief.nl/collectie/E22C84B96A1F58DBAB3459DBCF0A54D3","De Middelbare Handelsschool A D J F Meijer 11 1961")</f>
        <v>0</v>
      </c>
      <c r="D6373" s="1">
        <f>hyperlink("http://dspace.library.uu.nl/handle/1874/308855","Ridderhofstad Vuylcoop L M J de Heijmink Liesert P M Keijzer 7-10 1969")</f>
        <v>0</v>
      </c>
    </row>
    <row r="6374" spans="2:4">
      <c r="B6374">
        <v>63</v>
      </c>
      <c r="C6374" s="1">
        <f>hyperlink("https://hetutrechtsarchief.nl/collectie/BEBF3CCAFCF6574993C090C8C7E8064F","Legende over de hervormde kerk in 1843 Jan Kaas 24 1998")</f>
        <v>0</v>
      </c>
      <c r="D6374" s="1">
        <f>hyperlink("http://dspace.library.uu.nl/handle/1874/308856","Nog het een en ander over de Hervormde Kerk van Schalkwijk A Pastoors 4-6 1969")</f>
        <v>0</v>
      </c>
    </row>
    <row r="6375" spans="2:4">
      <c r="B6375">
        <v>61</v>
      </c>
      <c r="C6375" s="1">
        <f>hyperlink("https://hetutrechtsarchief.nl/collectie/F71E16A3A68E5A8BAB634A2C6C60C398","De Hervormde kerk van Oud-Zuilen F Schoonheim 71-84 ill 1977")</f>
        <v>0</v>
      </c>
      <c r="D6375" s="1">
        <f>hyperlink("http://dspace.library.uu.nl/handle/1874/308857","De Hervormde Kerk van Schalkwijk W Thoomes 6-9 1969")</f>
        <v>0</v>
      </c>
    </row>
    <row r="6376" spans="2:4">
      <c r="B6376">
        <v>54</v>
      </c>
      <c r="C6376" s="1">
        <f>hyperlink("https://hetutrechtsarchief.nl/collectie/F8F7451E1B6D50E0A5BF030430331630","De luchtwachttoren te Schalkwijk Piet Heijmink Liesert 75-78 2004")</f>
        <v>0</v>
      </c>
      <c r="D6376" s="1">
        <f>hyperlink("http://dspace.library.uu.nl/handle/1874/308858","Verwantschap Wttewaal-Uijttewaal P M Heijmink Liesert 13-15 1969")</f>
        <v>0</v>
      </c>
    </row>
    <row r="6377" spans="2:4">
      <c r="B6377">
        <v>54</v>
      </c>
      <c r="C6377" s="1">
        <f>hyperlink("https://hetutrechtsarchief.nl/collectie/39D36BC785D059D980DC19CC4850BE62","Zeevliet E van Oosterom 71-74 1969")</f>
        <v>0</v>
      </c>
      <c r="D6377" s="1">
        <f>hyperlink("http://dspace.library.uu.nl/handle/1874/308859","Wttewaell-Uijttewaal A Pastoors 2-4 1969")</f>
        <v>0</v>
      </c>
    </row>
    <row r="6378" spans="2:4">
      <c r="B6378">
        <v>65</v>
      </c>
      <c r="C6378" s="1">
        <f>hyperlink("https://hetutrechtsarchief.nl/collectie/DBF9F0BE2DBF5C5B85C5A201061E154C","Woerden tijdens de Belgische Opstand 1830-1831 W R C Alkemade 69-81 2016")</f>
        <v>0</v>
      </c>
      <c r="D6378" s="1">
        <f>hyperlink("http://dspace.library.uu.nl/handle/1874/308860","Werkhoven na de Belgische Opstand van 1830 A Graafhuis 7-12 1968")</f>
        <v>0</v>
      </c>
    </row>
    <row r="6379" spans="2:4">
      <c r="B6379">
        <v>61</v>
      </c>
      <c r="C6379" s="1">
        <f>hyperlink("https://hetutrechtsarchief.nl/collectie/067E8A2841495A3CBE55DC50F580FA67","Open huizen en ridderhofsteden in het Nedersticht I W van Iterson 62-108 ill 1954")</f>
        <v>0</v>
      </c>
      <c r="D6379" s="1">
        <f>hyperlink("http://dspace.library.uu.nl/handle/1874/308861","Het wapen van de Ridderhofstad Beverweerd W van Iterson 1 - 3 1968")</f>
        <v>0</v>
      </c>
    </row>
    <row r="6380" spans="2:4">
      <c r="B6380">
        <v>59</v>
      </c>
      <c r="C6380" s="1">
        <f>hyperlink("https://hetutrechtsarchief.nl/collectie/D142B83430D651B2989EF295BFF97E1F","Uit de geschiedenis van de Utrechtse Domkerk A Graafhuis 1-16 ill 1985")</f>
        <v>0</v>
      </c>
      <c r="D6380" s="1">
        <f>hyperlink("http://dspace.library.uu.nl/handle/1874/308862","Staat van goederen van de R K Kerk te Werkhoven in 1843 A Graafhuis 15-16 1969")</f>
        <v>0</v>
      </c>
    </row>
    <row r="6381" spans="2:4">
      <c r="B6381">
        <v>61</v>
      </c>
      <c r="C6381" s="1">
        <f>hyperlink("https://hetutrechtsarchief.nl/collectie/D3ED5668F0595E3AA67CF03079980A04","Janskerk - geschiedenis A Graafhuis 4-10 ill 1979")</f>
        <v>0</v>
      </c>
      <c r="D6381" s="1">
        <f>hyperlink("http://dspace.library.uu.nl/handle/1874/308863","Gods Werkhof te Werkhoven A Graafhuis 1-3 1969")</f>
        <v>0</v>
      </c>
    </row>
    <row r="6382" spans="2:4">
      <c r="B6382">
        <v>52</v>
      </c>
      <c r="C6382" s="1">
        <f>hyperlink("https://hetutrechtsarchief.nl/collectie/1FB984E42FF955498E750504BE4A169E","De oprichting van het waterschap De Amerongse Bovenpolder in 1439 C A van Kalveen 256 -265 2002")</f>
        <v>0</v>
      </c>
      <c r="D6382" s="1">
        <f>hyperlink("http://dspace.library.uu.nl/handle/1874/308895","Oprichting van de waterschappen Honswijk Uiterwaarden en Schonauwen L M J de Heijmink Liesert P M Keijzer 2-19 1970")</f>
        <v>0</v>
      </c>
    </row>
    <row r="6383" spans="2:4">
      <c r="B6383">
        <v>56</v>
      </c>
      <c r="C6383" s="1">
        <f>hyperlink("https://hetutrechtsarchief.nl/collectie/34A83B59C4F35A55871386F07460869C","De Nederlanse bouwkunst in het begin van de negentiende eeuw R C Hekker 1-28 ill 1951")</f>
        <v>0</v>
      </c>
      <c r="D6383" s="1">
        <f>hyperlink("http://dspace.library.uu.nl/handle/1874/309033","De kerk in het midden protestant en katholiek tussen Rijn en Lek in de 16e en 17e eeuw C Dekker 2-23 1971")</f>
        <v>0</v>
      </c>
    </row>
    <row r="6384" spans="2:4">
      <c r="B6384">
        <v>54</v>
      </c>
      <c r="C6384" s="1">
        <f>hyperlink("https://hetutrechtsarchief.nl/collectie/763C8CFB80005C4F98C2509529715F8B","Het huis te Schalkwijk en zijn bezitters L J Abelmann 9-10 1953")</f>
        <v>0</v>
      </c>
      <c r="D6384" s="1">
        <f>hyperlink("http://dspace.library.uu.nl/handle/1874/309034","Toen en nu V Schalkwijk en Tull en t Waal G M Staal 10-11 1971")</f>
        <v>0</v>
      </c>
    </row>
    <row r="6385" spans="2:4">
      <c r="B6385">
        <v>54</v>
      </c>
      <c r="C6385" s="1">
        <f>hyperlink("https://hetutrechtsarchief.nl/collectie/DDBECE14C46D5302A0ECD890F9A7E50A","De riddermatige hofstede en ambachtsheerlijkheid Rijsenburg Wim Harzing 75-82 ill 1967")</f>
        <v>0</v>
      </c>
      <c r="D6385" s="1">
        <f>hyperlink("http://dspace.library.uu.nl/handle/1874/309035","De ambachtsheerlijkheid Slagmaat W Grapendaal 14-18 1971")</f>
        <v>0</v>
      </c>
    </row>
    <row r="6386" spans="2:4">
      <c r="B6386">
        <v>50</v>
      </c>
      <c r="C6386" s="1">
        <f>hyperlink("https://hetutrechtsarchief.nl/collectie/DC85D36090E15BF4AA86923797B5E53B","Een huishoudboek uit het begin van de 19e eeuw Aleid van de Bunt 106-110 portr 1964")</f>
        <v>0</v>
      </c>
      <c r="D6386" s="1">
        <f>hyperlink("http://dspace.library.uu.nl/handle/1874/309036","Oudhollandse recepten uit geschreven kookboeken uit het begin van de 19e eeuw berustende in het archief van Huize Wickenburgh van de familie J Wttewaall te t Goy 16-28 1970")</f>
        <v>0</v>
      </c>
    </row>
    <row r="6387" spans="2:4">
      <c r="B6387">
        <v>56</v>
      </c>
      <c r="C6387" s="1">
        <f>hyperlink("https://hetutrechtsarchief.nl/collectie/633A79FFB23A5A88AAFAF47BF97066BC","Wat gaat er gebeuren met De Utrecht A Graafhuis 86 1972")</f>
        <v>0</v>
      </c>
      <c r="D6387" s="1">
        <f>hyperlink("http://dspace.library.uu.nl/handle/1874/309037","Reglement voor het R K kerkbestuur der statie te Houten A Graafhuis 9-14 1970")</f>
        <v>0</v>
      </c>
    </row>
    <row r="6388" spans="2:4">
      <c r="B6388">
        <v>59</v>
      </c>
      <c r="C6388" s="1">
        <f>hyperlink("https://hetutrechtsarchief.nl/collectie/297475D3B89D541287DF3C84D38B6869","De post voor op en over de Lek M J Ververs 70-78 ill 1990")</f>
        <v>0</v>
      </c>
      <c r="D6388" s="1">
        <f>hyperlink("http://dspace.library.uu.nl/handle/1874/309038","De Stenen Poort te Houten L M J de Keijzer 7-8 1970")</f>
        <v>0</v>
      </c>
    </row>
    <row r="6389" spans="2:4">
      <c r="B6389">
        <v>55</v>
      </c>
      <c r="C6389" s="1">
        <f>hyperlink("https://hetutrechtsarchief.nl/collectie/0AA185CA2CD75111A2858F8CBD4EE092","Een middeleeuwse hofstede bij de Bilt J W H Meijer 64-66 ill 1987")</f>
        <v>0</v>
      </c>
      <c r="D6389" s="1">
        <f>hyperlink("http://dspace.library.uu.nl/handle/1874/309039","De middeleeuwse steenoven in t Goy bij Houten L M J de Heijmink Liesert P M Keijzer 5-15 nr 2 p 23 1972")</f>
        <v>0</v>
      </c>
    </row>
    <row r="6390" spans="2:4">
      <c r="B6390">
        <v>60</v>
      </c>
      <c r="C6390" s="1">
        <f>hyperlink("https://hetutrechtsarchief.nl/collectie/B12FEAE68632562B890AEC3977B3059A","De meester van Santie E P Polak-de Booy 38-40 portr 1970")</f>
        <v>0</v>
      </c>
      <c r="D6390" s="1">
        <f>hyperlink("http://dspace.library.uu.nl/handle/1874/309040","De leerlingen van Hendrick Claesen van Velpen E P Polak-de Booy 16-19 1972")</f>
        <v>0</v>
      </c>
    </row>
    <row r="6391" spans="2:4">
      <c r="B6391">
        <v>59</v>
      </c>
      <c r="C6391" s="1">
        <f>hyperlink("https://hetutrechtsarchief.nl/collectie/829DCAB689BC50328969BE96E4BAF3FA","De Hoeve te Bilthoven P H Damst 59-67 1970")</f>
        <v>0</v>
      </c>
      <c r="D6391" s="1">
        <f>hyperlink("http://dspace.library.uu.nl/handle/1874/309041","Een tiend onder Schalkwijk P H Damst 7 1970")</f>
        <v>0</v>
      </c>
    </row>
    <row r="6392" spans="2:4">
      <c r="B6392">
        <v>63</v>
      </c>
      <c r="C6392" s="1">
        <f>hyperlink("https://hetutrechtsarchief.nl/collectie/CAA0AF7C35215E7F9E732115C8DA0A3D","De geschiedenis van het pontveer te Rhenen W van Iterson 58-109 ill 1953")</f>
        <v>0</v>
      </c>
      <c r="D6392" s="1">
        <f>hyperlink("http://dspace.library.uu.nl/handle/1874/309042","De geschiedenis van het Schalkwijkse postwezen W M van den Heuvel 9-15 1970")</f>
        <v>0</v>
      </c>
    </row>
    <row r="6393" spans="2:4">
      <c r="B6393">
        <v>68</v>
      </c>
      <c r="C6393" s="1">
        <f>hyperlink("https://hetutrechtsarchief.nl/collectie/F8F7451E1B6D50E0A5BF030430331630","De luchtwachttoren te Schalkwijk Piet Heijmink Liesert 75-78 2004")</f>
        <v>0</v>
      </c>
      <c r="D6393" s="1">
        <f>hyperlink("http://dspace.library.uu.nl/handle/1874/309043","De pastorie op de Brink in Schalkwijk P M Heijmink Liesert 6-8 1970")</f>
        <v>0</v>
      </c>
    </row>
    <row r="6394" spans="2:4">
      <c r="B6394">
        <v>67</v>
      </c>
      <c r="C6394" s="1">
        <f>hyperlink("https://hetutrechtsarchief.nl/collectie/F8F7451E1B6D50E0A5BF030430331630","De luchtwachttoren te Schalkwijk Piet Heijmink Liesert 75-78 2004")</f>
        <v>0</v>
      </c>
      <c r="D6394" s="1">
        <f>hyperlink("http://dspace.library.uu.nl/handle/1874/309044","De spits van de gemeentetoren te Schalkwijk P M Heijmink Liesert 2-6 nr 4 p 5 1970")</f>
        <v>0</v>
      </c>
    </row>
    <row r="6395" spans="2:4">
      <c r="B6395">
        <v>60</v>
      </c>
      <c r="C6395" s="1">
        <f>hyperlink("https://hetutrechtsarchief.nl/collectie/B0A65B30F9F65D7393DD41515EC69340","De Nederlands Hervormde Kerk te Maarssen M A Schimmel 9-34 ill 1970")</f>
        <v>0</v>
      </c>
      <c r="D6395" s="1">
        <f>hyperlink("http://dspace.library.uu.nl/handle/1874/309045","Het koor van de Hervormde Kerk te Schalkwijk P van Vliet 1 -6 1970")</f>
        <v>0</v>
      </c>
    </row>
    <row r="6396" spans="2:4">
      <c r="B6396">
        <v>61</v>
      </c>
      <c r="C6396" s="1">
        <f>hyperlink("https://hetutrechtsarchief.nl/collectie/BF75A921703552DF8168C85B392428A5","Wandeling over de Utrechtse kermis in de 17e eeuw H J H Knoester 156-158 1964")</f>
        <v>0</v>
      </c>
      <c r="D6396" s="1">
        <f>hyperlink("http://dspace.library.uu.nl/handle/1874/309046","Wandelingen door Oud-Utrecht stad H W J Volmuller 1-5 1971")</f>
        <v>0</v>
      </c>
    </row>
    <row r="6397" spans="2:4">
      <c r="B6397">
        <v>61</v>
      </c>
      <c r="C6397" s="1">
        <f>hyperlink("https://hetutrechtsarchief.nl/collectie/7D417E49E8715C6CB0CB759FE0597A04","Het warenhuis van de Broedergemeente in Zeist R P M Rhoen 167-169 2012")</f>
        <v>0</v>
      </c>
      <c r="D6397" s="1">
        <f>hyperlink("http://dspace.library.uu.nl/handle/1874/309047","De kerkzaal en het broederhuis van de Evangelische Broedergemeente te Zeist A Graafhuis 16-20 1970")</f>
        <v>0</v>
      </c>
    </row>
    <row r="6398" spans="2:4">
      <c r="B6398">
        <v>56</v>
      </c>
      <c r="C6398" s="1">
        <f>hyperlink("https://hetutrechtsarchief.nl/collectie/68A3A27324045FEBA727AAE01501FEE3","Het Kromme Rijngebied in de Middeleeuwen door Dr C Dekker enige vragen en opmerkingen D R Klootwijk 10-24 ill 1984")</f>
        <v>0</v>
      </c>
      <c r="D6398" s="1">
        <f>hyperlink("http://dspace.library.uu.nl/handle/1874/309048","De Zeisteroever in de Middeleeuwen poging tot een nadere plaatsbepaling van dit gebied D R Klootwijk 3-11 14-17 nr 3 p 1-14 1972")</f>
        <v>0</v>
      </c>
    </row>
    <row r="6399" spans="2:4">
      <c r="B6399">
        <v>58</v>
      </c>
      <c r="C6399" s="1">
        <f>hyperlink("https://hetutrechtsarchief.nl/collectie/B76CA06E75CC5B55AD74288CFEEB1204","Historisch boerderijonderzoek F A Groen 25-27 ill 1975")</f>
        <v>0</v>
      </c>
      <c r="D6399" s="1">
        <f>hyperlink("http://dspace.library.uu.nl/handle/1874/309476","Stad en dorp in het gebied tussen Rijn en Lek F A Groen 2-10 14-19 1973")</f>
        <v>0</v>
      </c>
    </row>
    <row r="6400" spans="2:4">
      <c r="B6400">
        <v>59</v>
      </c>
      <c r="C6400" s="1">
        <f>hyperlink("https://hetutrechtsarchief.nl/collectie/4EE8767A87BD5B30B6FC7B28B83719CD","Werkplan aan de slag Ad Tourn 4-5 22 1986")</f>
        <v>0</v>
      </c>
      <c r="D6400" s="1">
        <f>hyperlink("http://dspace.library.uu.nl/handle/1874/309477","Van Slagmaat van de Slagmaat A Pastoors 15-25 1972")</f>
        <v>0</v>
      </c>
    </row>
    <row r="6401" spans="2:4">
      <c r="B6401">
        <v>65</v>
      </c>
      <c r="C6401" s="1">
        <f>hyperlink("https://hetutrechtsarchief.nl/collectie/F8F7451E1B6D50E0A5BF030430331630","De luchtwachttoren te Schalkwijk Piet Heijmink Liesert 75-78 2004")</f>
        <v>0</v>
      </c>
      <c r="D6401" s="1">
        <f>hyperlink("http://dspace.library.uu.nl/handle/1874/309478","Het huis Rustenburg te Schalkwijk P M Heijmink Liesert 20-21 1973")</f>
        <v>0</v>
      </c>
    </row>
    <row r="6402" spans="2:4">
      <c r="B6402">
        <v>62</v>
      </c>
      <c r="C6402" s="1">
        <f>hyperlink("https://hetutrechtsarchief.nl/collectie/809BC79F369F5DA5A5D416C5331DDD8B","Enkele aantekeningen over de geschiedenis van het Kantonnaal en Stedelijk Museum van Wijk bij Duurstede L C J M Rouppe van der Voort 165-175 ill 1980")</f>
        <v>0</v>
      </c>
      <c r="D6402" s="1">
        <f>hyperlink("http://dspace.library.uu.nl/handle/1874/309479","Rondgang door de oude binnenstad van Wijk bij Duurstede J Rouppe van der Voort 1-24 1972")</f>
        <v>0</v>
      </c>
    </row>
    <row r="6403" spans="2:4">
      <c r="B6403">
        <v>57</v>
      </c>
      <c r="C6403" s="1">
        <f>hyperlink("https://hetutrechtsarchief.nl/collectie/1CB5270339F6581D894E865957DE6091","Katholiek onderwijs in De Meern 3 Jan Heesters 19-21 2007")</f>
        <v>0</v>
      </c>
      <c r="D6403" s="1">
        <f>hyperlink("http://dspace.library.uu.nl/handle/1874/309878","Rooms-Katholiek kleuteronderwijs in Houten in de vorige eeuw L de Keijzer 10-12 1973")</f>
        <v>0</v>
      </c>
    </row>
    <row r="6404" spans="2:4">
      <c r="B6404">
        <v>56</v>
      </c>
      <c r="C6404" s="1">
        <f>hyperlink("https://hetutrechtsarchief.nl/collectie/1CB5270339F6581D894E865957DE6091","Katholiek onderwijs in De Meern 3 Jan Heesters 19-21 2007")</f>
        <v>0</v>
      </c>
      <c r="D6404" s="1">
        <f>hyperlink("http://dspace.library.uu.nl/handle/1874/309879","Katholieke ommegangen in Odijk in 1793 C Dekker 2-12 1973")</f>
        <v>0</v>
      </c>
    </row>
    <row r="6405" spans="2:4">
      <c r="B6405">
        <v>70</v>
      </c>
      <c r="C6405" s="1">
        <f>hyperlink("https://hetutrechtsarchief.nl/collectie/9E58753062095FCAABF96EDA0CA12A19","Industrie in Utrecht T J Hoekstra 7-10 ill 1972")</f>
        <v>0</v>
      </c>
      <c r="D6405" s="1">
        <f>hyperlink("http://dspace.library.uu.nl/handle/1874/309880","Archeologische vondsten in Utrecht T J Hoekstra 5-9 1973")</f>
        <v>0</v>
      </c>
    </row>
    <row r="6406" spans="2:4">
      <c r="B6406">
        <v>64</v>
      </c>
      <c r="C6406" s="1">
        <f>hyperlink("https://hetutrechtsarchief.nl/collectie/8350037596CF5275983C430D3C0A034A","Bedelaars en vagebonden uit Wijk geweerd II H W M J Kits Nieuwenkamp 71-77 1977")</f>
        <v>0</v>
      </c>
      <c r="D6406" s="1">
        <f>hyperlink("http://dspace.library.uu.nl/handle/1874/309881","De boomgaard de Galg aan de Middelweg H W M J Kits Nieuwenkamp 1973")</f>
        <v>0</v>
      </c>
    </row>
    <row r="6407" spans="2:4">
      <c r="B6407">
        <v>60</v>
      </c>
      <c r="C6407" s="1">
        <f>hyperlink("https://hetutrechtsarchief.nl/collectie/B66D2ECAD87F55EFAEF7E3FEB78CD352","De zogenaamde molen van Ruisdael te Wijk bij Duurstede W van Iterson 53-73 ill 1967")</f>
        <v>0</v>
      </c>
      <c r="D6407" s="1">
        <f>hyperlink("http://dspace.library.uu.nl/handle/1874/309882","De boomgaard de Galg aan de Middelweg hoek Euvenpad te Wijk bij Duurstede L Rouppe van der Voort 2-4 1973")</f>
        <v>0</v>
      </c>
    </row>
    <row r="6408" spans="2:4">
      <c r="B6408">
        <v>58</v>
      </c>
      <c r="C6408" s="1">
        <f>hyperlink("https://hetutrechtsarchief.nl/collectie/E31AD4C4882854529D6436F45AED7797","Het Slot te Zeist R P M Rhoen 3-30 1999")</f>
        <v>0</v>
      </c>
      <c r="D6408" s="1">
        <f>hyperlink("http://dspace.library.uu.nl/handle/1874/309883","Zeist en Zeisteroever H J M Thiadens 13 1973")</f>
        <v>0</v>
      </c>
    </row>
    <row r="6409" spans="2:4">
      <c r="B6409">
        <v>55</v>
      </c>
      <c r="C6409" s="1">
        <f>hyperlink("https://hetutrechtsarchief.nl/collectie/5CC28524177552C3BA7F5CE18441D6B1","Tot gemeentelijke bloei en welvaart de geschiedenis van weg en water in de Kromme-Rijnstreek rond Bunnik en Odijk tussen 1813-1930 Karin Strengers-Olde Kalter 1-15 2012")</f>
        <v>0</v>
      </c>
      <c r="D6409" s="1">
        <f>hyperlink("http://dspace.library.uu.nl/handle/1874/310324","Tussen Rijn en Lek tijdschrift voor de geschiedenis van het gebied tussen Kromme Rijn en Lek Historische Kring Tussen Rijn en Lek 1967-1994")</f>
        <v>0</v>
      </c>
    </row>
    <row r="6410" spans="2:4">
      <c r="B6410">
        <v>77</v>
      </c>
      <c r="C6410" s="1">
        <f>hyperlink("https://hetutrechtsarchief.nl/collectie/8098145584445730ABEB46E33C7994BA","Het schrickelyck tempeest van 1674 A Graafhuis 96-107 ill 1974")</f>
        <v>0</v>
      </c>
      <c r="D6410" s="1">
        <f>hyperlink("http://dspace.library.uu.nl/handle/1874/310325","Het schrickelijck tempeest van 1674 tussen Rijn en Lek A Graafhuis 1-24 1974")</f>
        <v>0</v>
      </c>
    </row>
    <row r="6411" spans="2:4">
      <c r="B6411">
        <v>51</v>
      </c>
      <c r="C6411" s="1">
        <f>hyperlink("https://hetutrechtsarchief.nl/collectie/C4CD78EBF6A5A64FE0538F04000AD8BF","De roetkapaffaire uit 1965 Frank Magdelyns 7-17 2021")</f>
        <v>0</v>
      </c>
      <c r="D6411" s="1">
        <f>hyperlink("http://dspace.library.uu.nl/handle/1874/310326","Een reisverhaal uit 1765 W B Graswinckel Mattheus Heins 8-20 1975")</f>
        <v>0</v>
      </c>
    </row>
    <row r="6412" spans="2:4">
      <c r="B6412">
        <v>71</v>
      </c>
      <c r="C6412" s="1">
        <f>hyperlink("https://hetutrechtsarchief.nl/collectie/9257B9ACED292725E0534701000A1F1B","Aardbevingen in het Kromme Rijngebied Frank Magdelyns 11-21 2019")</f>
        <v>0</v>
      </c>
      <c r="D6412" s="1">
        <f>hyperlink("http://dspace.library.uu.nl/handle/1874/310327","Verboden vergaderingen in het Kromme Rijngebied A Pastoors 10-21 1975")</f>
        <v>0</v>
      </c>
    </row>
    <row r="6413" spans="2:4">
      <c r="B6413">
        <v>52</v>
      </c>
      <c r="C6413" s="1">
        <f>hyperlink("https://hetutrechtsarchief.nl/collectie/AFB9245E753F59C4BC2F609724ADED4C","Het Maandblad van Oud Utrecht kan weer vrijelijk verschijnen - A N L O 74-75 1943")</f>
        <v>0</v>
      </c>
      <c r="D6413" s="1">
        <f>hyperlink("http://dspace.library.uu.nl/handle/1874/310328","Tweemaal Adriaen van Oostrum uit het leven gegrepen M S F Kemp 1-8 nr 2 p 4-35 1974")</f>
        <v>0</v>
      </c>
    </row>
    <row r="6414" spans="2:4">
      <c r="B6414">
        <v>61</v>
      </c>
      <c r="C6414" s="1">
        <f>hyperlink("https://hetutrechtsarchief.nl/collectie/F89C66F6C0F05A4FAC422A514B6403CF","Het weder invoeren der kermis A J van der Weijde 72-73 1926")</f>
        <v>0</v>
      </c>
      <c r="D6414" s="1">
        <f>hyperlink("http://dspace.library.uu.nl/handle/1874/310329","Het onderhoud van de Vreeswijkse sluis J J van der Lit 5-7 1975")</f>
        <v>0</v>
      </c>
    </row>
    <row r="6415" spans="2:4">
      <c r="B6415">
        <v>55</v>
      </c>
      <c r="C6415" s="1">
        <f>hyperlink("https://hetutrechtsarchief.nl/collectie/C09671973AFC517983046D81EB58F9CF","Geestelijke en kerkelijke goederen S Muller Fz 444-462 19 1903")</f>
        <v>0</v>
      </c>
      <c r="D6415" s="1">
        <f>hyperlink("http://dspace.library.uu.nl/handle/1874/310330","Schalkwijks kerkelijke grenzen P M Heijmink Liesert 6-14 1974")</f>
        <v>0</v>
      </c>
    </row>
    <row r="6416" spans="2:4">
      <c r="B6416">
        <v>57</v>
      </c>
      <c r="C6416" s="1">
        <f>hyperlink("https://hetutrechtsarchief.nl/collectie/671EF49FCB395BB3BFB894EAC8FE0EB5","Ram van Schalkwijk - v d V 89-92")</f>
        <v>0</v>
      </c>
      <c r="D6416" s="1">
        <f>hyperlink("http://dspace.library.uu.nl/handle/1874/310331","Heer van Schalkwijk en bisschop van Curium G S de Nie 1-9 1975")</f>
        <v>0</v>
      </c>
    </row>
    <row r="6417" spans="2:4">
      <c r="B6417">
        <v>98</v>
      </c>
      <c r="C6417" s="1">
        <f>hyperlink("https://hetutrechtsarchief.nl/collectie/37624C3C16925A629793250E9B6358AE","Samuel Muller Fz 1874-1974 J E A L Struick 1-2 1974")</f>
        <v>0</v>
      </c>
      <c r="D6417" s="1">
        <f>hyperlink("http://dspace.library.uu.nl/handle/1874/310332","Samuel Muller Fz 1874-1974 J E A L Struick 1-3 1974")</f>
        <v>0</v>
      </c>
    </row>
    <row r="6418" spans="2:4">
      <c r="B6418">
        <v>68</v>
      </c>
      <c r="C6418" s="1">
        <f>hyperlink("https://hetutrechtsarchief.nl/collectie/C19A15BFFCDD5C08AA6BE44F23F440D8","Bijen houden en bijenteelt te Wijk bij Duurstede P H Damst 35 1978")</f>
        <v>0</v>
      </c>
      <c r="D6418" s="1">
        <f>hyperlink("http://dspace.library.uu.nl/handle/1874/310333","De galg bij Wijk te Duurstede P H Damst 9 1974")</f>
        <v>0</v>
      </c>
    </row>
    <row r="6419" spans="2:4">
      <c r="B6419">
        <v>56</v>
      </c>
      <c r="C6419" s="1">
        <f>hyperlink("https://hetutrechtsarchief.nl/collectie/945A869E54CE5846B89B952CEF65F0F3","Nogmaals Utrechtse oorkonden in Holland J C Kort 173-174 1975")</f>
        <v>0</v>
      </c>
      <c r="D6419" s="1">
        <f>hyperlink("http://dspace.library.uu.nl/handle/1874/310334","Nogmaals de boomgaard de Galg D R Klootwijk 10-11 1974")</f>
        <v>0</v>
      </c>
    </row>
    <row r="6420" spans="2:4">
      <c r="B6420">
        <v>63</v>
      </c>
      <c r="C6420" s="1">
        <f>hyperlink("https://hetutrechtsarchief.nl/collectie/EE5BADA9E0555C77A0E90D8F9A54AAF1","Wijk bij Duurstede of een andere stad L C J M Rouppe van der Voort 46-47 ill 1974")</f>
        <v>0</v>
      </c>
      <c r="D6420" s="1">
        <f>hyperlink("http://dspace.library.uu.nl/handle/1874/310335","Een besettinge van een scip nabij de Wijkse galg L C J M Rouppe van der Voort 15-16 1974")</f>
        <v>0</v>
      </c>
    </row>
    <row r="6421" spans="2:4">
      <c r="B6421">
        <v>65</v>
      </c>
      <c r="C6421" s="1">
        <f>hyperlink("https://hetutrechtsarchief.nl/collectie/EE5BADA9E0555C77A0E90D8F9A54AAF1","Wijk bij Duurstede of een andere stad L C J M Rouppe van der Voort 46-47 ill 1974")</f>
        <v>0</v>
      </c>
      <c r="D6421" s="1">
        <f>hyperlink("http://dspace.library.uu.nl/handle/1874/310336","De Wijkse galg met een hellebaard in de kaart gespeeld L C J M Rouppe van der Voort 12-17 1974")</f>
        <v>0</v>
      </c>
    </row>
    <row r="6422" spans="2:4">
      <c r="B6422">
        <v>69</v>
      </c>
      <c r="C6422" s="1">
        <f>hyperlink("https://hetutrechtsarchief.nl/collectie/809BC79F369F5DA5A5D416C5331DDD8B","Enkele aantekeningen over de geschiedenis van het Kantonnaal en Stedelijk Museum van Wijk bij Duurstede L C J M Rouppe van der Voort 165-175 ill 1980")</f>
        <v>0</v>
      </c>
      <c r="D6422" s="1">
        <f>hyperlink("http://dspace.library.uu.nl/handle/1874/310337","Kantonnaal en Stedelijk Museum te Wijk bij Duurstede geopend L C J M Rouppe van der Voort 21-26 1975")</f>
        <v>0</v>
      </c>
    </row>
    <row r="6423" spans="2:4">
      <c r="B6423">
        <v>59</v>
      </c>
      <c r="C6423" s="1">
        <f>hyperlink("https://hetutrechtsarchief.nl/collectie/6451AF39756B5277A0FEC6A859F563A0","Nogmaals het seminarie te Soest G J M Derks 1-14 2006")</f>
        <v>0</v>
      </c>
      <c r="D6423" s="1">
        <f>hyperlink("http://dspace.library.uu.nl/handle/1874/310338","Voormalige Rijnarmen te Zeist H J M Thiadens 18-19 1974")</f>
        <v>0</v>
      </c>
    </row>
    <row r="6424" spans="2:4">
      <c r="B6424">
        <v>56</v>
      </c>
      <c r="C6424" s="1">
        <f>hyperlink("https://hetutrechtsarchief.nl/collectie/00C20ABD803359728C88AC61F7D7DCEF","De voormalige gemeente Kockengen B Barelds 116-122 1999")</f>
        <v>0</v>
      </c>
      <c r="D6424" s="1">
        <f>hyperlink("http://dspace.library.uu.nl/handle/1874/310339","Voormalige Rijnarmen te Zeist D R Klootwijk 1-18 22 1975")</f>
        <v>0</v>
      </c>
    </row>
    <row r="6425" spans="2:4">
      <c r="B6425">
        <v>58</v>
      </c>
      <c r="C6425" s="1">
        <f>hyperlink("https://hetutrechtsarchief.nl/collectie/945A869E54CE5846B89B952CEF65F0F3","Nogmaals Utrechtse oorkonden in Holland J C Kort 173-174 1975")</f>
        <v>0</v>
      </c>
      <c r="D6425" s="1">
        <f>hyperlink("http://dspace.library.uu.nl/handle/1874/311115","Nogmaals Rijngrensverdediging in Romeinse tijd D R Klootwijk 1-19 1976")</f>
        <v>0</v>
      </c>
    </row>
    <row r="6426" spans="2:4">
      <c r="B6426">
        <v>61</v>
      </c>
      <c r="C6426" s="1">
        <f>hyperlink("https://hetutrechtsarchief.nl/collectie/B9B8A543738E5ED193269AE3200D0E09","Dierresten uit Romeinschen tijd L A W C Venmans 41-42 1936")</f>
        <v>0</v>
      </c>
      <c r="D6426" s="1">
        <f>hyperlink("http://dspace.library.uu.nl/handle/1874/311116","Rijngrensverdediging in Romeinse tijd H J M Thiadens 10-12 1976")</f>
        <v>0</v>
      </c>
    </row>
    <row r="6427" spans="2:4">
      <c r="B6427">
        <v>57</v>
      </c>
      <c r="C6427" s="1">
        <f>hyperlink("https://hetutrechtsarchief.nl/collectie/361B7C041337526D816ABB39C73561F3","De toekomst van de Utrechtse Heuvelrug en Vallei P A C Beelaerts van Blokland 41-45 1992")</f>
        <v>0</v>
      </c>
      <c r="D6427" s="1">
        <f>hyperlink("http://dspace.library.uu.nl/handle/1874/311117","De betekenis van de Utrechtse Heuvelrug en Veluwezoom bij de verdediging van de Rijngrens in de Romeinse tijd H J M Thiadens 45-46 1977")</f>
        <v>0</v>
      </c>
    </row>
    <row r="6428" spans="2:4">
      <c r="B6428">
        <v>51</v>
      </c>
      <c r="C6428" s="1">
        <f>hyperlink("https://hetutrechtsarchief.nl/collectie/84B8B512C49859FE8B02AC40E0D90F1D","Iets over den grafsteen van Adriaen de Wael van Vronesteyn E C M Prins 217-219 1931")</f>
        <v>0</v>
      </c>
      <c r="D6428" s="1">
        <f>hyperlink("http://dspace.library.uu.nl/handle/1874/311118","Over de namen Acht zaligheden de Twaalf Apostelen te Bunnik en t Vagevuur te Odijk H J M Thiadens 15-16 1977")</f>
        <v>0</v>
      </c>
    </row>
    <row r="6429" spans="2:4">
      <c r="B6429">
        <v>57</v>
      </c>
      <c r="C6429" s="1">
        <f>hyperlink("https://hetutrechtsarchief.nl/collectie/4699BBC4034D5B24B9014A872F393CF7","De poffertjes van de familie Van der Steen Joop van der Steen en Irma Gondrie 68-73 2013")</f>
        <v>0</v>
      </c>
      <c r="D6429" s="1">
        <f>hyperlink("http://dspace.library.uu.nl/handle/1874/311119","De grafkapel van de familie van Wijkerslooth van Weerdesteijn te Schalkwijk G Schipper-de Nie 1-28 1976")</f>
        <v>0</v>
      </c>
    </row>
    <row r="6430" spans="2:4">
      <c r="B6430">
        <v>57</v>
      </c>
      <c r="C6430" s="1">
        <f>hyperlink("https://hetutrechtsarchief.nl/collectie/94634304539F177AE0534701000A27EC","Uit de kunst De smalle en de brede weg s n 100-101 2019")</f>
        <v>0</v>
      </c>
      <c r="D6430" s="1">
        <f>hyperlink("http://dspace.library.uu.nl/handle/1874/311120","Uit de Godsdienstvriend ingezonden door G de Nie G de Nie 1 -11 1977")</f>
        <v>0</v>
      </c>
    </row>
    <row r="6431" spans="2:4">
      <c r="B6431">
        <v>57</v>
      </c>
      <c r="C6431" s="1">
        <f>hyperlink("https://hetutrechtsarchief.nl/collectie/F7EABA49F4BA54C18C5AC4E7C5C9B932","Steen- en Pannenbakkerijen langs de Vecht F H Landzaat 13-24 ill 1986")</f>
        <v>0</v>
      </c>
      <c r="D6431" s="1">
        <f>hyperlink("http://dspace.library.uu.nl/handle/1874/311121","Een bedevaartpenning gevonden te Schalkwijk F H Landzaat 30-32 1977")</f>
        <v>0</v>
      </c>
    </row>
    <row r="6432" spans="2:4">
      <c r="B6432">
        <v>53</v>
      </c>
      <c r="C6432" s="1">
        <f>hyperlink("https://hetutrechtsarchief.nl/collectie/DC8288A462BE58B9880DDE1508881E83","Het Jaar van de Boerderij Paul Vesters 14- 16 2003")</f>
        <v>0</v>
      </c>
      <c r="D6432" s="1">
        <f>hyperlink("http://dspace.library.uu.nl/handle/1874/311122","Het praalgraf de Leeuw in Schalkwijk A Pastoors 1-6 1977")</f>
        <v>0</v>
      </c>
    </row>
    <row r="6433" spans="2:4">
      <c r="B6433">
        <v>59</v>
      </c>
      <c r="C6433" s="1">
        <f>hyperlink("https://hetutrechtsarchief.nl/collectie/9141CC53B29226B7E0534701000AF890","Iets over de geschiedenis van Huis te Veen en omgeving Louis van den Brink 6-17 2002")</f>
        <v>0</v>
      </c>
      <c r="D6433" s="1">
        <f>hyperlink("http://dspace.library.uu.nl/handle/1874/311123","Grepen uit de geschiedenis van terrein en omgeving van het Lyceum Schoonoord D R Klootwijk 1977")</f>
        <v>0</v>
      </c>
    </row>
    <row r="6434" spans="2:4">
      <c r="B6434">
        <v>59</v>
      </c>
      <c r="C6434" s="1">
        <f>hyperlink("https://hetutrechtsarchief.nl/collectie/807E5875ED2E58089830D12C47B10402","De heuvel van de Oude Kerk te Zeist Jan Rinia 41-43 2014")</f>
        <v>0</v>
      </c>
      <c r="D6434" s="1">
        <f>hyperlink("http://dspace.library.uu.nl/handle/1874/311124","De oude kerk te Zeist D R Klootwijk 1-19 1977")</f>
        <v>0</v>
      </c>
    </row>
    <row r="6435" spans="2:4">
      <c r="B6435">
        <v>62</v>
      </c>
      <c r="C6435" s="1">
        <f>hyperlink("https://hetutrechtsarchief.nl/collectie/9A35831F5E975CCE9864457E66A9A300","Opgravingen te Wijk bij Duurstede 59-60 1968")</f>
        <v>0</v>
      </c>
      <c r="D6435" s="1">
        <f>hyperlink("http://dspace.library.uu.nl/handle/1874/311284","Kantonnaal en Stedelijk Museum te Wijk bij Duurstede 15-16 1979")</f>
        <v>0</v>
      </c>
    </row>
    <row r="6436" spans="2:4">
      <c r="B6436">
        <v>55</v>
      </c>
      <c r="C6436" s="1">
        <f>hyperlink("https://hetutrechtsarchief.nl/collectie/BF80753B3AB857BCA51FE5DAB8A9939C","Vervolging van de Remonstranten in land en stad van Utrecht 1619 enz 322-335 1870")</f>
        <v>0</v>
      </c>
      <c r="D6436" s="1">
        <f>hyperlink("http://dspace.library.uu.nl/handle/1874/311285","Toen en nu de Kroonbrug in Tull en t Waal Redactie 22-23 1980")</f>
        <v>0</v>
      </c>
    </row>
    <row r="6437" spans="2:4">
      <c r="B6437">
        <v>65</v>
      </c>
      <c r="C6437" s="1">
        <f>hyperlink("https://hetutrechtsarchief.nl/collectie/D142B83430D651B2989EF295BFF97E1F","Uit de geschiedenis van de Utrechtse Domkerk A Graafhuis 1-16 ill 1985")</f>
        <v>0</v>
      </c>
      <c r="D6437" s="1">
        <f>hyperlink("http://dspace.library.uu.nl/handle/1874/311286","Schalkwijk de geschiedenis van een Stichts dorp G de Nie 9-16 1980")</f>
        <v>0</v>
      </c>
    </row>
    <row r="6438" spans="2:4">
      <c r="B6438">
        <v>54</v>
      </c>
      <c r="C6438" s="1">
        <f>hyperlink("https://hetutrechtsarchief.nl/collectie/ABDD4AE0FF19593B9B51386EA2E0FAB9","In vogelvlucht langs ruim honderd en veertig jaar katholiek onderwijs in Kockengen T Sterk 96 2015")</f>
        <v>0</v>
      </c>
      <c r="D6438" s="1">
        <f>hyperlink("http://dspace.library.uu.nl/handle/1874/311287","Baron van Wijkerslooth en het katholieke onderwijs G de Nie 5-26 1978")</f>
        <v>0</v>
      </c>
    </row>
    <row r="6439" spans="2:4">
      <c r="B6439">
        <v>51</v>
      </c>
      <c r="C6439" s="1">
        <f>hyperlink("https://hetutrechtsarchief.nl/collectie/1464F7C9E6AA52D4A4D71D4637AFAAFB","De keuze van Michel Sijnesael conservator Gemeentemuseum Het Rondeel 85 ill 1996")</f>
        <v>0</v>
      </c>
      <c r="D6439" s="1">
        <f>hyperlink("http://dspace.library.uu.nl/handle/1874/311288","De heer van Schalkwijk als Procurator der overzeese missie 1823-1851 G de Nie 9-30 1979")</f>
        <v>0</v>
      </c>
    </row>
    <row r="6440" spans="2:4">
      <c r="B6440">
        <v>54</v>
      </c>
      <c r="C6440" s="1">
        <f>hyperlink("https://hetutrechtsarchief.nl/collectie/8358FB565D4B5394863513B7AE91C1E0","Restaureren omstreden vak - K 25-26 ill 1970")</f>
        <v>0</v>
      </c>
      <c r="D6440" s="1">
        <f>hyperlink("http://dspace.library.uu.nl/handle/1874/311289","Dolreberchs hofstede D R Klootwijk 25-28 32 1978")</f>
        <v>0</v>
      </c>
    </row>
    <row r="6441" spans="2:4">
      <c r="B6441">
        <v>62</v>
      </c>
      <c r="C6441" s="1">
        <f>hyperlink("https://hetutrechtsarchief.nl/collectie/C210B0E0BABC5889BB1516A5F468B593","De Bilt toen en nu Fred Meijer 20-21 2017")</f>
        <v>0</v>
      </c>
      <c r="D6441" s="1">
        <f>hyperlink("http://dspace.library.uu.nl/handle/1874/311290","Bunnik oud en nieuw Redaktie 20-21 1979")</f>
        <v>0</v>
      </c>
    </row>
    <row r="6442" spans="2:4">
      <c r="B6442">
        <v>62</v>
      </c>
      <c r="C6442" s="1">
        <f>hyperlink("https://hetutrechtsarchief.nl/collectie/79A9AB94D9C65DC7AFC75618600946CD","Het topje van de ijsberg 16-18 1985")</f>
        <v>0</v>
      </c>
      <c r="D6442" s="1">
        <f>hyperlink("http://dspace.library.uu.nl/handle/1874/311291","Het klopje van graf nummer 46 7 1979")</f>
        <v>0</v>
      </c>
    </row>
    <row r="6443" spans="2:4">
      <c r="B6443">
        <v>62</v>
      </c>
      <c r="C6443" s="1">
        <f>hyperlink("https://hetutrechtsarchief.nl/collectie/7DD17B6D74765C5B8D7BF87E652251CE","Een Romeinse scherf met inscriptie in Werkhoven Roderick Geerts 58-59 2017")</f>
        <v>0</v>
      </c>
      <c r="D6443" s="1">
        <f>hyperlink("http://dspace.library.uu.nl/handle/1874/311292","Een romeinse kruikscherf met een applicatie L M J de Keijzer 3-5 1979")</f>
        <v>0</v>
      </c>
    </row>
    <row r="6444" spans="2:4">
      <c r="B6444">
        <v>54</v>
      </c>
      <c r="C6444" s="1">
        <f>hyperlink("https://hetutrechtsarchief.nl/collectie/9A66AB800E7F549C8CD9105D5E668309","Nieuwe steden in de Stichten over de stedenbouw van Vollenhove Hardenberg en Bunschoten Reinout Rutte 14-24 krt 1998")</f>
        <v>0</v>
      </c>
      <c r="D6444" s="1">
        <f>hyperlink("http://dspace.library.uu.nl/handle/1874/311293","Aantekeningen over de bouw van katholieke kerken te Bunnik F Maarschalkerweerd 8-14 1979")</f>
        <v>0</v>
      </c>
    </row>
    <row r="6445" spans="2:4">
      <c r="B6445">
        <v>55</v>
      </c>
      <c r="C6445" s="1">
        <f>hyperlink("https://hetutrechtsarchief.nl/collectie/A6FDE52998995AFDB1D4E4CDA1754AE3","Smederijen aan De Meern F J Scheepens 5-13 1998")</f>
        <v>0</v>
      </c>
      <c r="D6445" s="1">
        <f>hyperlink("http://dspace.library.uu.nl/handle/1874/311294","De vuilnishoop van Ds Elsner F Maarschalkerweerd 34-36 1980")</f>
        <v>0</v>
      </c>
    </row>
    <row r="6446" spans="2:4">
      <c r="B6446">
        <v>59</v>
      </c>
      <c r="C6446" s="1">
        <f>hyperlink("https://hetutrechtsarchief.nl/collectie/64E81F92EA1E58A3BD8789B4D11EFBAE","De historische herkomst van het stadsgroen in Nederland Maurits van Rooijen 18-24 ill 1993")</f>
        <v>0</v>
      </c>
      <c r="D6446" s="1">
        <f>hyperlink("http://dspace.library.uu.nl/handle/1874/311295","De historische geografie van de dorpsgebieden van Cothen Nederlangbroek en Doorn J Kroes 1-32 1980")</f>
        <v>0</v>
      </c>
    </row>
    <row r="6447" spans="2:4">
      <c r="B6447">
        <v>56</v>
      </c>
      <c r="C6447" s="1">
        <f>hyperlink("https://hetutrechtsarchief.nl/collectie/B97E81E86BAA521F8B64CFE694FA7938","De Oude en de Nieuwe Kerk te Amsterdam 42-43 1968")</f>
        <v>0</v>
      </c>
      <c r="D6447" s="1">
        <f>hyperlink("http://dspace.library.uu.nl/handle/1874/311296","Houten in de 16e eeuw een kleine kroniek scandaleuze M S F Kemp 4-43 1978")</f>
        <v>0</v>
      </c>
    </row>
    <row r="6448" spans="2:4">
      <c r="B6448">
        <v>56</v>
      </c>
      <c r="C6448" s="1">
        <f>hyperlink("https://hetutrechtsarchief.nl/collectie/8E04D4B9F8A65AEE8B928951950EB9F5","In De Bilt kreeg de keizer geen natte voeten J W H Meijer 149-151 plgr 1992")</f>
        <v>0</v>
      </c>
      <c r="D6448" s="1">
        <f>hyperlink("http://dspace.library.uu.nl/handle/1874/311298","De R K kerkgebouwen te Houten na 1798 L M J de Keijzer 1-15 1980")</f>
        <v>0</v>
      </c>
    </row>
    <row r="6449" spans="2:4">
      <c r="B6449">
        <v>57</v>
      </c>
      <c r="C6449" s="1">
        <f>hyperlink("https://hetutrechtsarchief.nl/collectie/5F1F92742C02556397CFD37CEEE52050","Romeinse vondsten in de gemeente Houten A B Haefkens 43-44 1957")</f>
        <v>0</v>
      </c>
      <c r="D6449" s="1">
        <f>hyperlink("http://dspace.library.uu.nl/handle/1874/311299","Inrijhekken in de gemeente Houten L M J de Wttewaal O Keijzer 1-3 1980")</f>
        <v>0</v>
      </c>
    </row>
    <row r="6450" spans="2:4">
      <c r="B6450">
        <v>52</v>
      </c>
      <c r="C6450" s="1">
        <f>hyperlink("https://hetutrechtsarchief.nl/collectie/3BAB720CB8DE5A43B2ED3BBD6141EDF5","Het transeptorgel in de Dom M A Vente 22-23 ill 1989")</f>
        <v>0</v>
      </c>
      <c r="D6450" s="1">
        <f>hyperlink("http://dspace.library.uu.nl/handle/1874/311300","Hindersteyn in 1856 E Tromp H M J Geytenbeek 16-21 1980")</f>
        <v>0</v>
      </c>
    </row>
    <row r="6451" spans="2:4">
      <c r="B6451">
        <v>60</v>
      </c>
      <c r="C6451" s="1">
        <f>hyperlink("https://hetutrechtsarchief.nl/collectie/87A198A9561156398731613F99142215","De Utrechtsche studenten in 1830 - L v W 77-78 1930")</f>
        <v>0</v>
      </c>
      <c r="D6451" s="1">
        <f>hyperlink("http://dspace.library.uu.nl/handle/1874/311301","De Utrechtse gemeenten in 1815 in vraag en antwoord Schalkwijk 17-20 1980")</f>
        <v>0</v>
      </c>
    </row>
    <row r="6452" spans="2:4">
      <c r="B6452">
        <v>56</v>
      </c>
      <c r="C6452" s="1">
        <f>hyperlink("https://hetutrechtsarchief.nl/collectie/807E5875ED2E58089830D12C47B10402","De heuvel van de Oude Kerk te Zeist Jan Rinia 41-43 2014")</f>
        <v>0</v>
      </c>
      <c r="D6452" s="1">
        <f>hyperlink("http://dspace.library.uu.nl/handle/1874/311302","De oude kerkweg tussen Zeist en Bunnik P Kuijper 1-24 1978")</f>
        <v>0</v>
      </c>
    </row>
    <row r="6453" spans="2:4">
      <c r="B6453">
        <v>53</v>
      </c>
      <c r="C6453" s="1">
        <f>hyperlink("https://hetutrechtsarchief.nl/collectie/F469E83CF70B5A9F9CF30263B6E14E0E","Een interessant weggetje in Bunnik D R Klootwijk 65-67 2001")</f>
        <v>0</v>
      </c>
      <c r="D6453" s="1">
        <f>hyperlink("http://dspace.library.uu.nl/handle/1874/311303","De oude kerkweg tussen Zeist en Bunnik antwoord aan ds P Kuijper D R Klootwijk 14-19 1979")</f>
        <v>0</v>
      </c>
    </row>
    <row r="6454" spans="2:4">
      <c r="B6454">
        <v>52</v>
      </c>
      <c r="C6454" s="1">
        <f>hyperlink("https://hetutrechtsarchief.nl/collectie/7FC05E67706A5E04A4F3696EFFDD07EA","De Broedergemeente te Zeist korte bouwgeschiedenis van slot en pleinen H Janse 85-86 1974")</f>
        <v>0</v>
      </c>
      <c r="D6454" s="1">
        <f>hyperlink("http://dspace.library.uu.nl/handle/1874/311304","De toponiemen Seisteroever en Zeisterscore of Zeisterschoer de Kroost te Zeist en de Preeckstoel H J M Thiadens 22-27 1979")</f>
        <v>0</v>
      </c>
    </row>
    <row r="6455" spans="2:4">
      <c r="B6455">
        <v>65</v>
      </c>
      <c r="C6455" s="1">
        <f>hyperlink("https://hetutrechtsarchief.nl/collectie/32244E09CA475E8C8B32190A59C0FBFA","Geert Groote en de Domtoren van Utrecht A E Rientjes 51-59 1932")</f>
        <v>0</v>
      </c>
      <c r="D6455" s="1">
        <f>hyperlink("http://dspace.library.uu.nl/handle/1874/311330","Het noodherstelplan voor de toren van Houten J Th Rijntjes 1-5 1984")</f>
        <v>0</v>
      </c>
    </row>
    <row r="6456" spans="2:4">
      <c r="B6456">
        <v>63</v>
      </c>
      <c r="C6456" s="1">
        <f>hyperlink("https://hetutrechtsarchief.nl/collectie/1F92971D30B45CAD8FCF92708C816349","De schatten van het gemeentehuis 3 Joop Piekema 2-5 ill 1998")</f>
        <v>0</v>
      </c>
      <c r="D6456" s="1">
        <f>hyperlink("http://dspace.library.uu.nl/handle/1874/311332","Toen en nu het gemeentehuis te Houten 27-28 1981")</f>
        <v>0</v>
      </c>
    </row>
    <row r="6457" spans="2:4">
      <c r="B6457">
        <v>60</v>
      </c>
      <c r="C6457" s="1">
        <f>hyperlink("https://hetutrechtsarchief.nl/collectie/85E270FBF3F657AD8BD5BDC00D958C2A","De Bilt toen en nu 70-71 2013")</f>
        <v>0</v>
      </c>
      <c r="D6457" s="1">
        <f>hyperlink("http://dspace.library.uu.nl/handle/1874/311333","Schalkwijk toen en nu 7 11-12 1981")</f>
        <v>0</v>
      </c>
    </row>
    <row r="6458" spans="2:4">
      <c r="B6458">
        <v>55</v>
      </c>
      <c r="C6458" s="1">
        <f>hyperlink("https://hetutrechtsarchief.nl/collectie/B4484BAB171C5A99996A8D19DD43C11E","J F van Someren 1 april 1889-30 april 1922 W A C van Strien 131-136 1922")</f>
        <v>0</v>
      </c>
      <c r="D6458" s="1">
        <f>hyperlink("http://dspace.library.uu.nl/handle/1874/311334","G J C A Smilda 1907-1982 G de Nie 15-16 1982")</f>
        <v>0</v>
      </c>
    </row>
    <row r="6459" spans="2:4">
      <c r="B6459">
        <v>54</v>
      </c>
      <c r="C6459" s="1">
        <f>hyperlink("https://hetutrechtsarchief.nl/collectie/E2E017F2655A52A89CB1C4AC43B10D19","Beschermde stads- en dorpsgezichten - J D M B 94-95 1968")</f>
        <v>0</v>
      </c>
      <c r="D6459" s="1">
        <f>hyperlink("http://dspace.library.uu.nl/handle/1874/311335","Tussen Rijn en Lek in grootmoeders tijd tien dorpsgezichten 5-14 1982")</f>
        <v>0</v>
      </c>
    </row>
    <row r="6460" spans="2:4">
      <c r="B6460">
        <v>64</v>
      </c>
      <c r="C6460" s="1">
        <f>hyperlink("https://hetutrechtsarchief.nl/collectie/F21EF16BBCAC54CD84702A3761A4AFBA","Testament van een regent A Graafhuis 7-8 1973")</f>
        <v>0</v>
      </c>
      <c r="D6460" s="1">
        <f>hyperlink("http://dspace.library.uu.nl/handle/1874/311336","een Tweedekker A Graafhuis 1-10 1983")</f>
        <v>0</v>
      </c>
    </row>
    <row r="6461" spans="2:4">
      <c r="B6461">
        <v>99</v>
      </c>
      <c r="C6461" s="1">
        <f>hyperlink("https://hetutrechtsarchief.nl/collectie/ED76F8C0066A59F8912842E6B5C69C2B","Boekbespreking C Dekker Het Kromme Rijngebied in de Middeleeuwen P C B Maarschalkerweerd 11 - 23 1983")</f>
        <v>0</v>
      </c>
      <c r="D6461" s="1">
        <f>hyperlink("http://dspace.library.uu.nl/handle/1874/311337","Boekbespreking C Dekker Het Kromme Rijngebied in de Middeleeuwen P C B Maarschalkerweerd 11-23 1983")</f>
        <v>0</v>
      </c>
    </row>
    <row r="6462" spans="2:4">
      <c r="B6462">
        <v>66</v>
      </c>
      <c r="C6462" s="1">
        <f>hyperlink("https://hetutrechtsarchief.nl/collectie/A1AED1174C1D54DCBDBA7B63C2E82679","Een terra sigillata komfragment van Bassus en Coelus uit Houten C A Kalee 47 ill 1966")</f>
        <v>0</v>
      </c>
      <c r="D6462" s="1">
        <f>hyperlink("http://dspace.library.uu.nl/handle/1874/311338","Een terra sigillata-scherf met een terechtstelling uit Vechten C A Kalee 1-6 1982")</f>
        <v>0</v>
      </c>
    </row>
    <row r="6463" spans="2:4">
      <c r="B6463">
        <v>58</v>
      </c>
      <c r="C6463" s="1">
        <f>hyperlink("https://hetutrechtsarchief.nl/collectie/E195EFFC581C579C86EC2F2DA336F79F","De theekoepel aan de Vaartse Rijn 6-7 ill 1989")</f>
        <v>0</v>
      </c>
      <c r="D6463" s="1">
        <f>hyperlink("http://dspace.library.uu.nl/handle/1874/311339","Cothen dorp aan de Kromme Rijn Redaktie 26-27 1981")</f>
        <v>0</v>
      </c>
    </row>
    <row r="6464" spans="2:4">
      <c r="B6464">
        <v>60</v>
      </c>
      <c r="C6464" s="1">
        <f>hyperlink("https://hetutrechtsarchief.nl/collectie/478D1D825CFC599594B1D7B954A79206","De navel van Holland Woerden Ronald de Graaf 57-63 2011")</f>
        <v>0</v>
      </c>
      <c r="D6464" s="1">
        <f>hyperlink("http://dspace.library.uu.nl/handle/1874/311340","De kapel van Driebergen L P W de Graaff 1-19 1983")</f>
        <v>0</v>
      </c>
    </row>
    <row r="6465" spans="2:4">
      <c r="B6465">
        <v>57</v>
      </c>
      <c r="C6465" s="1">
        <f>hyperlink("https://hetutrechtsarchief.nl/collectie/FE687DD7028A526AB12A812585549B3C","Nadere vondst van de romeinse bewoning in Houten A B Haefkens 1 1958")</f>
        <v>0</v>
      </c>
      <c r="D6465" s="1">
        <f>hyperlink("http://dspace.library.uu.nl/handle/1874/311341","Dierenresten van een inheems-romeinse nederzetting te Houten A P van der Mensch P J A van Houwen 11-17 1981")</f>
        <v>0</v>
      </c>
    </row>
    <row r="6466" spans="2:4">
      <c r="B6466">
        <v>58</v>
      </c>
      <c r="C6466" s="1">
        <f>hyperlink("https://hetutrechtsarchief.nl/collectie/65A0FF3B0CF2E5FAE0534701000A55FF","Gemeentehuizen in Nieuwegein een beknopt overzicht van gerechts- en gemeentehuizen Ren e Blom 27-29 2018")</f>
        <v>0</v>
      </c>
      <c r="D6466" s="1">
        <f>hyperlink("http://dspace.library.uu.nl/handle/1874/311342","Gemeentehuizen van Houten in verleden en heden Gemeente Houten Afdeling Voorlichting 7-18 1982")</f>
        <v>0</v>
      </c>
    </row>
    <row r="6467" spans="2:4">
      <c r="B6467">
        <v>52</v>
      </c>
      <c r="C6467" s="1">
        <f>hyperlink("https://hetutrechtsarchief.nl/collectie/AC9F2D76160F5267935C3514F3A89618","Herinneringen van een dorpsonderwijzer brieven van meester P van Dijk over Hoogland in 1920-1923 Liesbeth van Mispelaar 1-3 1998")</f>
        <v>0</v>
      </c>
      <c r="D6467" s="1">
        <f>hyperlink("http://dspace.library.uu.nl/handle/1874/311343","Resten van een inheems-romeinse bewoning bij kasteel Heemstede A P van der Houwen 8-10 jg 17 1983 nr 2 p 24-36 1981-1983")</f>
        <v>0</v>
      </c>
    </row>
    <row r="6468" spans="2:4">
      <c r="B6468">
        <v>62</v>
      </c>
      <c r="C6468" s="1">
        <f>hyperlink("https://hetutrechtsarchief.nl/collectie/0C4062400DBC5AE1AB8B90DFC278DA4A","Historie van het Openbaar Onderwijs in Eemnes deel 2 Jaap Groeneveld 169-177 2000")</f>
        <v>0</v>
      </c>
      <c r="D6468" s="1">
        <f>hyperlink("http://dspace.library.uu.nl/handle/1874/311344","De historie van het katholiek onderwijs in Houten L M J de Keijzer 1-12 1983")</f>
        <v>0</v>
      </c>
    </row>
    <row r="6469" spans="2:4">
      <c r="B6469">
        <v>60</v>
      </c>
      <c r="C6469" s="1">
        <f>hyperlink("https://hetutrechtsarchief.nl/collectie/F0C444D7D95957B7823C8D85D2374B14","Olie op de golven O Dekkers 144-146 2008")</f>
        <v>0</v>
      </c>
      <c r="D6469" s="1">
        <f>hyperlink("http://dspace.library.uu.nl/handle/1874/311345","Terugblik op het begin C Dekker 1-4 1982")</f>
        <v>0</v>
      </c>
    </row>
    <row r="6470" spans="2:4">
      <c r="B6470">
        <v>60</v>
      </c>
      <c r="C6470" s="1">
        <f>hyperlink("https://hetutrechtsarchief.nl/collectie/B6A2A62262C95498B694E76F0A0E80A7","De ridderhofstad Den Engh te Vleuten E Muller 121-124 ill krt 1978")</f>
        <v>0</v>
      </c>
      <c r="D6470" s="1">
        <f>hyperlink("http://dspace.library.uu.nl/handle/1874/311346","De ridderhofstad Hindersteyn E A Geijtenbeek 19-36 nr 3 p 1-14 1982")</f>
        <v>0</v>
      </c>
    </row>
    <row r="6471" spans="2:4">
      <c r="B6471">
        <v>62</v>
      </c>
      <c r="C6471" s="1">
        <f>hyperlink("https://hetutrechtsarchief.nl/collectie/924B5D3F4A165E15B4551EEB893FB968","De verdeling van Gooise gemene gronden in de eerste helft van de 19e eeuw 1836-1843 Anton Kos 91-100 2005")</f>
        <v>0</v>
      </c>
      <c r="D6471" s="1">
        <f>hyperlink("http://dspace.library.uu.nl/handle/1874/311347","De inwoners van Odijk en Werkhoven in de eerste helft van de 19e eeuw Henny Ramakers Yvonne Lammers 18-32 1982")</f>
        <v>0</v>
      </c>
    </row>
    <row r="6472" spans="2:4">
      <c r="B6472">
        <v>61</v>
      </c>
      <c r="C6472" s="1">
        <f>hyperlink("https://hetutrechtsarchief.nl/collectie/262B6DE98B39527A827248CEF91DB1F6","Het huis Clarenburch te Utrecht A J van de Ven 32-61 ill 1952")</f>
        <v>0</v>
      </c>
      <c r="D6472" s="1">
        <f>hyperlink("http://dspace.library.uu.nl/handle/1874/311349","Het huis Rustenburg te Schalkwijk A J van Wijk 18-25 1981")</f>
        <v>0</v>
      </c>
    </row>
    <row r="6473" spans="2:4">
      <c r="B6473">
        <v>63</v>
      </c>
      <c r="C6473" s="1">
        <f>hyperlink("https://hetutrechtsarchief.nl/collectie/E10B716A7E5A598A92AF55C9DE08E88D","Restauratie van de Rode Boek Bert Bakker 27-29 1984")</f>
        <v>0</v>
      </c>
      <c r="D6473" s="1">
        <f>hyperlink("http://dspace.library.uu.nl/handle/1874/311350","De restauratie van de R K Kerk te Schalkwijk P M Heijmink Liesert 20-22 1983")</f>
        <v>0</v>
      </c>
    </row>
    <row r="6474" spans="2:4">
      <c r="B6474">
        <v>56</v>
      </c>
      <c r="C6474" s="1">
        <f>hyperlink("https://hetutrechtsarchief.nl/collectie/FE7D91B74AF9534AA27247D097F2015A","Twee gedateerde dakpannen uit 1875 en 1884 F H Landzaat 103-104 ill 1977")</f>
        <v>0</v>
      </c>
      <c r="D6474" s="1">
        <f>hyperlink("http://dspace.library.uu.nl/handle/1874/311351","De Oegstgeesterdakpan en de Antonia-Hoeve te Schalkwijk F H Landzaat 13-18 1983")</f>
        <v>0</v>
      </c>
    </row>
    <row r="6475" spans="2:4">
      <c r="B6475">
        <v>55</v>
      </c>
      <c r="C6475" s="1">
        <f>hyperlink("https://hetutrechtsarchief.nl/collectie/4E04A6A0B09257CA956DE3C478896A52","Het landgoed Pijnenburg in gevaar 17-18 1968")</f>
        <v>0</v>
      </c>
      <c r="D6475" s="1">
        <f>hyperlink("http://dspace.library.uu.nl/handle/1874/311352","Het boerenbakhuis A Miltenburg-Uijttewaal 1-5 1983")</f>
        <v>0</v>
      </c>
    </row>
    <row r="6476" spans="2:4">
      <c r="B6476">
        <v>57</v>
      </c>
      <c r="C6476" s="1">
        <f>hyperlink("https://hetutrechtsarchief.nl/collectie/83347B08D42F5502B3D3FEB6BB3777C6","Kaarten topografische namen en GIS in het Kromme Rijngebied Ad van Ooststroom 16-24 2017")</f>
        <v>0</v>
      </c>
      <c r="D6476" s="1">
        <f>hyperlink("http://dspace.library.uu.nl/handle/1874/311353","Verslag van een kadastraal en historisch onderzoek naar pan- en steenovens in het Kromme Rijngebied L H Landzaat 13-21 1981")</f>
        <v>0</v>
      </c>
    </row>
    <row r="6477" spans="2:4">
      <c r="B6477">
        <v>54</v>
      </c>
      <c r="C6477" s="1">
        <f>hyperlink("https://hetutrechtsarchief.nl/collectie/5DA72CD79C9C53AEBA4CAFB81AE84D47","Rekening van de inkomsten van de Ridderlijke Duitse Orde te Utrecht 1379-1380 Marcel S F Kemp 277-292 1998")</f>
        <v>0</v>
      </c>
      <c r="D6477" s="1">
        <f>hyperlink("http://dspace.library.uu.nl/handle/1874/311354","De Leemkolk eigenaren en gebruikers van zeven hoeven land onder Werkhoven 1350-1800 M S F Kemp 15-72 1982")</f>
        <v>0</v>
      </c>
    </row>
    <row r="6478" spans="2:4">
      <c r="B6478">
        <v>58</v>
      </c>
      <c r="C6478" s="1">
        <f>hyperlink("https://hetutrechtsarchief.nl/collectie/F0B8AB2E5A56587FB021593B9B2F731F","Het museum in de kerk 1-21 1984")</f>
        <v>0</v>
      </c>
      <c r="D6478" s="1">
        <f>hyperlink("http://dspace.library.uu.nl/handle/1874/311356","De dam bij Wijk C Dekker 1-26 1981")</f>
        <v>0</v>
      </c>
    </row>
    <row r="6479" spans="2:4">
      <c r="B6479">
        <v>52</v>
      </c>
      <c r="C6479" s="1">
        <f>hyperlink("https://hetutrechtsarchief.nl/collectie/DD95AFB3B66D5685BD0DCEA4CF91E3C1","Gerrit van t Net Centraal Museum Utrecht tekst van Libuse Brozek 1-16 1979")</f>
        <v>0</v>
      </c>
      <c r="D6479" s="1">
        <f>hyperlink("http://dspace.library.uu.nl/handle/1874/311357","Boerderij Waalseweg 53 te Tull en t Waal gem Houten H F L Mansvelt Beck 6-25 1984")</f>
        <v>0</v>
      </c>
    </row>
    <row r="6480" spans="2:4">
      <c r="B6480">
        <v>63</v>
      </c>
      <c r="C6480" s="1">
        <f>hyperlink("https://hetutrechtsarchief.nl/collectie/BDCBFB33D1BD528AAA8CB72011FD236F","De restauratie van het interieur van de Domkerk T van Hoogevest 1-22 foto s 1986")</f>
        <v>0</v>
      </c>
      <c r="D6480" s="1">
        <f>hyperlink("http://dspace.library.uu.nl/handle/1874/311437","De restauratie van het Witte Kerkje N H te Odijk C Vollbehr 26-36 1984")</f>
        <v>0</v>
      </c>
    </row>
    <row r="6481" spans="2:4">
      <c r="B6481">
        <v>70</v>
      </c>
      <c r="C6481" s="1">
        <f>hyperlink("https://hetutrechtsarchief.nl/collectie/B77FE7D13A9350FFB92306BFB3C12752","Ir Daan Jansen overleden 50 1949")</f>
        <v>0</v>
      </c>
      <c r="D6481" s="1">
        <f>hyperlink("http://dspace.library.uu.nl/handle/1874/311438","Heden en verleden 25 1984")</f>
        <v>0</v>
      </c>
    </row>
    <row r="6482" spans="2:4">
      <c r="B6482">
        <v>98</v>
      </c>
      <c r="C6482" s="1">
        <f>hyperlink("https://hetutrechtsarchief.nl/collectie/68A3A27324045FEBA727AAE01501FEE3","Het Kromme Rijngebied in de Middeleeuwen door Dr C Dekker enige vragen en opmerkingen D R Klootwijk 10-24 ill 1984")</f>
        <v>0</v>
      </c>
      <c r="D6482" s="1">
        <f>hyperlink("http://dspace.library.uu.nl/handle/1874/311439","Het Kromme Rijngebied in de middeleeuwen door Dr C Dekker enige vragen en opmerkingen D R Klootwijk 10-24 1984")</f>
        <v>0</v>
      </c>
    </row>
    <row r="6483" spans="2:4">
      <c r="B6483">
        <v>56</v>
      </c>
      <c r="C6483" s="1">
        <f>hyperlink("https://hetutrechtsarchief.nl/collectie/BF95EB25073650279CB998EAED3675A9","Een zoektocht naar de historie van villa Euxina Annemieke Geerts 13-22 2009")</f>
        <v>0</v>
      </c>
      <c r="D6483" s="1">
        <f>hyperlink("http://dspace.library.uu.nl/handle/1874/311440","Graven naar de historie van Overdam A van Keyzer L M J de Schip 1-9 1984")</f>
        <v>0</v>
      </c>
    </row>
    <row r="6484" spans="2:4">
      <c r="B6484">
        <v>66</v>
      </c>
      <c r="C6484" s="1">
        <f>hyperlink("https://hetutrechtsarchief.nl/collectie/3CE60435421057D08CC105C0AD022CE5","Twee bijzondere hangers uit het Kromme-Rijngebied Jan van Doesburg 1-5 1998")</f>
        <v>0</v>
      </c>
      <c r="D6484" s="1">
        <f>hyperlink("http://dspace.library.uu.nl/handle/1874/312253","Vuurstenen artefacten uit het Krommerijngebied Anton van Schip 21-24 1984")</f>
        <v>0</v>
      </c>
    </row>
    <row r="6485" spans="2:4">
      <c r="B6485">
        <v>58</v>
      </c>
      <c r="C6485" s="1">
        <f>hyperlink("https://hetutrechtsarchief.nl/collectie/A1A6891796405C0ABB54196D3E5F54A9","De familie Sangers Jan Schutte 14-17 2014")</f>
        <v>0</v>
      </c>
      <c r="D6485" s="1">
        <f>hyperlink("http://dspace.library.uu.nl/handle/1874/312254","De Loerikse molen R J Butterman 10-17 1984")</f>
        <v>0</v>
      </c>
    </row>
    <row r="6486" spans="2:4">
      <c r="B6486">
        <v>65</v>
      </c>
      <c r="C6486" s="1">
        <f>hyperlink("https://hetutrechtsarchief.nl/collectie/5EB8F57277F65D5CAFB951B9D555891D","Het einde van Eycks kruisweg Henk Stellingwerf 3 ill 1997")</f>
        <v>0</v>
      </c>
      <c r="D6486" s="1">
        <f>hyperlink("http://dspace.library.uu.nl/handle/1874/312255","Het einde van de Loerikse molen Henk Reinders 1-6 1984")</f>
        <v>0</v>
      </c>
    </row>
    <row r="6487" spans="2:4">
      <c r="B6487">
        <v>57</v>
      </c>
      <c r="C6487" s="1">
        <f>hyperlink("https://hetutrechtsarchief.nl/collectie/A31563BD91555C869F5F6006B89980C6","Romeinse vondsten in Houten A B Haefkens 76-78 1950")</f>
        <v>0</v>
      </c>
      <c r="D6487" s="1">
        <f>hyperlink("http://dspace.library.uu.nl/handle/1874/312256","Kromme Rijnse vrouwen Yvonne Ramakers 1-33 1985")</f>
        <v>0</v>
      </c>
    </row>
    <row r="6488" spans="2:4">
      <c r="B6488">
        <v>52</v>
      </c>
      <c r="C6488" s="1">
        <f>hyperlink("https://hetutrechtsarchief.nl/collectie/9257B9ACED2B2725E0534701000A1F1B","Lengte als graadmeter voor een gezonde jeugd Een korte studie gebaseerd op gegevens uit de eerste helft van de negentiende eeuw in Woerden Erik Beekink en Jan Kok 57-67 2019")</f>
        <v>0</v>
      </c>
      <c r="D6488" s="1">
        <f>hyperlink("http://dspace.library.uu.nl/handle/1874/312257","Lokale geschiedschrijving - een oud ambacht in een nieuw jasje gestoken het voorbeeld van Odijk en Werkhoven in de negentiende eeuw 1 Yvonne Duyvendak Maarten Ramakers 7-20 1984")</f>
        <v>0</v>
      </c>
    </row>
    <row r="6489" spans="2:4">
      <c r="B6489">
        <v>97</v>
      </c>
      <c r="C6489" s="1">
        <f>hyperlink("https://hetutrechtsarchief.nl/collectie/21AEF5E1628E58BAB046E3E6148DB523","Het inventariseren van gemeentearchieven R J Butterman 24-32 ill 1985")</f>
        <v>0</v>
      </c>
      <c r="D6489" s="1">
        <f>hyperlink("http://dspace.library.uu.nl/handle/1874/312258","Het inventariseren van gemeentearchieven R J Butterman 24-32 1985")</f>
        <v>0</v>
      </c>
    </row>
    <row r="6490" spans="2:4">
      <c r="B6490">
        <v>57</v>
      </c>
      <c r="C6490" s="1">
        <f>hyperlink("https://hetutrechtsarchief.nl/collectie/BBCC2FEF00FE5299B90EB9CFA27C79C2","Vleeschelijke lusten 3-11 ill 1998")</f>
        <v>0</v>
      </c>
      <c r="D6490" s="1">
        <f>hyperlink("http://dspace.library.uu.nl/handle/1874/312259","De Schalkwijkse Wetering P Kool 1-9 1984")</f>
        <v>0</v>
      </c>
    </row>
    <row r="6491" spans="2:4">
      <c r="B6491">
        <v>61</v>
      </c>
      <c r="C6491" s="1">
        <f>hyperlink("https://hetutrechtsarchief.nl/collectie/9933BB59B08D58D7BADBD90E394292DF","De oudheidkundige vondsten bij de restauratie van de Ned Herv Kerk te Kockengen C C van de Graft 45-46 1957")</f>
        <v>0</v>
      </c>
      <c r="D6491" s="1">
        <f>hyperlink("http://dspace.library.uu.nl/handle/1874/312260","Tegelfragmenten gevonden bij de restauratie van het Witte Kerkje N H te Odijk F H Landzaat 18-24 1984")</f>
        <v>0</v>
      </c>
    </row>
    <row r="6492" spans="2:4">
      <c r="B6492">
        <v>60</v>
      </c>
      <c r="C6492" s="1">
        <f>hyperlink("https://hetutrechtsarchief.nl/collectie/D63E2DDF6EE253C3B9EFEE131C63DA7D","Perebomen langs de Enghlaan in Vleuten J A Storm van Leeuwen 120-121 ill 1993")</f>
        <v>0</v>
      </c>
      <c r="D6492" s="1">
        <f>hyperlink("http://dspace.library.uu.nl/handle/1874/312261","Vondsten langs de Rondweg in Houten Bert van der Houwen 20-23 1985")</f>
        <v>0</v>
      </c>
    </row>
    <row r="6493" spans="2:4">
      <c r="B6493">
        <v>60</v>
      </c>
      <c r="C6493" s="1">
        <f>hyperlink("https://hetutrechtsarchief.nl/collectie/430215EBC1C75A318E623319F67EA9E1","Een Utrechtse bouwmeester van de St Victorkerk te Xanten C Catharina van de Graft 50-57 1957")</f>
        <v>0</v>
      </c>
      <c r="D6493" s="1">
        <f>hyperlink("http://dspace.library.uu.nl/handle/1874/312262","Alfred Tepe bouwmeester van de R K kerk te Houten L de Keyzer 1-3 1985")</f>
        <v>0</v>
      </c>
    </row>
    <row r="6494" spans="2:4">
      <c r="B6494">
        <v>59</v>
      </c>
      <c r="C6494" s="1">
        <f>hyperlink("https://hetutrechtsarchief.nl/collectie/F469E83CF70B5A9F9CF30263B6E14E0E","Een interessant weggetje in Bunnik D R Klootwijk 65-67 2001")</f>
        <v>0</v>
      </c>
      <c r="D6494" s="1">
        <f>hyperlink("http://dspace.library.uu.nl/handle/1874/312263","Nogmaals veldnamen in Bunnik D R Klootwijk 20-39 1985")</f>
        <v>0</v>
      </c>
    </row>
    <row r="6495" spans="2:4">
      <c r="B6495">
        <v>62</v>
      </c>
      <c r="C6495" s="1">
        <f>hyperlink("https://hetutrechtsarchief.nl/collectie/5E5B480CA3775586B9610D3389379BAB","Bij de honderdste geboortedag van Pieter Geyl 1887-1966 P van Hees 522-528 ill 1987")</f>
        <v>0</v>
      </c>
      <c r="D6495" s="1">
        <f>hyperlink("http://dspace.library.uu.nl/handle/1874/312264","Bij de honderdste geboortedag van Johan de Kruijff Henk Reinders 1-19 1985")</f>
        <v>0</v>
      </c>
    </row>
    <row r="6496" spans="2:4">
      <c r="B6496">
        <v>60</v>
      </c>
      <c r="C6496" s="1">
        <f>hyperlink("https://hetutrechtsarchief.nl/collectie/47761ED4A6FC58A394E870EC3AAF4B9B","Veldnamen P J Meertens 93-94 1954")</f>
        <v>0</v>
      </c>
      <c r="D6496" s="1">
        <f>hyperlink("http://dspace.library.uu.nl/handle/1874/312265","Veldnamen in Bunnik Henk Reinders 17-37 1985")</f>
        <v>0</v>
      </c>
    </row>
    <row r="6497" spans="2:4">
      <c r="B6497">
        <v>58</v>
      </c>
      <c r="C6497" s="1">
        <f>hyperlink("https://hetutrechtsarchief.nl/collectie/3DCE16F6204C5AABAB71C9365AC14BB7","De geschiedenis van het Huis de Geer en zijn bewoners - deel I Ben Remie 21-23 2015")</f>
        <v>0</v>
      </c>
      <c r="D6497" s="1">
        <f>hyperlink("http://dspace.library.uu.nl/handle/1874/312266","Boerderij Kortland 200 jaar geschiedenis van een tuinmanswoning en boerderij met zijn bewoners O J Wttewaall 4-16 1985")</f>
        <v>0</v>
      </c>
    </row>
    <row r="6498" spans="2:4">
      <c r="B6498">
        <v>54</v>
      </c>
      <c r="C6498" s="1">
        <f>hyperlink("https://hetutrechtsarchief.nl/collectie/763C8CFB80005C4F98C2509529715F8B","Het huis te Schalkwijk en zijn bezitters L J Abelmann 9-10 1953")</f>
        <v>0</v>
      </c>
      <c r="D6498" s="1">
        <f>hyperlink("http://dspace.library.uu.nl/handle/1874/312267","Caf De Zwaan te Schalkwijk H Landzaat F H Reinders 2-13 1985")</f>
        <v>0</v>
      </c>
    </row>
    <row r="6499" spans="2:4">
      <c r="B6499">
        <v>53</v>
      </c>
      <c r="C6499" s="1">
        <f>hyperlink("https://hetutrechtsarchief.nl/collectie/E9F960CC842B52269B4C7BFCC07BBBD0","Th Haakma en de Utrechtse kerken T van Hoogevest 58-59 1978")</f>
        <v>0</v>
      </c>
      <c r="D6499" s="1">
        <f>hyperlink("http://dspace.library.uu.nl/handle/1874/312268","Het jaartal van de Kroonbrug te Tull en t Waal M Bijleveld-Scholts 38-39 1985")</f>
        <v>0</v>
      </c>
    </row>
    <row r="6500" spans="2:4">
      <c r="B6500">
        <v>58</v>
      </c>
      <c r="C6500" s="1">
        <f>hyperlink("https://hetutrechtsarchief.nl/collectie/C0FD2739C64B53CC8B96CC78733C2841","De oude geografie en de ontginning van de Vechtstreek G J Borger 105-108 krt 1991")</f>
        <v>0</v>
      </c>
      <c r="D6500" s="1">
        <f>hyperlink("http://dspace.library.uu.nl/handle/1874/312424","Enige opmerkingen omtrent de ontginning van het Cattenbroek D R Klootwijk 18-24 1986")</f>
        <v>0</v>
      </c>
    </row>
    <row r="6501" spans="2:4">
      <c r="B6501">
        <v>61</v>
      </c>
      <c r="C6501" s="1">
        <f>hyperlink("https://hetutrechtsarchief.nl/collectie/A780655167615D5B87C40D3968FD8E39","Het dagelijks leven op de Sjans J E Hopman 57-69 1998")</f>
        <v>0</v>
      </c>
      <c r="D6501" s="1">
        <f>hyperlink("http://dspace.library.uu.nl/handle/1874/312425","Het dagelijks leven in Houten in de 19e eeuw Geke Hamming-Nap 1-18 1986")</f>
        <v>0</v>
      </c>
    </row>
    <row r="6502" spans="2:4">
      <c r="B6502">
        <v>55</v>
      </c>
      <c r="C6502" s="1">
        <f>hyperlink("https://hetutrechtsarchief.nl/collectie/4FD05AB457A954B09DA70133473727FD","Nog een paar hoofdstukken uit de vroege geschiedenis van Eikenrode B de Ligt 65-76 1999")</f>
        <v>0</v>
      </c>
      <c r="D6502" s="1">
        <f>hyperlink("http://dspace.library.uu.nl/handle/1874/312426","Vinkenburg en het Burgje de vroegste geschiedenis van twee hofsteden in Odijk M S F Kemp 1-20 nr 3 p 1-17 1986")</f>
        <v>0</v>
      </c>
    </row>
    <row r="6503" spans="2:4">
      <c r="B6503">
        <v>62</v>
      </c>
      <c r="C6503" s="1">
        <f>hyperlink("https://hetutrechtsarchief.nl/collectie/AC2D9C3EB22556D8856151DD8DECEBF5","Het stadhuis - G v K 50 1928")</f>
        <v>0</v>
      </c>
      <c r="D6503" s="1">
        <f>hyperlink("http://dspace.library.uu.nl/handle/1874/312427","Het kaaspakhuis P Kool 20-21 1986")</f>
        <v>0</v>
      </c>
    </row>
    <row r="6504" spans="2:4">
      <c r="B6504">
        <v>57</v>
      </c>
      <c r="C6504" s="1">
        <f>hyperlink("https://hetutrechtsarchief.nl/collectie/102C3AA610965766B09353FD2C19A8A8","De Nachtwacht van Soest deel 1 Ton Hartman 1-8 2006")</f>
        <v>0</v>
      </c>
      <c r="D6504" s="1">
        <f>hyperlink("http://dspace.library.uu.nl/handle/1874/312428","De nachtwacht van Schalkwijk in 1790 R J Butterman 28-33 1986")</f>
        <v>0</v>
      </c>
    </row>
    <row r="6505" spans="2:4">
      <c r="B6505">
        <v>54</v>
      </c>
      <c r="C6505" s="1">
        <f>hyperlink("https://hetutrechtsarchief.nl/collectie/337CE50564875CEEB6BE26851FD55C14","Een glas-medaillon uit Vechten L A W C Venmans 23-37 ill 1941")</f>
        <v>0</v>
      </c>
      <c r="D6505" s="1">
        <f>hyperlink("http://dspace.library.uu.nl/handle/1874/312429","Een volkstelling uit Schalkwijk van 1786 H Reinders 33-39 1986")</f>
        <v>0</v>
      </c>
    </row>
    <row r="6506" spans="2:4">
      <c r="B6506">
        <v>57</v>
      </c>
      <c r="C6506" s="1">
        <f>hyperlink("https://hetutrechtsarchief.nl/collectie/90146C6B4EBC5D299450C521C0B32E94","De Cuneratoren te Rhenen W van Iterson 25-44 ill 1964")</f>
        <v>0</v>
      </c>
      <c r="D6506" s="1">
        <f>hyperlink("http://dspace.library.uu.nl/handle/1874/312430","De korenmolen te Werkhoven Henk Wiele Ina van der Reinders 21-27 1986")</f>
        <v>0</v>
      </c>
    </row>
    <row r="6507" spans="2:4">
      <c r="B6507">
        <v>58</v>
      </c>
      <c r="C6507" s="1">
        <f>hyperlink("https://hetutrechtsarchief.nl/collectie/27DB56AD75BB52E1B28D510E863FAD35","Iets over de opgravingen in de v m Wijk C J Vink 9-13 1947")</f>
        <v>0</v>
      </c>
      <c r="D6507" s="1">
        <f>hyperlink("http://dspace.library.uu.nl/handle/1874/312431","Iets over De Cockardshoeve en omgeving D R Klootwijk 24-27 1987")</f>
        <v>0</v>
      </c>
    </row>
    <row r="6508" spans="2:4">
      <c r="B6508">
        <v>52</v>
      </c>
      <c r="C6508" s="1">
        <f>hyperlink("https://hetutrechtsarchief.nl/collectie/AE6A3A54D7F6566680AC4F9936FBDCD8","De Bruntenhoftuin van gesloten speelhoff naar openbare stadstuin Marijke Donkersloot-de Vrij 104-109 2000")</f>
        <v>0</v>
      </c>
      <c r="D6508" s="1">
        <f>hyperlink("http://dspace.library.uu.nl/handle/1874/312432","Een buitenplaats met geometrische tuin te Odijk op 18e eeuwse kaarten een droom die werkelijkheid werd Marijke Donkersloot-de Vrij 21-23 1987")</f>
        <v>0</v>
      </c>
    </row>
    <row r="6509" spans="2:4">
      <c r="B6509">
        <v>52</v>
      </c>
      <c r="C6509" s="1">
        <f>hyperlink("https://hetutrechtsarchief.nl/collectie/6C872D06BE3150679B33C1D309E76105","Het veer Amerongen-Eck en Wiel veerrecht pachters en ponten Wim Eimers 4-7 2016")</f>
        <v>0</v>
      </c>
      <c r="D6509" s="1">
        <f>hyperlink("http://dspace.library.uu.nl/handle/1874/312433","hetwelk hem ter verpoozing verstrekte H Bijleveld-Scholts M Reinders 22-27 1986")</f>
        <v>0</v>
      </c>
    </row>
    <row r="6510" spans="2:4">
      <c r="B6510">
        <v>59</v>
      </c>
      <c r="C6510" s="1">
        <f>hyperlink("https://hetutrechtsarchief.nl/collectie/D89B71D7098E3E1CE0538F04000A8CF0","Maarssen op de kaart Hans van Bemmel Arjan van Weele 7-15 2022")</f>
        <v>0</v>
      </c>
      <c r="D6510" s="1">
        <f>hyperlink("http://dspace.library.uu.nl/handle/1874/312434","Tussenstand onderzoek Van Bemmel A A B van Bemmel 12-20 1987")</f>
        <v>0</v>
      </c>
    </row>
    <row r="6511" spans="2:4">
      <c r="B6511">
        <v>99</v>
      </c>
      <c r="C6511" s="1">
        <f>hyperlink("https://hetutrechtsarchief.nl/collectie/30EF9F91E2A65356A01587575ACD9BB5","Het Randenbroek van Jacob van Campen 1595-1657 een poging tot reconstrueren Cor van den Braber 7-17 2013")</f>
        <v>0</v>
      </c>
      <c r="D6511" s="1">
        <f>hyperlink("http://dspace.library.uu.nl/handle/1874/312435","Het Randenbroek van Jacob van Campen 1595-1657 een poging tot reconstrueren Cor van den Braber 6-17 2013")</f>
        <v>0</v>
      </c>
    </row>
    <row r="6512" spans="2:4">
      <c r="B6512">
        <v>100</v>
      </c>
      <c r="C6512" s="1">
        <f>hyperlink("https://hetutrechtsarchief.nl/collectie/ECB68CCC85E65A18841C7B7D9B1670DF","Van bosgebied naar villawijk de ontwikkeling van het Amersfoortse Bergkwartier door de N V Maatschappij Amersfoort Erwin Borggreve 18-43 2013")</f>
        <v>0</v>
      </c>
      <c r="D6512" s="1">
        <f>hyperlink("http://dspace.library.uu.nl/handle/1874/312436","Van bosgebied naar villawijk de ontwikkeling van het Amersfoortse Bergkwartier door de N V Maatschappij Amersfoort Erwin Borggreve 18-43 2013")</f>
        <v>0</v>
      </c>
    </row>
    <row r="6513" spans="2:4">
      <c r="B6513">
        <v>100</v>
      </c>
      <c r="C6513" s="1">
        <f>hyperlink("https://hetutrechtsarchief.nl/collectie/C49AF1DA1C995303B46D496F5F2BEBC2","De poppenkast van architect Gerrit Adriaans Anton Groot 44-59 2013")</f>
        <v>0</v>
      </c>
      <c r="D6513" s="1">
        <f>hyperlink("http://dspace.library.uu.nl/handle/1874/312437","De poppenkast van architect Gerrit Adriaans Anton Groot 44-59 2013")</f>
        <v>0</v>
      </c>
    </row>
    <row r="6514" spans="2:4">
      <c r="B6514">
        <v>100</v>
      </c>
      <c r="C6514" s="1">
        <f>hyperlink("https://hetutrechtsarchief.nl/collectie/5F57B2D4F5EF51D5899420FA01255FC5","De N V Amersfoortsche Tapijtfabriek en Theo Colenbrander in haar eigen stad wier naam zij draagt bleef zij onopgemerkt Marjan de Man 60-77 2013")</f>
        <v>0</v>
      </c>
      <c r="D6514" s="1">
        <f>hyperlink("http://dspace.library.uu.nl/handle/1874/312438","De N V Amersfoortsche Tapijtfabriek en Theo Colenbrander in haar eigen stad wier naam zij draagt bleef zij onopgemerkt Marjan de Man 60-77 2013")</f>
        <v>0</v>
      </c>
    </row>
    <row r="6515" spans="2:4">
      <c r="B6515">
        <v>100</v>
      </c>
      <c r="C6515" s="1">
        <f>hyperlink("https://hetutrechtsarchief.nl/collectie/47277CFF4DB0532AB04F721E986B702E","Van de Mediene naar Mokum het glansrijke leven van Benjamin Cohen Joost Morel 78-105 2013")</f>
        <v>0</v>
      </c>
      <c r="D6515" s="1">
        <f>hyperlink("http://dspace.library.uu.nl/handle/1874/312439","Van de Mediene naar Mokum het glansrijke leven van Benjamin Cohen Joost Morel 78-105 2013")</f>
        <v>0</v>
      </c>
    </row>
    <row r="6516" spans="2:4">
      <c r="B6516">
        <v>100</v>
      </c>
      <c r="C6516" s="1">
        <f>hyperlink("https://hetutrechtsarchief.nl/collectie/41A67A19F2A956DF9B8EEE2B02D6AC33","De ontzaggelijke groote passage van de Engelsche Armee Amersfoort en omgeving in de oorlog van 1794-1795 Raymond Uppelschoten 106-129 2013")</f>
        <v>0</v>
      </c>
      <c r="D6516" s="1">
        <f>hyperlink("http://dspace.library.uu.nl/handle/1874/312440","De ontzaggelijk groote passage van de Engelsche Armee Amersfoort en omgeving in de oorlog van 1794-1795 Raymond Uppelschoten 106-129 2013")</f>
        <v>0</v>
      </c>
    </row>
    <row r="6517" spans="2:4">
      <c r="B6517">
        <v>100</v>
      </c>
      <c r="C6517" s="1">
        <f>hyperlink("https://hetutrechtsarchief.nl/collectie/F20D4402C30D5A7CB76DDD026FC991C2","Katholieken en gereformeerden in een ketterse stad 1579-1635 een schets Dick van Wees 130-149 2013")</f>
        <v>0</v>
      </c>
      <c r="D6517" s="1">
        <f>hyperlink("http://dspace.library.uu.nl/handle/1874/312441","Katholieken en gereformeerden in een ketterse stad 1579-1635 een schets Dick van Wees 130-149 2013")</f>
        <v>0</v>
      </c>
    </row>
    <row r="6518" spans="2:4">
      <c r="B6518">
        <v>56</v>
      </c>
      <c r="C6518" s="1">
        <f>hyperlink("https://hetutrechtsarchief.nl/collectie/F7EABA49F4BA54C18C5AC4E7C5C9B932","Steen- en Pannenbakkerijen langs de Vecht F H Landzaat 13-24 ill 1986")</f>
        <v>0</v>
      </c>
      <c r="D6518" s="1">
        <f>hyperlink("http://dspace.library.uu.nl/handle/1874/312442","Een aardewerkbord met een rebus F H Landzaat 19-20 1986")</f>
        <v>0</v>
      </c>
    </row>
    <row r="6519" spans="2:4">
      <c r="B6519">
        <v>53</v>
      </c>
      <c r="C6519" s="1">
        <f>hyperlink("https://hetutrechtsarchief.nl/collectie/671EF49FCB395BB3BFB894EAC8FE0EB5","Ram van Schalkwijk - v d V 89-92")</f>
        <v>0</v>
      </c>
      <c r="D6519" s="1">
        <f>hyperlink("http://dspace.library.uu.nl/handle/1874/312443","850 jaar vondsten in Schalkwijk F H Landzaat 28-32 1986")</f>
        <v>0</v>
      </c>
    </row>
    <row r="6520" spans="2:4">
      <c r="B6520">
        <v>58</v>
      </c>
      <c r="C6520" s="1">
        <f>hyperlink("https://hetutrechtsarchief.nl/collectie/C9C4B6A7F8A954E08B2E53003E19AFED","Herinneringen aan het spoorweghuisje Toos van der Weit 20-23 1999")</f>
        <v>0</v>
      </c>
      <c r="D6520" s="1">
        <f>hyperlink("http://dspace.library.uu.nl/handle/1874/312444","Opgraving aan de Loerikseweg te Houten Bert van der Houwen 27-32 1986")</f>
        <v>0</v>
      </c>
    </row>
    <row r="6521" spans="2:4">
      <c r="B6521">
        <v>53</v>
      </c>
      <c r="C6521" s="1">
        <f>hyperlink("https://hetutrechtsarchief.nl/collectie/F8F7451E1B6D50E0A5BF030430331630","De luchtwachttoren te Schalkwijk Piet Heijmink Liesert 75-78 2004")</f>
        <v>0</v>
      </c>
      <c r="D6521" s="1">
        <f>hyperlink("http://dspace.library.uu.nl/handle/1874/312445","De samenvoeging van Houten Schalkwijk en Tull en t Waal 25 jaar later P M Heijmink Liesert 1-19 1986")</f>
        <v>0</v>
      </c>
    </row>
    <row r="6522" spans="2:4">
      <c r="B6522">
        <v>53</v>
      </c>
      <c r="C6522" s="1">
        <f>hyperlink("https://hetutrechtsarchief.nl/collectie/0A7AB7C2BF755161B0B7E0B0C9E63E4F","Tweede generatie niet in de schoenen van hun ouders Kemal Yavuz 18-19 1988")</f>
        <v>0</v>
      </c>
      <c r="D6522" s="1">
        <f>hyperlink("http://dspace.library.uu.nl/handle/1874/312459","Boerderij De Grote Geer Snoeksloot 62 te Houten O J Houwen B van der Wttewaal 1-15 1987")</f>
        <v>0</v>
      </c>
    </row>
    <row r="6523" spans="2:4">
      <c r="B6523">
        <v>55</v>
      </c>
      <c r="C6523" s="1">
        <f>hyperlink("https://hetutrechtsarchief.nl/collectie/CD387B4CA99B544692307A9B5F47639A","De priester-broederschap in de vijf hoofdkerken te Utrecht J H Hofman 391-435 1877")</f>
        <v>0</v>
      </c>
      <c r="D6523" s="1">
        <f>hyperlink("http://dspace.library.uu.nl/handle/1874/312460","De Lieve Vrouwe Broederschap van Houten 1479-1987 R J Keyzer L M J de Butterman 13-36 1987")</f>
        <v>0</v>
      </c>
    </row>
    <row r="6524" spans="2:4">
      <c r="B6524">
        <v>57</v>
      </c>
      <c r="C6524" s="1">
        <f>hyperlink("https://hetutrechtsarchief.nl/collectie/337CE50564875CEEB6BE26851FD55C14","Een glas-medaillon uit Vechten L A W C Venmans 23-37 ill 1941")</f>
        <v>0</v>
      </c>
      <c r="D6524" s="1">
        <f>hyperlink("http://dspace.library.uu.nl/handle/1874/312461","Een volkstelling uit Houten van 1808 H Reinders 22-30 1987")</f>
        <v>0</v>
      </c>
    </row>
    <row r="6525" spans="2:4">
      <c r="B6525">
        <v>61</v>
      </c>
      <c r="C6525" s="1">
        <f>hyperlink("https://hetutrechtsarchief.nl/collectie/4DEAF514F85D5CFC9A5EDD35602384EA","Het sluishuisje te Maarssen - A E R 1-3 ill 1947")</f>
        <v>0</v>
      </c>
      <c r="D6525" s="1">
        <f>hyperlink("http://dspace.library.uu.nl/handle/1874/312462","Het huis Heemstede te Houten P S A de Wit 3-12 1987")</f>
        <v>0</v>
      </c>
    </row>
    <row r="6526" spans="2:4">
      <c r="B6526">
        <v>95</v>
      </c>
      <c r="C6526" s="1">
        <f>hyperlink("https://hetutrechtsarchief.nl/collectie/05E3CEA3E5315DAE9FF51B7010FAA2DA","Woontorens in Zuid-oost Utrecht P S A de Wit 8-31 ill 1988")</f>
        <v>0</v>
      </c>
      <c r="D6526" s="1">
        <f>hyperlink("http://dspace.library.uu.nl/handle/1874/312463","Woontorens in Zuidoost Utrecht P S A de Wit 8-31 1988")</f>
        <v>0</v>
      </c>
    </row>
    <row r="6527" spans="2:4">
      <c r="B6527">
        <v>56</v>
      </c>
      <c r="C6527" s="1">
        <f>hyperlink("https://hetutrechtsarchief.nl/collectie/5659FB41D8965E8F95F60EDDF977DEE2","Het cisterci nserklooster Onze Lieve Vrouweberg te IJsselstein W Stooker 168-177 ill 1938")</f>
        <v>0</v>
      </c>
      <c r="D6527" s="1">
        <f>hyperlink("http://dspace.library.uu.nl/handle/1874/312464","Ter ere Gods en onze Lieve Vrouw van Eiteren een leprozengilde Karin Westerink 1-29 1987")</f>
        <v>0</v>
      </c>
    </row>
    <row r="6528" spans="2:4">
      <c r="B6528">
        <v>57</v>
      </c>
      <c r="C6528" s="1">
        <f>hyperlink("https://hetutrechtsarchief.nl/collectie/8D4E86EA37B1595D84E2C3420102DD6E","De Utrechtse van Bemmels J de Lange 3 - 9 ill 1983")</f>
        <v>0</v>
      </c>
      <c r="D6528" s="1">
        <f>hyperlink("http://dspace.library.uu.nl/handle/1874/312465","De Cruyff alias Van Bemmel M S F van Kemp 31-32 1987")</f>
        <v>0</v>
      </c>
    </row>
    <row r="6529" spans="2:4">
      <c r="B6529">
        <v>56</v>
      </c>
      <c r="C6529" s="1">
        <f>hyperlink("https://hetutrechtsarchief.nl/collectie/C4C6EC8DE91A5E9896AA19636D3B6958","Waarom begint het jaar steeds op 1 januari W Heins 29-32 ill 1994")</f>
        <v>0</v>
      </c>
      <c r="D6529" s="1">
        <f>hyperlink("http://dspace.library.uu.nl/handle/1874/312466","De brand van Heemstede op 10 januari 1987 Henk Reinders 1-2 1987")</f>
        <v>0</v>
      </c>
    </row>
    <row r="6530" spans="2:4">
      <c r="B6530">
        <v>58</v>
      </c>
      <c r="C6530" s="1">
        <f>hyperlink("https://hetutrechtsarchief.nl/collectie/CB3EB7298DB758CCA7A13D1028201B3A","Gein en wee in het oude Wijk C Jan van der Molen 11-13 1986")</f>
        <v>0</v>
      </c>
      <c r="D6530" s="1">
        <f>hyperlink("http://dspace.library.uu.nl/handle/1874/312567","Opgravingen in het uitbreidingsplan Tiellandt J van der Roest 1-15 1988")</f>
        <v>0</v>
      </c>
    </row>
    <row r="6531" spans="2:4">
      <c r="B6531">
        <v>57</v>
      </c>
      <c r="C6531" s="1">
        <f>hyperlink("https://hetutrechtsarchief.nl/collectie/A73878A2A6455F6FBE51B85CF0B4B3E2","De Kamp te Cothen Ad van Bemmel 18-19 2013")</f>
        <v>0</v>
      </c>
      <c r="D6531" s="1">
        <f>hyperlink("http://dspace.library.uu.nl/handle/1874/312568","Waarom de Dwarsdijk geen nachtwacht had A A B van Bemmel 17-19 1988")</f>
        <v>0</v>
      </c>
    </row>
    <row r="6532" spans="2:4">
      <c r="B6532">
        <v>63</v>
      </c>
      <c r="C6532" s="1">
        <f>hyperlink("https://hetutrechtsarchief.nl/collectie/96FFE8A3CA2456858A8A7E53FFE52ADA","Restauratie van de molen Rijn en Lek in Wijk bij Duurstede Theo van Wijk 15-16 ill 1998")</f>
        <v>0</v>
      </c>
      <c r="D6532" s="1">
        <f>hyperlink("http://dspace.library.uu.nl/handle/1874/312569","De plaats van het muntatelier in Wijk bij Duurstede R J Butterman 16-24 1988")</f>
        <v>0</v>
      </c>
    </row>
    <row r="6533" spans="2:4">
      <c r="B6533">
        <v>54</v>
      </c>
      <c r="C6533" s="1">
        <f>hyperlink("https://hetutrechtsarchief.nl/collectie/8BA4F5A0C8D95CD3BCD361E605B95EAF","Kerkelijk leven in Den Dolder van 1902 tot 1954 Mieke van der Ploeg 4-9 2017")</f>
        <v>0</v>
      </c>
      <c r="D6533" s="1">
        <f>hyperlink("http://dspace.library.uu.nl/handle/1874/312570","Griendcultuur in Langbroek van 1900 tot 1950 S Bierens de Haan 1-16 1988")</f>
        <v>0</v>
      </c>
    </row>
    <row r="6534" spans="2:4">
      <c r="B6534">
        <v>70</v>
      </c>
      <c r="C6534" s="1">
        <f>hyperlink("https://hetutrechtsarchief.nl/collectie/7E67751AB9B65B42ADB8CE245602FCE7","Dorestad - Wijk bij Duurstede A E Stutterheim - Thieme 156-162 ill 1932")</f>
        <v>0</v>
      </c>
      <c r="D6534" s="1">
        <f>hyperlink("http://dspace.library.uu.nl/handle/1874/312607","Dorestad en Wijk bij Duurstede W A van Verwers W J H Es 16-23 1988")</f>
        <v>0</v>
      </c>
    </row>
    <row r="6535" spans="2:4">
      <c r="B6535">
        <v>61</v>
      </c>
      <c r="C6535" s="1">
        <f>hyperlink("https://hetutrechtsarchief.nl/collectie/A00BB3CF6E0F5D13A107AED27AD566B2","Joodse begraafplaatsen te Wijk bij Duurstede II Victor Brilleman 1-16 ill 1993")</f>
        <v>0</v>
      </c>
      <c r="D6535" s="1">
        <f>hyperlink("http://dspace.library.uu.nl/handle/1874/312608","De jaarmarkt van Wijk bij Duurstede R J Butterman 1-10 1988")</f>
        <v>0</v>
      </c>
    </row>
    <row r="6536" spans="2:4">
      <c r="B6536">
        <v>61</v>
      </c>
      <c r="C6536" s="1">
        <f>hyperlink("https://hetutrechtsarchief.nl/collectie/DA1F759B097452778533E95F2BBDC6FB","Jaartallen van de Grote Kerk in Wijk bij Duurstede Gerrit Berends 103-105 2008")</f>
        <v>0</v>
      </c>
      <c r="D6536" s="1">
        <f>hyperlink("http://dspace.library.uu.nl/handle/1874/312609","De reformatie in Wijk bij Duurstede Henk Reinders 24-32 1988")</f>
        <v>0</v>
      </c>
    </row>
    <row r="6537" spans="2:4">
      <c r="B6537">
        <v>66</v>
      </c>
      <c r="C6537" s="1">
        <f>hyperlink("https://hetutrechtsarchief.nl/collectie/7D5CF5504D8BCE7DE0534701000AF294","Fruitteelt in en rond Wijk bij Duurstede in de 17e en 18e eeuw Kees van Schaik 1-10 2018")</f>
        <v>0</v>
      </c>
      <c r="D6537" s="1">
        <f>hyperlink("http://dspace.library.uu.nl/handle/1874/312610","De bevolking van Wijk bij Duurstede in de 17de en 18de eeuw Ronald N J Rommes 9-24 1989")</f>
        <v>0</v>
      </c>
    </row>
    <row r="6538" spans="2:4">
      <c r="B6538">
        <v>63</v>
      </c>
      <c r="C6538" s="1">
        <f>hyperlink("https://hetutrechtsarchief.nl/collectie/7D5CF5504D8DCE7DE0534701000AF294","De evacuaties van mei 1940 in het Kromme Rijngebied Herman Smit 22-31 2018")</f>
        <v>0</v>
      </c>
      <c r="D6538" s="1">
        <f>hyperlink("http://dspace.library.uu.nl/handle/1874/312611","Hoefbeslag uit de periode voor 1800 gevonden in het Kromme Rijngebied W A Hermans 25-30 1989")</f>
        <v>0</v>
      </c>
    </row>
    <row r="6539" spans="2:4">
      <c r="B6539">
        <v>56</v>
      </c>
      <c r="C6539" s="1">
        <f>hyperlink("https://hetutrechtsarchief.nl/collectie/8145B90AB6B0594AA9551DE7D7008CB4","Staat van beleg Henk Droog 12-14 1985")</f>
        <v>0</v>
      </c>
      <c r="D6539" s="1">
        <f>hyperlink("http://dspace.library.uu.nl/handle/1874/312612","Dorpsstraat 1 te Bunnik Henk Reinders 13-21 1989")</f>
        <v>0</v>
      </c>
    </row>
    <row r="6540" spans="2:4">
      <c r="B6540">
        <v>60</v>
      </c>
      <c r="C6540" s="1">
        <f>hyperlink("https://hetutrechtsarchief.nl/collectie/29DA22AE83B55216A831B31C9F0D2D4D","De schoenmakersfamilie Sterkenburg Henk Reinders 73-81 ill portr 1998")</f>
        <v>0</v>
      </c>
      <c r="D6540" s="1">
        <f>hyperlink("http://dspace.library.uu.nl/handle/1874/312613","De korenmolen te Werkhoven Henk Reinders 22-23 1989")</f>
        <v>0</v>
      </c>
    </row>
    <row r="6541" spans="2:4">
      <c r="B6541">
        <v>60</v>
      </c>
      <c r="C6541" s="1">
        <f>hyperlink("https://hetutrechtsarchief.nl/collectie/5B5E82BB618B5E6A87A233C42256F434","Nieuwe informatie over ijsvermaak en monumenten in Wijk bij Duurstede Ria van der Eerden 90-92 2009")</f>
        <v>0</v>
      </c>
      <c r="D6541" s="1">
        <f>hyperlink("http://dspace.library.uu.nl/handle/1874/312614","De Nederhof en Vogelpoel twee bijzondere monumenten van Wijk bij Duurstede R J Butterman 24-29 1989")</f>
        <v>0</v>
      </c>
    </row>
    <row r="6542" spans="2:4">
      <c r="B6542">
        <v>65</v>
      </c>
      <c r="C6542" s="1">
        <f>hyperlink("https://hetutrechtsarchief.nl/collectie/C926742D8B95502585314EB85760EBF2","Het orgel van de Nederlandse Hervormde kerk te Nieuwer Ter Aa N J Doornenbal 27-40 2002")</f>
        <v>0</v>
      </c>
      <c r="D6542" s="1">
        <f>hyperlink("http://dspace.library.uu.nl/handle/1874/312615","De orgels van de Nederlands Hervormde of Oude Dorpskerk te Bunnik C F W Rietveld 1-4 1989")</f>
        <v>0</v>
      </c>
    </row>
    <row r="6543" spans="2:4">
      <c r="B6543">
        <v>58</v>
      </c>
      <c r="C6543" s="1">
        <f>hyperlink("https://hetutrechtsarchief.nl/collectie/377994DA5F3D592BA5DE6AC98B369D97","Kerken en orgels de Begijnekerk de Oosterkerk t orgel in de Tuindorpkerk te Utrecht recente gegevens 7-15 1985")</f>
        <v>0</v>
      </c>
      <c r="D6543" s="1">
        <f>hyperlink("http://dspace.library.uu.nl/handle/1874/312616","Het orgel van het Witte Kerkje te Odijk Het orgel van de Oude Kerk te Werkhoven G Vermeer 5-9 1989")</f>
        <v>0</v>
      </c>
    </row>
    <row r="6544" spans="2:4">
      <c r="B6544">
        <v>98</v>
      </c>
      <c r="C6544" s="1">
        <f>hyperlink("https://hetutrechtsarchief.nl/collectie/CB96C2425BA258A0B2F4489B551906DB","Het B tz-orgel van de St Micha lskerk in Schalkwijk een monumentale aanwinst Wico Clements 10-16 ill 1989")</f>
        <v>0</v>
      </c>
      <c r="D6544" s="1">
        <f>hyperlink("http://dspace.library.uu.nl/handle/1874/312617","Het B tz-orgel van de St Micha lskerk in Schalkwijk een monumentale aanwinst Wico Clements 10-16 1989")</f>
        <v>0</v>
      </c>
    </row>
    <row r="6545" spans="2:4">
      <c r="B6545">
        <v>66</v>
      </c>
      <c r="C6545" s="1">
        <f>hyperlink("https://hetutrechtsarchief.nl/collectie/1C4225DAC870558CB2EC936A7F7332AB","Bijdrage tot de genealogie van het geslacht van Bern te Wijk bij Duurstede H W M J Nieuwenkamp 143-146 1931")</f>
        <v>0</v>
      </c>
      <c r="D6545" s="1">
        <f>hyperlink("http://dspace.library.uu.nl/handle/1874/312618","Een bijdrage tot de geschiedenis van het orgel van de St Jan Baptist te Wijk bij Duurstede A H Vlagsma 17-31 1989")</f>
        <v>0</v>
      </c>
    </row>
    <row r="6546" spans="2:4">
      <c r="B6546">
        <v>100</v>
      </c>
      <c r="C6546" s="1">
        <f>hyperlink("https://hetutrechtsarchief.nl/collectie/2B823EC38FF65E20856D79D2BC24C6F1","Boerengezinnen in beweging C G Th Vernooy 1-8 1989")</f>
        <v>0</v>
      </c>
      <c r="D6546" s="1">
        <f>hyperlink("http://dspace.library.uu.nl/handle/1874/312619","Boerengezinnen in beweging C G Th Vernooy 1-8 1989")</f>
        <v>0</v>
      </c>
    </row>
    <row r="6547" spans="2:4">
      <c r="B6547">
        <v>98</v>
      </c>
      <c r="C6547" s="1">
        <f>hyperlink("https://hetutrechtsarchief.nl/collectie/33B243F6338C5844869A8F3BD4DC02B6","Tolsteeg tussen stad en platteland een buitengerecht van de stad Utrecht in het Kromme Rijngebied Otto Vervaart 9-32 ill 1989")</f>
        <v>0</v>
      </c>
      <c r="D6547" s="1">
        <f>hyperlink("http://dspace.library.uu.nl/handle/1874/312620","Tolsteeg tussen stad en platteland een buitengerecht van de stad Utrecht in het Kromme Rijngebied Otto Vervaart 9-32 1989")</f>
        <v>0</v>
      </c>
    </row>
    <row r="6548" spans="2:4">
      <c r="B6548">
        <v>55</v>
      </c>
      <c r="C6548" s="1">
        <f>hyperlink("https://hetutrechtsarchief.nl/collectie/79BD1520A8FB5313970D1695E18B63A5","De tuin van kasteel Heemstede bij Houten Otto Wttewaall 73-87 1999")</f>
        <v>0</v>
      </c>
      <c r="D6548" s="1">
        <f>hyperlink("http://dspace.library.uu.nl/handle/1874/312621","Monument een vaag begrip Houtense gemeentelijke monumenten Otto Smits Jan Wttewaall 1-12 1989")</f>
        <v>0</v>
      </c>
    </row>
    <row r="6549" spans="2:4">
      <c r="B6549">
        <v>56</v>
      </c>
      <c r="C6549" s="1">
        <f>hyperlink("https://hetutrechtsarchief.nl/collectie/B0081F90D7745653890F44858FA654D8","Het kasteel en museum De Sijpesteijn H van Booven 121 -125 ill 1934")</f>
        <v>0</v>
      </c>
      <c r="D6549" s="1">
        <f>hyperlink("http://dspace.library.uu.nl/handle/1874/312622","Kasteel Duurstede in oude luister hersteld C van Vliet 11-15 1988")</f>
        <v>0</v>
      </c>
    </row>
    <row r="6550" spans="2:4">
      <c r="B6550">
        <v>54</v>
      </c>
      <c r="C6550" s="1">
        <f>hyperlink("https://hetutrechtsarchief.nl/collectie/30FA62A503C858C683872111964ED69F","17e eeuwsche huizen - G v K Pz 69 1929")</f>
        <v>0</v>
      </c>
      <c r="D6550" s="1">
        <f>hyperlink("http://dspace.library.uu.nl/handle/1874/312729","De buurtschap Pothuizen H M Pothuizen 7-27 1990")</f>
        <v>0</v>
      </c>
    </row>
    <row r="6551" spans="2:4">
      <c r="B6551">
        <v>97</v>
      </c>
      <c r="C6551" s="1">
        <f>hyperlink("https://hetutrechtsarchief.nl/collectie/2E391910E3F450C8A1652107ED8BD3A1","De eerste kadasterlandmeters in het Kromme Rijngebied E Muller 1-8 ill 1990")</f>
        <v>0</v>
      </c>
      <c r="D6551" s="1">
        <f>hyperlink("http://dspace.library.uu.nl/handle/1874/312730","De eerste kadasterlandmeters in het Kromme Rijngebied E Muller 1-8 1990")</f>
        <v>0</v>
      </c>
    </row>
    <row r="6552" spans="2:4">
      <c r="B6552">
        <v>98</v>
      </c>
      <c r="C6552" s="1">
        <f>hyperlink("https://hetutrechtsarchief.nl/collectie/EC32415FE93E5EFBAEE702A65E7EBA3E","Heeft U een watertoren te koop de watertoren van Werkhoven van bedrijfsfunctie naar woonfunctie C D P Ruckert 9-25 ill 1990")</f>
        <v>0</v>
      </c>
      <c r="D6552" s="1">
        <f>hyperlink("http://dspace.library.uu.nl/handle/1874/312731","Heeft U een watertoren te koop de watertoren van Werkhoven van bedrijfsfunctie naar woonfunctie C D P Ruckert 9-25 1990")</f>
        <v>0</v>
      </c>
    </row>
    <row r="6553" spans="2:4">
      <c r="B6553">
        <v>100</v>
      </c>
      <c r="C6553" s="1">
        <f>hyperlink("https://hetutrechtsarchief.nl/collectie/F31A3E0DFB0557C080C13F32312815C6","Oude kaarten welke zijn er van het Kromme Rijngebied en waar zijn ze te vinden Y M Donkersloot-de Vrij 10-27 1990")</f>
        <v>0</v>
      </c>
      <c r="D6553" s="1">
        <f>hyperlink("http://dspace.library.uu.nl/handle/1874/312732","Oude kaarten welke zijn er van het Kromme Rijngebied en waar zijn ze te vinden Y M Donkersloot-de Vrij 10-27 1990")</f>
        <v>0</v>
      </c>
    </row>
    <row r="6554" spans="2:4">
      <c r="B6554">
        <v>58</v>
      </c>
      <c r="C6554" s="1">
        <f>hyperlink("https://hetutrechtsarchief.nl/collectie/12440DB85D055CAEB9E3E5B2A5FEBF3B","Een koninklijk bezoek aan Woerden in 1814 W Lobbezoo-de Vos 37-39 2001")</f>
        <v>0</v>
      </c>
      <c r="D6554" s="1">
        <f>hyperlink("http://dspace.library.uu.nl/handle/1874/312733","Het laatste koninklijk bezoek aan kasteel Duurstede in 1642 R J Butterman 28-32 1990")</f>
        <v>0</v>
      </c>
    </row>
    <row r="6555" spans="2:4">
      <c r="B6555">
        <v>59</v>
      </c>
      <c r="C6555" s="1">
        <f>hyperlink("https://hetutrechtsarchief.nl/collectie/9DA9F25B75A441E9E0534701000A19E0","Molen en Molenstraat Jaap Boersema 16-17 2020")</f>
        <v>0</v>
      </c>
      <c r="D6555" s="1">
        <f>hyperlink("http://dspace.library.uu.nl/handle/1874/312734","Molen en molenaars van Bunnik Henk Reinders 7-17 1990")</f>
        <v>0</v>
      </c>
    </row>
    <row r="6556" spans="2:4">
      <c r="B6556">
        <v>56</v>
      </c>
      <c r="C6556" s="1">
        <f>hyperlink("https://hetutrechtsarchief.nl/collectie/79F8DA291ED55BDCB27E08C6CA646BE5","De aanleg van het Merwedekanaal en zijn gevolgen voor Maarssen Arie de Zwart 50-71 1999")</f>
        <v>0</v>
      </c>
      <c r="D6556" s="1">
        <f>hyperlink("http://dspace.library.uu.nl/handle/1874/312735","De Cothense molen Oog in t Zeil en zijn molenaars Henk Reinders 18-29 1990")</f>
        <v>0</v>
      </c>
    </row>
    <row r="6557" spans="2:4">
      <c r="B6557">
        <v>58</v>
      </c>
      <c r="C6557" s="1">
        <f>hyperlink("https://hetutrechtsarchief.nl/collectie/5F1F92742C02556397CFD37CEEE52050","Romeinse vondsten in de gemeente Houten A B Haefkens 43-44 1957")</f>
        <v>0</v>
      </c>
      <c r="D6557" s="1">
        <f>hyperlink("http://dspace.library.uu.nl/handle/1874/312736","Molens in de gemeente Houten O J Heijmink Liesert P M Wttewaall 30-39 1990")</f>
        <v>0</v>
      </c>
    </row>
    <row r="6558" spans="2:4">
      <c r="B6558">
        <v>56</v>
      </c>
      <c r="C6558" s="1">
        <f>hyperlink("https://hetutrechtsarchief.nl/collectie/12102A7FD3015525B8214A13748A9E4F","Het oude en nieuwe wapen van de gemeente Maarssen A E Rientjes 14-17 ill 1950")</f>
        <v>0</v>
      </c>
      <c r="D6558" s="1">
        <f>hyperlink("http://dspace.library.uu.nl/handle/1874/312737","De Werkhovense molen enkele nieuwe gegevens over molen en molenaars Henk Reinders 40-48 1990")</f>
        <v>0</v>
      </c>
    </row>
    <row r="6559" spans="2:4">
      <c r="B6559">
        <v>93</v>
      </c>
      <c r="C6559" s="1">
        <f>hyperlink("https://hetutrechtsarchief.nl/collectie/8151BDB305E553EA84E157D7F405967F","Kaart van de provincie Utrecht door B de Roij Y M Donkersloot-de Vrij 1-12 ill 1991")</f>
        <v>0</v>
      </c>
      <c r="D6559" s="1">
        <f>hyperlink("http://dspace.library.uu.nl/handle/1874/312738","Kaart van de provincie Utrecht door B de Roij Marijke Donkersloot-de Vrij 1-12 1991")</f>
        <v>0</v>
      </c>
    </row>
    <row r="6560" spans="2:4">
      <c r="B6560">
        <v>98</v>
      </c>
      <c r="C6560" s="1">
        <f>hyperlink("https://hetutrechtsarchief.nl/collectie/99444147CB065D7DA85A3AF0327F816C","Het kapittel van St Marie en de tiendkaart van t Goy en Houten uit 1640 L M J de Keijzer 1-13 ill 1991")</f>
        <v>0</v>
      </c>
      <c r="D6560" s="1">
        <f>hyperlink("http://dspace.library.uu.nl/handle/1874/312739","Het kapittel van St Marie en de tiendkaart van t Goy en Houten uit 1640 L M J de Keijzer 1-13 1991")</f>
        <v>0</v>
      </c>
    </row>
    <row r="6561" spans="2:4">
      <c r="B6561">
        <v>58</v>
      </c>
      <c r="C6561" s="1">
        <f>hyperlink("https://hetutrechtsarchief.nl/collectie/8151BDB305E553EA84E157D7F405967F","Kaart van de provincie Utrecht door B de Roij Y M Donkersloot-de Vrij 1-12 ill 1991")</f>
        <v>0</v>
      </c>
      <c r="D6561" s="1">
        <f>hyperlink("http://dspace.library.uu.nl/handle/1874/312740","Het Uilegat te Odijk hoe een oud toponiem dreigt te verdwijnen Marijke Donkersloot-de Vrij 14-17 1991")</f>
        <v>0</v>
      </c>
    </row>
    <row r="6562" spans="2:4">
      <c r="B6562">
        <v>97</v>
      </c>
      <c r="C6562" s="1">
        <f>hyperlink("https://hetutrechtsarchief.nl/collectie/7977DB7B1DE5595DACB10CB459E37499","De visitatie van 1593 in het Kromme Rijngebied H Reinders 23-28 ill 1991")</f>
        <v>0</v>
      </c>
      <c r="D6562" s="1">
        <f>hyperlink("http://dspace.library.uu.nl/handle/1874/312741","De visitatie van 1593 in het Kromme Rijngebied H Reinders 23-28 1991")</f>
        <v>0</v>
      </c>
    </row>
    <row r="6563" spans="2:4">
      <c r="B6563">
        <v>56</v>
      </c>
      <c r="C6563" s="1">
        <f>hyperlink("https://hetutrechtsarchief.nl/collectie/4396524A61645C379786C5ADB17F7CBB","De eerste schooldag van Kees van Bergenhenegouwen Jan de Mos 14-21 2014")</f>
        <v>0</v>
      </c>
      <c r="D6563" s="1">
        <f>hyperlink("http://dspace.library.uu.nl/handle/1874/312742","Bij de 200ste geboortedag van meester Dirk van Merkesteijn Henk Reinders 1-10 1991")</f>
        <v>0</v>
      </c>
    </row>
    <row r="6564" spans="2:4">
      <c r="B6564">
        <v>64</v>
      </c>
      <c r="C6564" s="1">
        <f>hyperlink("https://hetutrechtsarchief.nl/collectie/E534FB8CD57E5D62B8A86D290CE4AF71","De kaart van Utrecht in het jaar 690 Y M Donkersloot-de Vrij 105-107 ill 1990")</f>
        <v>0</v>
      </c>
      <c r="D6564" s="1">
        <f>hyperlink("http://dspace.library.uu.nl/handle/1874/312743","De kaart van Wijk bij Duurstede in de stedenatlas van Blaeu Marijke Donkersloot-de Vrij 11-15 1991")</f>
        <v>0</v>
      </c>
    </row>
    <row r="6565" spans="2:4">
      <c r="B6565">
        <v>56</v>
      </c>
      <c r="C6565" s="1">
        <f>hyperlink("https://hetutrechtsarchief.nl/collectie/39688A36689454BBAA719A57AD28E0A6","Archeologische vondsten uit Zeist in perspectief Thomas J Cleij 3-11 2000")</f>
        <v>0</v>
      </c>
      <c r="D6565" s="1">
        <f>hyperlink("http://dspace.library.uu.nl/handle/1874/312744","Een archeologisch vondstbericht uit de Knoesterpolder te Schalkwijk F H Landzaat 16-22 1991")</f>
        <v>0</v>
      </c>
    </row>
    <row r="6566" spans="2:4">
      <c r="B6566">
        <v>97</v>
      </c>
      <c r="C6566" s="1">
        <f>hyperlink("https://hetutrechtsarchief.nl/collectie/226B0CFC271258A7ACFEE33323A54D48","Duiventillen en -torens in het Kromme Rijngebied C C S Wilmer 1-6 ill 1991")</f>
        <v>0</v>
      </c>
      <c r="D6566" s="1">
        <f>hyperlink("http://dspace.library.uu.nl/handle/1874/312745","Duiventillen en -torens in het Kromme Rijngebied C C S Wilmer 1-6 1991")</f>
        <v>0</v>
      </c>
    </row>
    <row r="6567" spans="2:4">
      <c r="B6567">
        <v>59</v>
      </c>
      <c r="C6567" s="1">
        <f>hyperlink("https://hetutrechtsarchief.nl/collectie/DB95216D0EA8CB67E0538F04000AC46C","Verken de Langbroekerwetering per kano 39 2022")</f>
        <v>0</v>
      </c>
      <c r="D6567" s="1">
        <f>hyperlink("http://dspace.library.uu.nl/handle/1874/312746","Duyfhuysen langs de Langbroeker Wetering H J M Tromp 11-20 1991")</f>
        <v>0</v>
      </c>
    </row>
    <row r="6568" spans="2:4">
      <c r="B6568">
        <v>58</v>
      </c>
      <c r="C6568" s="1">
        <f>hyperlink("https://hetutrechtsarchief.nl/collectie/99444147CB065D7DA85A3AF0327F816C","Het kapittel van St Marie en de tiendkaart van t Goy en Houten uit 1640 L M J de Keijzer 1-13 ill 1991")</f>
        <v>0</v>
      </c>
      <c r="D6568" s="1">
        <f>hyperlink("http://dspace.library.uu.nl/handle/1874/312747","De duivenzolder in de gemeentetoren te Houten L M J Keijzer 21-23 1991")</f>
        <v>0</v>
      </c>
    </row>
    <row r="6569" spans="2:4">
      <c r="B6569">
        <v>60</v>
      </c>
      <c r="C6569" s="1">
        <f>hyperlink("https://hetutrechtsarchief.nl/collectie/F99F9FE43D185358AA1E6E28D0AD134E","Eijlers De Klerk 21 Dik Eijlers 24-25 2010")</f>
        <v>0</v>
      </c>
      <c r="D6569" s="1">
        <f>hyperlink("http://dspace.library.uu.nl/handle/1874/312748","Duiven in en om de kerk te Odijk H Reinders 24-26 1991")</f>
        <v>0</v>
      </c>
    </row>
    <row r="6570" spans="2:4">
      <c r="B6570">
        <v>60</v>
      </c>
      <c r="C6570" s="1">
        <f>hyperlink("https://hetutrechtsarchief.nl/collectie/89630A44335CF9A0E0534701000A49EE","De reis van een steen Tom Prosman Otto Wttewaall 15-18 2019")</f>
        <v>0</v>
      </c>
      <c r="D6570" s="1">
        <f>hyperlink("http://dspace.library.uu.nl/handle/1874/312749","De duiventoren van huize Wickenburg in t Goy Otto Wttewaall 27-34 1991")</f>
        <v>0</v>
      </c>
    </row>
    <row r="6571" spans="2:4">
      <c r="B6571">
        <v>60</v>
      </c>
      <c r="C6571" s="1">
        <f>hyperlink("https://hetutrechtsarchief.nl/collectie/99444147CB065D7DA85A3AF0327F816C","Het kapittel van St Marie en de tiendkaart van t Goy en Houten uit 1640 L M J de Keijzer 1-13 ill 1991")</f>
        <v>0</v>
      </c>
      <c r="D6571" s="1">
        <f>hyperlink("http://dspace.library.uu.nl/handle/1874/312750","De duivenzolder in de Stenen Poort te Houten L M J de Keijzer 35-37 1991")</f>
        <v>0</v>
      </c>
    </row>
    <row r="6572" spans="2:4">
      <c r="B6572">
        <v>61</v>
      </c>
      <c r="C6572" s="1">
        <f>hyperlink("https://hetutrechtsarchief.nl/collectie/9215567272F0521D9B4D4381FA2DF5DC","Bourgondische dagen na herstel stadstoren te Wijk bij Duurstede - K N 76-78 ill 1970")</f>
        <v>0</v>
      </c>
      <c r="D6572" s="1">
        <f>hyperlink("http://dspace.library.uu.nl/handle/1874/312751","Boomsoorten langs wegen in het 17de eeuwse Wijk bij Duurstede R J Butterman 26-27 1990")</f>
        <v>0</v>
      </c>
    </row>
    <row r="6573" spans="2:4">
      <c r="B6573">
        <v>98</v>
      </c>
      <c r="C6573" s="1">
        <f>hyperlink("https://hetutrechtsarchief.nl/collectie/6A8BBE65951E52B6B222E491F7F209BF","Odijkse families en hofsteden tot ca 1650 iets over genealogisch onderzoek in het Kromme Rijngebied M S F Kemp 13-21 tab 1991")</f>
        <v>0</v>
      </c>
      <c r="D6573" s="1">
        <f>hyperlink("http://dspace.library.uu.nl/handle/1874/312752","Odijkse families en hofsteden tot ca 1650 iets over genealogisch onderzoek in het Kromme Rijngebied M S F Kemp 13-21 1991")</f>
        <v>0</v>
      </c>
    </row>
    <row r="6574" spans="2:4">
      <c r="B6574">
        <v>55</v>
      </c>
      <c r="C6574" s="1">
        <f>hyperlink("https://hetutrechtsarchief.nl/collectie/24507C9A5FCB501E8CB9F47D04348C68","De Roethard te Overlangbroek A P van Schilfgaarde 63-67 1965")</f>
        <v>0</v>
      </c>
      <c r="D6574" s="1">
        <f>hyperlink("http://dspace.library.uu.nl/handle/1874/312753","Donselaar een laarnaam bij Overlangbroek H J M Thiadens 22 1991")</f>
        <v>0</v>
      </c>
    </row>
    <row r="6575" spans="2:4">
      <c r="B6575">
        <v>63</v>
      </c>
      <c r="C6575" s="1">
        <f>hyperlink("https://hetutrechtsarchief.nl/collectie/8DEAC926873C5C56AFE65BBD4EDC6D1C","Stochius uit Wijk bij Duurstede C A van Burik 116-134 1998")</f>
        <v>0</v>
      </c>
      <c r="D6575" s="1">
        <f>hyperlink("http://dspace.library.uu.nl/handle/1874/312754","Kostverloren in Wijk bij Duurstede R J Butterman 18 1991")</f>
        <v>0</v>
      </c>
    </row>
    <row r="6576" spans="2:4">
      <c r="B6576">
        <v>57</v>
      </c>
      <c r="C6576" s="1">
        <f>hyperlink("https://hetutrechtsarchief.nl/collectie/8DEAC926873C5C56AFE65BBD4EDC6D1C","Stochius uit Wijk bij Duurstede C A van Burik 116-134 1998")</f>
        <v>0</v>
      </c>
      <c r="D6576" s="1">
        <f>hyperlink("http://dspace.library.uu.nl/handle/1874/312755","Concurrentie tussen schippers uit Wijk bij Duurstede en Cothen 1708 R J Butterman 19-20 1991")</f>
        <v>0</v>
      </c>
    </row>
    <row r="6577" spans="2:4">
      <c r="B6577">
        <v>56</v>
      </c>
      <c r="C6577" s="1">
        <f>hyperlink("https://hetutrechtsarchief.nl/collectie/011539BBDE955198921220A48B9EF8E2","Een laat-middeleeuws Odulphusbeeld te Utrecht Jan W Klinckaert 2-11 ill 1994")</f>
        <v>0</v>
      </c>
      <c r="D6577" s="1">
        <f>hyperlink("http://dspace.library.uu.nl/handle/1874/312756","Een laat-middeleeuws gerechtsregister van Overlangbroek R J Butterman 21-22 1991")</f>
        <v>0</v>
      </c>
    </row>
    <row r="6578" spans="2:4">
      <c r="B6578">
        <v>54</v>
      </c>
      <c r="C6578" s="1">
        <f>hyperlink("https://hetutrechtsarchief.nl/collectie/7C837DA680225ED69EC900BBD560DA94","Van den ondergang gered - K 25-28 1935")</f>
        <v>0</v>
      </c>
      <c r="D6578" s="1">
        <f>hyperlink("http://dspace.library.uu.nl/handle/1874/312757","Donserlaar geen oude -laar in Overlangbroek M S F Kemp 25-28 1991")</f>
        <v>0</v>
      </c>
    </row>
    <row r="6579" spans="2:4">
      <c r="B6579">
        <v>63</v>
      </c>
      <c r="C6579" s="1">
        <f>hyperlink("https://hetutrechtsarchief.nl/collectie/79BD1520A8FB5313970D1695E18B63A5","De tuin van kasteel Heemstede bij Houten Otto Wttewaall 73-87 1999")</f>
        <v>0</v>
      </c>
      <c r="D6579" s="1">
        <f>hyperlink("http://dspace.library.uu.nl/handle/1874/312758","Het recht om duiven te houden Otto Wttewaall 7-10 1991")</f>
        <v>0</v>
      </c>
    </row>
    <row r="6580" spans="2:4">
      <c r="B6580">
        <v>54</v>
      </c>
      <c r="C6580" s="1">
        <f>hyperlink("https://hetutrechtsarchief.nl/collectie/F9B6FAC6B763536D845461B2091ADCBA","Themanummer Vleuten-De Meern 47-78 ill fig krt 1993")</f>
        <v>0</v>
      </c>
      <c r="D6580" s="1">
        <f>hyperlink("http://dspace.library.uu.nl/handle/1874/312759","Themanummer duifhuizen C C S Wilmer et al C C S Wilmer 1-39 1991")</f>
        <v>0</v>
      </c>
    </row>
    <row r="6581" spans="2:4">
      <c r="B6581">
        <v>65</v>
      </c>
      <c r="C6581" s="1">
        <f>hyperlink("https://hetutrechtsarchief.nl/collectie/257512B03C02551E9344A6FDC6A3C64A","In Memoriam Prof Dr G Krediet J A Beijers 1-2 1952")</f>
        <v>0</v>
      </c>
      <c r="D6581" s="1">
        <f>hyperlink("http://dspace.library.uu.nl/handle/1874/312760","In memoriam Rob Butterman Redactie 1-2 1990")</f>
        <v>0</v>
      </c>
    </row>
    <row r="6582" spans="2:4">
      <c r="B6582">
        <v>57</v>
      </c>
      <c r="C6582" s="1">
        <f>hyperlink("https://hetutrechtsarchief.nl/collectie/5392BD9360F25C2DBFBDCA1D51244BBB","Een project om Woerden te versterken uit 1725 Henk A Eijlers 12-20 2007")</f>
        <v>0</v>
      </c>
      <c r="D6582" s="1">
        <f>hyperlink("http://dspace.library.uu.nl/handle/1874/312761","Een overlijdensbericht uit 1707 Henk Reiners 32 1990")</f>
        <v>0</v>
      </c>
    </row>
    <row r="6583" spans="2:4">
      <c r="B6583">
        <v>98</v>
      </c>
      <c r="C6583" s="1">
        <f>hyperlink("https://hetutrechtsarchief.nl/collectie/4240FC9C61405A149AAE9C97A00605ED","Dorpsontwikkeling in het Kromme-Rijngebied tussen 1800 en 1940 Alfons Vernooij 1-8 ill 1992")</f>
        <v>0</v>
      </c>
      <c r="D6583" s="1">
        <f>hyperlink("http://dspace.library.uu.nl/handle/1874/312786","Dorpsontwikkeling in het Kromme-Rijngebied tussen 1800 en 1940 Alfons Vernooij 1-8 1992")</f>
        <v>0</v>
      </c>
    </row>
    <row r="6584" spans="2:4">
      <c r="B6584">
        <v>89</v>
      </c>
      <c r="C6584" s="1">
        <f>hyperlink("https://hetutrechtsarchief.nl/collectie/7E7B5B678D9C5C3B9F916CA7B4F15AB2","De Houtense muts Marian Conrads 18-26 ill portr 1992")</f>
        <v>0</v>
      </c>
      <c r="D6584" s="1">
        <f>hyperlink("http://dspace.library.uu.nl/handle/1874/312787","De Houtense muts Marian Conrads 18-26 1992")</f>
        <v>0</v>
      </c>
    </row>
    <row r="6585" spans="2:4">
      <c r="B6585">
        <v>98</v>
      </c>
      <c r="C6585" s="1">
        <f>hyperlink("https://hetutrechtsarchief.nl/collectie/F7765617831A5173997BBBABCBEF9B62","Joest Gerytsz gedurende zeer lange tijd schout van Schalkwijk H M Pothuizen 10-18 ill 1992")</f>
        <v>0</v>
      </c>
      <c r="D6585" s="1">
        <f>hyperlink("http://dspace.library.uu.nl/handle/1874/312788","Joest Gerytsz gedurende zeer lange tijd schout van Schalkwijk H M Pothuizen 10-18 1992")</f>
        <v>0</v>
      </c>
    </row>
    <row r="6586" spans="2:4">
      <c r="B6586">
        <v>54</v>
      </c>
      <c r="C6586" s="1">
        <f>hyperlink("https://hetutrechtsarchief.nl/collectie/A740BA193DD457869EA089B1DD3EFF75","Opnieuw graven naar Wijks verleden archeologisch onderzoek op het terrein van de voormalige fruitveiling te Wijk bij Duurstede Jan van Doesburg 27-28 2007")</f>
        <v>0</v>
      </c>
      <c r="D6586" s="1">
        <f>hyperlink("http://dspace.library.uu.nl/handle/1874/312789","Geofysisch onderzoek op het terrein van het voormalige kasteel Schalkwijk Stichting RAAP 1-6 1992")</f>
        <v>0</v>
      </c>
    </row>
    <row r="6587" spans="2:4">
      <c r="B6587">
        <v>56</v>
      </c>
      <c r="C6587" s="1">
        <f>hyperlink("https://hetutrechtsarchief.nl/collectie/2E391910E3F450C8A1652107ED8BD3A1","De eerste kadasterlandmeters in het Kromme Rijngebied E Muller 1-8 ill 1990")</f>
        <v>0</v>
      </c>
      <c r="D6587" s="1">
        <f>hyperlink("http://dspace.library.uu.nl/handle/1874/312790","De Bemmelshofstede in Overlangbroek Ad van Bemmel 7-17 Het Kromme-Rijngebied jg 34 2000 nr 1 2 p 34-36 1992-2000")</f>
        <v>0</v>
      </c>
    </row>
    <row r="6588" spans="2:4">
      <c r="B6588">
        <v>52</v>
      </c>
      <c r="C6588" s="1">
        <f>hyperlink("https://hetutrechtsarchief.nl/collectie/FD26657288E857A7B5AF6CA37AE02ACD","Blok s Restaurant een sterrenrestaurant waar je gezien mag worden tekst Jason van de Veltmaete fotogr Hans Kokx 56-57 2013")</f>
        <v>0</v>
      </c>
      <c r="D6588" s="1">
        <f>hyperlink("http://dspace.library.uu.nl/handle/1874/312791","Opgraving van een steenoven te Tull en t Waal nabij de Lek No l Hoogen Hein van den Landzaat Frans Staakman 27-32 1992")</f>
        <v>0</v>
      </c>
    </row>
    <row r="6589" spans="2:4">
      <c r="B6589">
        <v>64</v>
      </c>
      <c r="C6589" s="1">
        <f>hyperlink("https://hetutrechtsarchief.nl/collectie/F7E9DE2B5D795142A4C336563406CE80","Boeren in verleden en heden L Atema 2-8 2000")</f>
        <v>0</v>
      </c>
      <c r="D6589" s="1">
        <f>hyperlink("http://dspace.library.uu.nl/handle/1874/312792","Begraven in het verleden Henk Reinders 1-8 1992")</f>
        <v>0</v>
      </c>
    </row>
    <row r="6590" spans="2:4">
      <c r="B6590">
        <v>82</v>
      </c>
      <c r="C6590" s="1">
        <f>hyperlink("https://hetutrechtsarchief.nl/collectie/239B80F7A0F95F61998FCF813CC94E6D","Joodse begraafplaatsen te Wijk bij Duurstede I Victor Brilleman 28-37 ill plgr 1992")</f>
        <v>0</v>
      </c>
      <c r="D6590" s="1">
        <f>hyperlink("http://dspace.library.uu.nl/handle/1874/312793","Joodse begraafplaatsen te Wijk bij Duurstede Victor Brilleman 28-37 jg 27 1993 nr 3 p 1-16 1992-1993")</f>
        <v>0</v>
      </c>
    </row>
    <row r="6591" spans="2:4">
      <c r="B6591">
        <v>60</v>
      </c>
      <c r="C6591" s="1">
        <f>hyperlink("https://hetutrechtsarchief.nl/collectie/FF7229BDDDF4528C909DA46BF72638A5","Begraafplaatsen in de provincie Utrecht Edwin Maes 4-8 2001")</f>
        <v>0</v>
      </c>
      <c r="D6591" s="1">
        <f>hyperlink("http://dspace.library.uu.nl/handle/1874/312794","Begraafplaatsen in het dorp Houten Leen de Keijzer 38-43 1992")</f>
        <v>0</v>
      </c>
    </row>
    <row r="6592" spans="2:4">
      <c r="B6592">
        <v>61</v>
      </c>
      <c r="C6592" s="1">
        <f>hyperlink("https://hetutrechtsarchief.nl/collectie/ED6172E02D5E58A296744BE98DD03AD9","Geschiedenis van het Vierkante Bosje Rom van der Schaaf 8-20 2006")</f>
        <v>0</v>
      </c>
      <c r="D6592" s="1">
        <f>hyperlink("http://dspace.library.uu.nl/handle/1874/312795","Geschiedenis van de Boaz-Bank te Bunnik 1915-1965 Arie van der Gaag 9-21 1992")</f>
        <v>0</v>
      </c>
    </row>
    <row r="6593" spans="2:4">
      <c r="B6593">
        <v>55</v>
      </c>
      <c r="C6593" s="1">
        <f>hyperlink("https://hetutrechtsarchief.nl/collectie/F83AA661F75955FE8618CA120BDB9700","Penningen van Lodewijk Napoleon L E Bosch 111-112 1859")</f>
        <v>0</v>
      </c>
      <c r="D6593" s="1">
        <f>hyperlink("http://dspace.library.uu.nl/handle/1874/312796","Begraven in Odijk Peter Bongers 9-22 1992")</f>
        <v>0</v>
      </c>
    </row>
    <row r="6594" spans="2:4">
      <c r="B6594">
        <v>62</v>
      </c>
      <c r="C6594" s="1">
        <f>hyperlink("https://hetutrechtsarchief.nl/collectie/FF7229BDDDF4528C909DA46BF72638A5","Begraafplaatsen in de provincie Utrecht Edwin Maes 4-8 2001")</f>
        <v>0</v>
      </c>
      <c r="D6594" s="1">
        <f>hyperlink("http://dspace.library.uu.nl/handle/1874/312797","Begraafplaatsen in Bunnik Henk Reinders 23-28 1992")</f>
        <v>0</v>
      </c>
    </row>
    <row r="6595" spans="2:4">
      <c r="B6595">
        <v>56</v>
      </c>
      <c r="C6595" s="1">
        <f>hyperlink("https://hetutrechtsarchief.nl/collectie/13E9868E23405CA29CBC6FE47E0DB59B","Wetensw aardigheden uit oude maandbladen van Oud-Utrecht Tj Pot 44-51 ill portr 1998")</f>
        <v>0</v>
      </c>
      <c r="D6595" s="1">
        <f>hyperlink("http://dspace.library.uu.nl/handle/1874/312798","Wetenswaardigheden over de klokken van de St Barbarakerk te Bunnik J L Cornelisse 2-9 1992")</f>
        <v>0</v>
      </c>
    </row>
    <row r="6596" spans="2:4">
      <c r="B6596">
        <v>62</v>
      </c>
      <c r="C6596" s="1">
        <f>hyperlink("https://hetutrechtsarchief.nl/collectie/58347AADC5315F1AA8BAFC20EACAD2C7","Bij de Baron in Bad Dick Steenwijk 39-40 2016")</f>
        <v>0</v>
      </c>
      <c r="D6596" s="1">
        <f>hyperlink("http://dspace.library.uu.nl/handle/1874/312799","Voorbij de Driebergse brug Dick Steenwijk 22-27 1992")</f>
        <v>0</v>
      </c>
    </row>
    <row r="6597" spans="2:4">
      <c r="B6597">
        <v>61</v>
      </c>
      <c r="C6597" s="1">
        <f>hyperlink("https://hetutrechtsarchief.nl/collectie/9D8D1B5B7300513BA62CA5D39465A0BD","Het verdwenen kasteel in Fort Blauwkapel Marijke Donkersloot-de Vrij 53-57 2002")</f>
        <v>0</v>
      </c>
      <c r="D6597" s="1">
        <f>hyperlink("http://dspace.library.uu.nl/handle/1874/312838","Plattegrond der vesting Duurstede Marijke Donkersloot-de Vrij 24-27 1993")</f>
        <v>0</v>
      </c>
    </row>
    <row r="6598" spans="2:4">
      <c r="B6598">
        <v>70</v>
      </c>
      <c r="C6598" s="1">
        <f>hyperlink("https://hetutrechtsarchief.nl/collectie/A73878A2A6455F6FBE51B85CF0B4B3E2","De Kamp te Cothen Ad van Bemmel 18-19 2013")</f>
        <v>0</v>
      </c>
      <c r="D6598" s="1">
        <f>hyperlink("http://dspace.library.uu.nl/handle/1874/312839","Brood voor de armen van Cothen Ad van Bemmel 28-29 1993")</f>
        <v>0</v>
      </c>
    </row>
    <row r="6599" spans="2:4">
      <c r="B6599">
        <v>98</v>
      </c>
      <c r="C6599" s="1">
        <f>hyperlink("https://hetutrechtsarchief.nl/collectie/41303D7490B25ACAA9E6DDC72A85DCE5","De zeventiende eeuwse orgelcultuur van Wijk bij Duurstede Jaap den Hertog 1-17 ill 1993")</f>
        <v>0</v>
      </c>
      <c r="D6599" s="1">
        <f>hyperlink("http://dspace.library.uu.nl/handle/1874/312840","De zeventiende-eeuwse orgelcultuur van Wijk bij Duurstede Jaap den Hertog 1-17 1993")</f>
        <v>0</v>
      </c>
    </row>
    <row r="6600" spans="2:4">
      <c r="B6600">
        <v>96</v>
      </c>
      <c r="C6600" s="1">
        <f>hyperlink("https://hetutrechtsarchief.nl/collectie/FEB4D975C1E95B0CB289944C0E38583E","Hendrik Jan van Lummel 1815-1877 onder andere schoolmeester te Houten van 1840 tot 1848 Leen de Keijzer 18-26 ill portr 1993")</f>
        <v>0</v>
      </c>
      <c r="D6600" s="1">
        <f>hyperlink("http://dspace.library.uu.nl/handle/1874/312841","Hendrik Jan van Lummel 1815-1877 onder andere schoolmeester te Houten van 1840 tot 1848 Leen de Keijzer 18-26 1993")</f>
        <v>0</v>
      </c>
    </row>
    <row r="6601" spans="2:4">
      <c r="B6601">
        <v>59</v>
      </c>
      <c r="C6601" s="1">
        <f>hyperlink("https://hetutrechtsarchief.nl/collectie/D0BBDC4867FD5EB1B4142A38FA1C0062","Het stuijversgeld van de Nederlandse Hervormde Kerk te Soest E Heupers 105-111 1958")</f>
        <v>0</v>
      </c>
      <c r="D6601" s="1">
        <f>hyperlink("http://dspace.library.uu.nl/handle/1874/312842","Lijst van predikanten van de Nederlandse Hervormde Gemeente van Houten Leen de Keijzer 27-32 1993")</f>
        <v>0</v>
      </c>
    </row>
    <row r="6602" spans="2:4">
      <c r="B6602">
        <v>98</v>
      </c>
      <c r="C6602" s="1">
        <f>hyperlink("https://hetutrechtsarchief.nl/collectie/A9E272E54A4B5248A8A711E65A87044E","Schilderkunst in Utrechts Overkwartier in de zeventiende eeuw Marten Jan Bok 1-24 ill 1993")</f>
        <v>0</v>
      </c>
      <c r="D6602" s="1">
        <f>hyperlink("http://dspace.library.uu.nl/handle/1874/312843","Schilderkunst in Utrechts Overkwartier in de zeventiende eeuw Marten Jan Bok 1-24 1993")</f>
        <v>0</v>
      </c>
    </row>
    <row r="6603" spans="2:4">
      <c r="B6603">
        <v>95</v>
      </c>
      <c r="C6603" s="1">
        <f>hyperlink("https://hetutrechtsarchief.nl/collectie/174A6B5586555000A107E5A5769F73F7","De motte en ijskelder van Oud-Amelisweerd Tieneke Breemhaar 1-18 ill fig 1993")</f>
        <v>0</v>
      </c>
      <c r="D6603" s="1">
        <f>hyperlink("http://dspace.library.uu.nl/handle/1874/312844","De motte en ijskelder van Oud-Amelisweerd Tieneke Breemhaar 1-18 1993")</f>
        <v>0</v>
      </c>
    </row>
    <row r="6604" spans="2:4">
      <c r="B6604">
        <v>88</v>
      </c>
      <c r="C6604" s="1">
        <f>hyperlink("https://hetutrechtsarchief.nl/collectie/A960C8B080EB5060A03481A27C187832","Oude rivierlopen rond het Fort te Vechten Henk Berendsen en Simon Wynia 17-23 plgr 1993")</f>
        <v>0</v>
      </c>
      <c r="D6604" s="1">
        <f>hyperlink("http://dspace.library.uu.nl/handle/1874/312845","Oude rivierlopen rond het Fort te Vechten Simon Berendsen Henk Wynia 17-23 1993")</f>
        <v>0</v>
      </c>
    </row>
    <row r="6605" spans="2:4">
      <c r="B6605">
        <v>54</v>
      </c>
      <c r="C6605" s="1">
        <f>hyperlink("https://hetutrechtsarchief.nl/collectie/CCC8E13B63AE549B88B8E365DDA230E9","Houten honderd jaar oud A B Haefkens 81-83 1957")</f>
        <v>0</v>
      </c>
      <c r="D6605" s="1">
        <f>hyperlink("http://dspace.library.uu.nl/handle/1874/312846","Een tweehonderd jaar oud familiebijbeltje uit Langbroek Wim Donselaar 1-6 1994")</f>
        <v>0</v>
      </c>
    </row>
    <row r="6606" spans="2:4">
      <c r="B6606">
        <v>74</v>
      </c>
      <c r="C6606" s="1">
        <f>hyperlink("https://hetutrechtsarchief.nl/collectie/B66D2ECAD87F55EFAEF7E3FEB78CD352","De zogenaamde molen van Ruisdael te Wijk bij Duurstede W van Iterson 53-73 ill 1967")</f>
        <v>0</v>
      </c>
      <c r="D6606" s="1">
        <f>hyperlink("http://dspace.library.uu.nl/handle/1874/312847","De sloop van de Molen van Ruisdael te Wijk bij Duurstede Ria van der Eerden-Vonk 7-9 1994")</f>
        <v>0</v>
      </c>
    </row>
    <row r="6607" spans="2:4">
      <c r="B6607">
        <v>64</v>
      </c>
      <c r="C6607" s="1">
        <f>hyperlink("https://hetutrechtsarchief.nl/collectie/E4CE4A1B8475532EBEF72EDC88E00B07","De Utrechtse paardenfokkerij in de 17de eeuw Kees van Schaik 25-32 ill 1998")</f>
        <v>0</v>
      </c>
      <c r="D6607" s="1">
        <f>hyperlink("http://dspace.library.uu.nl/handle/1874/312848","De verpachting van het Oudslijckerveer in t Waal in de 17de eeuw Kees van Schaik 1-15 1994")</f>
        <v>0</v>
      </c>
    </row>
    <row r="6608" spans="2:4">
      <c r="B6608">
        <v>60</v>
      </c>
      <c r="C6608" s="1">
        <f>hyperlink("https://hetutrechtsarchief.nl/collectie/8DEAC926873C5C56AFE65BBD4EDC6D1C","Stochius uit Wijk bij Duurstede C A van Burik 116-134 1998")</f>
        <v>0</v>
      </c>
      <c r="D6608" s="1">
        <f>hyperlink("http://dspace.library.uu.nl/handle/1874/312849","Hans uit De Zeven Huisjes Wijk bij Duurstede Tonny Vos-Dahmen von Buchholz 16-19 1994")</f>
        <v>0</v>
      </c>
    </row>
    <row r="6609" spans="2:4">
      <c r="B6609">
        <v>98</v>
      </c>
      <c r="C6609" s="1">
        <f>hyperlink("https://hetutrechtsarchief.nl/collectie/346865E29ADA5820991EE4DB3640901A","De loterij van Johan de Bont uit 1649 in Wijk bij Duurstede Reinalda Kosse 1-13 ill 1994")</f>
        <v>0</v>
      </c>
      <c r="D6609" s="1">
        <f>hyperlink("http://dspace.library.uu.nl/handle/1874/312850","De loterij van Johan de Bont uit 1649 in Wijk bij Duurstede Reinalda Kosse 1-13 1994")</f>
        <v>0</v>
      </c>
    </row>
    <row r="6610" spans="2:4">
      <c r="B6610">
        <v>57</v>
      </c>
      <c r="C6610" s="1">
        <f>hyperlink("https://hetutrechtsarchief.nl/collectie/8BDD899FBC0453508A1EB66A475598D8","Oude kaarten van de Nederlandse bisdommen 1559-1801 H A M van der Heijden 195-265 1999")</f>
        <v>0</v>
      </c>
      <c r="D6610" s="1">
        <f>hyperlink("http://dspace.library.uu.nl/handle/1874/312851","De komst van de fiets en auto in Langbroek 1881-1923 Ria van der Eerden-Vonk 14-23 1994")</f>
        <v>0</v>
      </c>
    </row>
    <row r="6611" spans="2:4">
      <c r="B6611">
        <v>61</v>
      </c>
      <c r="C6611" s="1">
        <f>hyperlink("https://hetutrechtsarchief.nl/collectie/E44396FA1821513D9B2F22B2733EBBF3","Cornelis van Bemmel rond 1810 veerbaas van het Wijkse veer Jo van Bemmel 62-66 1999")</f>
        <v>0</v>
      </c>
      <c r="D6611" s="1">
        <f>hyperlink("http://dspace.library.uu.nl/handle/1874/312852","De Vogelpoel en de Van Bemmels aan de Wijkersloot Jo van Bemmel 24-30 1994")</f>
        <v>0</v>
      </c>
    </row>
    <row r="6612" spans="2:4">
      <c r="B6612">
        <v>64</v>
      </c>
      <c r="C6612" s="1">
        <f>hyperlink("https://hetutrechtsarchief.nl/collectie/BAD4A06406A3E5D8E0538F04000A491F","De pomp op de Brink in Werkhoven Johan van Impelen 11-15 2020")</f>
        <v>0</v>
      </c>
      <c r="D6612" s="1">
        <f>hyperlink("http://dspace.library.uu.nl/handle/1874/312853","De bomen op de Werkhovense Brink ruim drie eeuwen geschiedenis Johan van Impelen 1-14 1994")</f>
        <v>0</v>
      </c>
    </row>
    <row r="6613" spans="2:4">
      <c r="B6613">
        <v>67</v>
      </c>
      <c r="C6613" s="1">
        <f>hyperlink("https://hetutrechtsarchief.nl/collectie/96FFE8A3CA2456858A8A7E53FFE52ADA","Restauratie van de molen Rijn en Lek in Wijk bij Duurstede Theo van Wijk 15-16 ill 1998")</f>
        <v>0</v>
      </c>
      <c r="D6613" s="1">
        <f>hyperlink("http://dspace.library.uu.nl/handle/1874/312854","De Dijkstraat in Wijk bij Duurstede Theo van Wijk 17-20 1994")</f>
        <v>0</v>
      </c>
    </row>
    <row r="6614" spans="2:4">
      <c r="B6614">
        <v>54</v>
      </c>
      <c r="C6614" s="1">
        <f>hyperlink("https://hetutrechtsarchief.nl/collectie/DE14DC29EB345671B2A14EF622419339","De Unie van Utrecht de herdenking in 1679 J van Herwaarden en J C Hollander 65-66 1979")</f>
        <v>0</v>
      </c>
      <c r="D6614" s="1">
        <f>hyperlink("http://dspace.library.uu.nl/handle/1874/312855","Een Belgische herdenkingspenning gevonden te Schalkwijk Frans Landzaat 15-16 1994")</f>
        <v>0</v>
      </c>
    </row>
    <row r="6615" spans="2:4">
      <c r="B6615">
        <v>55</v>
      </c>
      <c r="C6615" s="1">
        <f>hyperlink("https://hetutrechtsarchief.nl/collectie/F562D1C7B41A575ABDFF801447929E1D","Baarhuisje R K Kerkhof Eemnes Piet Hagen 95-96 1998")</f>
        <v>0</v>
      </c>
      <c r="D6615" s="1">
        <f>hyperlink("http://dspace.library.uu.nl/handle/1874/312856","Varia kerkhoven te Cothen 33 1993")</f>
        <v>0</v>
      </c>
    </row>
    <row r="6616" spans="2:4">
      <c r="B6616">
        <v>64</v>
      </c>
      <c r="C6616" s="1">
        <f>hyperlink("https://hetutrechtsarchief.nl/collectie/BA478F2E574954BABD6050DEBDC868A7","De hofstede Rhijnenburg te Cothen Ad van Bemmel 33-34 ill 1998")</f>
        <v>0</v>
      </c>
      <c r="D6616" s="1">
        <f>hyperlink("http://dspace.library.uu.nl/handle/1874/312857","Varia Een klooster in Dwarsdijk te Cothen Ad van Bemmel 28-30 1994")</f>
        <v>0</v>
      </c>
    </row>
    <row r="6617" spans="2:4">
      <c r="B6617">
        <v>62</v>
      </c>
      <c r="C6617" s="1">
        <f>hyperlink("https://hetutrechtsarchief.nl/collectie/525652EA51E056888AB9F53236C9D49A","Rapportage ledenonderzoek van de Historische Kring Tussen Rijn en Lek F Vogelzang en N Vugts 97-102 1998")</f>
        <v>0</v>
      </c>
      <c r="D6617" s="1">
        <f>hyperlink("http://dspace.library.uu.nl/handle/1874/313093","Het Kromme-Rijngebied tijdschrift van de Historische Kring Tussen Rijn en Lek Historische Kring Tussen Rijn en Lek 1995-")</f>
        <v>0</v>
      </c>
    </row>
    <row r="6618" spans="2:4">
      <c r="B6618">
        <v>97</v>
      </c>
      <c r="C6618" s="1">
        <f>hyperlink("https://hetutrechtsarchief.nl/collectie/F89CEA2F3B2852B7AF498C35D04FFC56","Zeven oorlogmonumenten in het Kromme-Rijngebied Rob van Olderen 2-8 ill 1995")</f>
        <v>0</v>
      </c>
      <c r="D6618" s="1">
        <f>hyperlink("http://dspace.library.uu.nl/handle/1874/313094","Zeven oorlogsmonumenten in het Kromme-Rijngebied Rob van Olderen 2-8 1995")</f>
        <v>0</v>
      </c>
    </row>
    <row r="6619" spans="2:4">
      <c r="B6619">
        <v>97</v>
      </c>
      <c r="C6619" s="1">
        <f>hyperlink("https://hetutrechtsarchief.nl/collectie/759D747951855F96B0BD4B43A2A19693","Herdenkingsmonument Rhijnauwen Arie van der Gaag 10-14 ill 1995")</f>
        <v>0</v>
      </c>
      <c r="D6619" s="1">
        <f>hyperlink("http://dspace.library.uu.nl/handle/1874/313095","Herdenkingsmonument Rhijnauwen Arie van der Gaag 10-14 1995")</f>
        <v>0</v>
      </c>
    </row>
    <row r="6620" spans="2:4">
      <c r="B6620">
        <v>59</v>
      </c>
      <c r="C6620" s="1">
        <f>hyperlink("https://hetutrechtsarchief.nl/collectie/A9BF25F8F9F05943A692A5181E9C1759","Uit de oorlogsdagboeken van Baron van Heerdt Arie Twigt 21-28 2011")</f>
        <v>0</v>
      </c>
      <c r="D6620" s="1">
        <f>hyperlink("http://dspace.library.uu.nl/handle/1874/313096","Uit het oorlogsdagboek van J Wttewaal J Wttewaall 15-18 1995")</f>
        <v>0</v>
      </c>
    </row>
    <row r="6621" spans="2:4">
      <c r="B6621">
        <v>58</v>
      </c>
      <c r="C6621" s="1">
        <f>hyperlink("https://hetutrechtsarchief.nl/collectie/5B5E82BB618B5E6A87A233C42256F434","Nieuwe informatie over ijsvermaak en monumenten in Wijk bij Duurstede Ria van der Eerden 90-92 2009")</f>
        <v>0</v>
      </c>
      <c r="D6621" s="1">
        <f>hyperlink("http://dspace.library.uu.nl/handle/1874/313097","Louis Worms over zijn onderduikersverleden in Wijk bij Duurstede Marijke Eerden-Vonk Ria van der Donkersloot-de Vrij 19-23 1995")</f>
        <v>0</v>
      </c>
    </row>
    <row r="6622" spans="2:4">
      <c r="B6622">
        <v>60</v>
      </c>
      <c r="C6622" s="1">
        <f>hyperlink("https://hetutrechtsarchief.nl/collectie/34033F6E48DB58579D1F3DA6190586CE","Kastelen en buitenplaatsen op de Heuvelrug en de Vallei B Olde Meierink 19 ill 1992")</f>
        <v>0</v>
      </c>
      <c r="D6622" s="1">
        <f>hyperlink("http://dspace.library.uu.nl/handle/1874/313098","Kasteel Schonauwen bij Houten een bouwkundige inspectie uit de 17de eeuw Ben Olde Meierink 29-34 1995")</f>
        <v>0</v>
      </c>
    </row>
    <row r="6623" spans="2:4">
      <c r="B6623">
        <v>68</v>
      </c>
      <c r="C6623" s="1">
        <f>hyperlink("https://hetutrechtsarchief.nl/collectie/79BD1520A8FB5313970D1695E18B63A5","De tuin van kasteel Heemstede bij Houten Otto Wttewaall 73-87 1999")</f>
        <v>0</v>
      </c>
      <c r="D6623" s="1">
        <f>hyperlink("http://dspace.library.uu.nl/handle/1874/313099","Het kasteel Oud Wulven Otto Wttewaall 35-38 1995")</f>
        <v>0</v>
      </c>
    </row>
    <row r="6624" spans="2:4">
      <c r="B6624">
        <v>67</v>
      </c>
      <c r="C6624" s="1">
        <f>hyperlink("https://hetutrechtsarchief.nl/collectie/9D8D1B5B7300513BA62CA5D39465A0BD","Het verdwenen kasteel in Fort Blauwkapel Marijke Donkersloot-de Vrij 53-57 2002")</f>
        <v>0</v>
      </c>
      <c r="D6624" s="1">
        <f>hyperlink("http://dspace.library.uu.nl/handle/1874/313100","Het Burgje in Odijk een kasteellocatie Marijke Donkersloot-de Vrij 39-41 1995")</f>
        <v>0</v>
      </c>
    </row>
    <row r="6625" spans="2:4">
      <c r="B6625">
        <v>56</v>
      </c>
      <c r="C6625" s="1">
        <f>hyperlink("https://hetutrechtsarchief.nl/collectie/C037F616DD26520EA6D082C5E97BFF1D","Opgraving Jan Meijenstraat tussenbalans van het archeologisch onderzoek T J Hoekstra 17-24 ill plgr 1980")</f>
        <v>0</v>
      </c>
      <c r="D6625" s="1">
        <f>hyperlink("http://dspace.library.uu.nl/handle/1874/313101","De stadsommuring van Wijk bij Duurstede resultaten van het archeologisch onderzoek Langs de Wal Jan van Doesburg 44-51 1995")</f>
        <v>0</v>
      </c>
    </row>
    <row r="6626" spans="2:4">
      <c r="B6626">
        <v>64</v>
      </c>
      <c r="C6626" s="1">
        <f>hyperlink("https://hetutrechtsarchief.nl/collectie/08117BBBD5F056D98F620FBF997E1787","Persoonlijke herinneringen aan de barre winter van 1963 Jaap Groeneveld 18-30 2014")</f>
        <v>0</v>
      </c>
      <c r="D6626" s="1">
        <f>hyperlink("http://dspace.library.uu.nl/handle/1874/313102","Persoonlijke herinneringen aan Leen de Keijzer C Dekker 57-60 1995")</f>
        <v>0</v>
      </c>
    </row>
    <row r="6627" spans="2:4">
      <c r="B6627">
        <v>58</v>
      </c>
      <c r="C6627" s="1">
        <f>hyperlink("https://hetutrechtsarchief.nl/collectie/54A011ADF23D5DA6AF1AA5B8FAD2804F","De Binnenstad trilt Inge Keizer 4-5 2010")</f>
        <v>0</v>
      </c>
      <c r="D6627" s="1">
        <f>hyperlink("http://dspace.library.uu.nl/handle/1874/313103","De verdwenen hofstad Tiellandt in Houten Leen de Keijzer 61-65 1995")</f>
        <v>0</v>
      </c>
    </row>
    <row r="6628" spans="2:4">
      <c r="B6628">
        <v>70</v>
      </c>
      <c r="C6628" s="1">
        <f>hyperlink("https://hetutrechtsarchief.nl/collectie/B477226DBD0A53379AB780D435FD0EE1","Drie eeuwen bewoners van een herberg-boerderij O Dekkers 188-199 2004")</f>
        <v>0</v>
      </c>
      <c r="D6628" s="1">
        <f>hyperlink("http://dspace.library.uu.nl/handle/1874/313104","De Prins te Vechten eigenaren en bewoners van een herberg-boerderij Henk Reinders 66-71 1995")</f>
        <v>0</v>
      </c>
    </row>
    <row r="6629" spans="2:4">
      <c r="B6629">
        <v>62</v>
      </c>
      <c r="C6629" s="1">
        <f>hyperlink("https://hetutrechtsarchief.nl/collectie/BAD4A06406A3E5D8E0538F04000A491F","De pomp op de Brink in Werkhoven Johan van Impelen 11-15 2020")</f>
        <v>0</v>
      </c>
      <c r="D6629" s="1">
        <f>hyperlink("http://dspace.library.uu.nl/handle/1874/313105","De Stalen Boog de herkomst van een straatnaam in Werkhoven Johan van Impelen 72-78 1995")</f>
        <v>0</v>
      </c>
    </row>
    <row r="6630" spans="2:4">
      <c r="B6630">
        <v>63</v>
      </c>
      <c r="C6630" s="1">
        <f>hyperlink("https://hetutrechtsarchief.nl/collectie/C688DD572DF755D8BC2F4C8470B0D82E","Geschiedschrijving Cothen en historisch bewustzijn Cothenaren Ad van Bemmel 1-21 2015")</f>
        <v>0</v>
      </c>
      <c r="D6630" s="1">
        <f>hyperlink("http://dspace.library.uu.nl/handle/1874/313106","Opheffing gemeente Cothen een historische terugblik Ad van Bemmel 81-83 1995")</f>
        <v>0</v>
      </c>
    </row>
    <row r="6631" spans="2:4">
      <c r="B6631">
        <v>74</v>
      </c>
      <c r="C6631" s="1">
        <f>hyperlink("https://hetutrechtsarchief.nl/collectie/0FCB4FF7304955AFAB2803CC31B65D7C","De Bataafse Omwenteling in Breukelen Wim van Schaik 47-54 2010")</f>
        <v>0</v>
      </c>
      <c r="D6631" s="1">
        <f>hyperlink("http://dspace.library.uu.nl/handle/1874/313107","De Bataafse omwenteling in Houten en t Goy Kees van Schaik 84-104 1995")</f>
        <v>0</v>
      </c>
    </row>
    <row r="6632" spans="2:4">
      <c r="B6632">
        <v>100</v>
      </c>
      <c r="C6632" s="1">
        <f>hyperlink("https://hetutrechtsarchief.nl/collectie/3CE60435421057D08CC105C0AD022CE5","Twee bijzondere hangers uit het Kromme-Rijngebied Jan van Doesburg 1-5 1998")</f>
        <v>0</v>
      </c>
      <c r="D6632" s="1">
        <f>hyperlink("http://dspace.library.uu.nl/handle/1874/313111","Twee bijzondere hangers uit het Kromme-Rijngebied Jan van Doesburg 1-5 1998")</f>
        <v>0</v>
      </c>
    </row>
    <row r="6633" spans="2:4">
      <c r="B6633">
        <v>98</v>
      </c>
      <c r="C6633" s="1">
        <f>hyperlink("https://hetutrechtsarchief.nl/collectie/461F634079AC526A8C39D2D444A22CF2","Wat een zeventiende-eeuwse beurtschipper op de Kromme Rijn vervoerde Ferdinand de Rooy 7-11 ill 1998")</f>
        <v>0</v>
      </c>
      <c r="D6633" s="1">
        <f>hyperlink("http://dspace.library.uu.nl/handle/1874/313112","Wat een zeventiende-eeuwse beurtschipper op de Kromme Rijn vervoerde Ferdinand de Rooy 7-11 1998")</f>
        <v>0</v>
      </c>
    </row>
    <row r="6634" spans="2:4">
      <c r="B6634">
        <v>96</v>
      </c>
      <c r="C6634" s="1">
        <f>hyperlink("https://hetutrechtsarchief.nl/collectie/F532CA20AF2D56CDBCC0C493DB6F1E08","De Smidse en de Boom Theo van Wijk 12-14 ill 1998")</f>
        <v>0</v>
      </c>
      <c r="D6634" s="1">
        <f>hyperlink("http://dspace.library.uu.nl/handle/1874/313113","De Smidse en de Boom Theo van Wijk 12-14 1998")</f>
        <v>0</v>
      </c>
    </row>
    <row r="6635" spans="2:4">
      <c r="B6635">
        <v>98</v>
      </c>
      <c r="C6635" s="1">
        <f>hyperlink("https://hetutrechtsarchief.nl/collectie/96FFE8A3CA2456858A8A7E53FFE52ADA","Restauratie van de molen Rijn en Lek in Wijk bij Duurstede Theo van Wijk 15-16 ill 1998")</f>
        <v>0</v>
      </c>
      <c r="D6635" s="1">
        <f>hyperlink("http://dspace.library.uu.nl/handle/1874/313114","Restauratie van de molen Rijn en Lek in Wijk bij Duurstede Theo van Wijk 15-16 1998")</f>
        <v>0</v>
      </c>
    </row>
    <row r="6636" spans="2:4">
      <c r="B6636">
        <v>97</v>
      </c>
      <c r="C6636" s="1">
        <f>hyperlink("https://hetutrechtsarchief.nl/collectie/E4CE4A1B8475532EBEF72EDC88E00B07","De Utrechtse paardenfokkerij in de 17de eeuw Kees van Schaik 25-32 ill 1998")</f>
        <v>0</v>
      </c>
      <c r="D6636" s="1">
        <f>hyperlink("http://dspace.library.uu.nl/handle/1874/313115","De Utrechtse paardenfokkerij in de 17de eeuw Kees van Schaik 25-32 1998")</f>
        <v>0</v>
      </c>
    </row>
    <row r="6637" spans="2:4">
      <c r="B6637">
        <v>96</v>
      </c>
      <c r="C6637" s="1">
        <f>hyperlink("https://hetutrechtsarchief.nl/collectie/680F3EFAD39D52E483A98604C9DCFA4A","Kastelen en kasteelterreinen in Houten Otto Wttewaall 35-49 ill 1998")</f>
        <v>0</v>
      </c>
      <c r="D6637" s="1">
        <f>hyperlink("http://dspace.library.uu.nl/handle/1874/313116","Kastelen en kasteelterreinen in Houten Otto Wttewaal 35-49 1998")</f>
        <v>0</v>
      </c>
    </row>
    <row r="6638" spans="2:4">
      <c r="B6638">
        <v>81</v>
      </c>
      <c r="C6638" s="1">
        <f>hyperlink("https://hetutrechtsarchief.nl/collectie/BA478F2E574954BABD6050DEBDC868A7","De hofstede Rhijnenburg te Cothen Ad van Bemmel 33-34 ill 1998")</f>
        <v>0</v>
      </c>
      <c r="D6638" s="1">
        <f>hyperlink("http://dspace.library.uu.nl/handle/1874/313117","De hofstede Rhijnenburg te Cothen Ad van Bemmel 33-34 jg 33 1999 nr 2 p 47 1998-1999")</f>
        <v>0</v>
      </c>
    </row>
    <row r="6639" spans="2:4">
      <c r="B6639">
        <v>51</v>
      </c>
      <c r="C6639" s="1">
        <f>hyperlink("https://hetutrechtsarchief.nl/collectie/367C402D991459CA82C88D9D8AA39E4B","Jaarverslag van de archeologische werkgroep Leen de Keijzer over 2002 Anton van Schip 32-33 2003")</f>
        <v>0</v>
      </c>
      <c r="D6639" s="1">
        <f>hyperlink("http://dspace.library.uu.nl/handle/1874/313118","Jaarverslag van de archeologische werkgroep Leen de Keijzer over Anton van Schip 21 jg 31 1997 nr 1 p 15-16 jg 32 1932 nr 1 p 19-20 jg 33 1999 nr 2 p 41-42 jg 34 2000 nr 1 2 p 30-31 jg 35 2001 nr 3 p 63-64 jg 36 2002 nr 2 3 p 57-59 jg 37 2003 nr 1 2 p 32-33 1996-")</f>
        <v>0</v>
      </c>
    </row>
    <row r="6640" spans="2:4">
      <c r="B6640">
        <v>60</v>
      </c>
      <c r="C6640" s="1">
        <f>hyperlink("https://hetutrechtsarchief.nl/collectie/E84E619945CF5A9FA64FFC52B1ED98DD","Het geslacht De Marez Van Zuylen H J Koenen 177-180 1899")</f>
        <v>0</v>
      </c>
      <c r="D6640" s="1">
        <f>hyperlink("http://dspace.library.uu.nl/handle/1874/313119","Het grootste gezin van Bunnik Henk Reinders 76-80 1997")</f>
        <v>0</v>
      </c>
    </row>
    <row r="6641" spans="2:4">
      <c r="B6641">
        <v>57</v>
      </c>
      <c r="C6641" s="1">
        <f>hyperlink("https://hetutrechtsarchief.nl/collectie/F05BEE8C03AA5FD3A4C30EEFAA79749F","Van AZU tot Hooch Boulandt Cor Schavemaker 16-17 ill portr 1996")</f>
        <v>0</v>
      </c>
      <c r="D6641" s="1">
        <f>hyperlink("http://dspace.library.uu.nl/handle/1874/313120","Van notarishuis tot huishoudschool Francis Hekelen 1-17 1996")</f>
        <v>0</v>
      </c>
    </row>
    <row r="6642" spans="2:4">
      <c r="B6642">
        <v>67</v>
      </c>
      <c r="C6642" s="1">
        <f>hyperlink("https://hetutrechtsarchief.nl/collectie/04B139D7F158584687124E6AB43FBC45","Kastelen in het Kromme Rijngebied Taco Hermans 36-39 2017")</f>
        <v>0</v>
      </c>
      <c r="D6642" s="1">
        <f>hyperlink("http://dspace.library.uu.nl/handle/1874/313121","Leenkamers in het Kromme-Rijngebied Jacob Kort 25-28 1996")</f>
        <v>0</v>
      </c>
    </row>
    <row r="6643" spans="2:4">
      <c r="B6643">
        <v>54</v>
      </c>
      <c r="C6643" s="1">
        <f>hyperlink("https://hetutrechtsarchief.nl/collectie/D01918AA72805B449A23C885557B73A0","Theodorus Siliginus eerste predikant te Veenendaal D Philips 58-62 1956")</f>
        <v>0</v>
      </c>
      <c r="D6643" s="1">
        <f>hyperlink("http://dspace.library.uu.nl/handle/1874/313122","Joannes Assueri Bodecherus predikant te Cothen Bas de Ligt 29-30 1996")</f>
        <v>0</v>
      </c>
    </row>
    <row r="6644" spans="2:4">
      <c r="B6644">
        <v>59</v>
      </c>
      <c r="C6644" s="1">
        <f>hyperlink("https://hetutrechtsarchief.nl/collectie/F2C0AA641B8B56A3B3DAD856FA14B092","Romeinen een glasfragment uit Vechten C Isings 87 ill 1997")</f>
        <v>0</v>
      </c>
      <c r="D6644" s="1">
        <f>hyperlink("http://dspace.library.uu.nl/handle/1874/313123","Romeins geld uit Vechten Iris Tymann 31-37 1996")</f>
        <v>0</v>
      </c>
    </row>
    <row r="6645" spans="2:4">
      <c r="B6645">
        <v>60</v>
      </c>
      <c r="C6645" s="1">
        <f>hyperlink("https://hetutrechtsarchief.nl/collectie/4FF4B81C320B5E439BD876EE3D3848B2","Heerschappij en ontginning in Woudenberg in de Middeleeuwen C Dekker 123 -166 2003")</f>
        <v>0</v>
      </c>
      <c r="D6645" s="1">
        <f>hyperlink("http://dspace.library.uu.nl/handle/1874/313124","Bestuurlijke ontwikkeling van Bunnik Odijk en Werkhoven vanaf de middeleeuwen C Dekker 46-59 1996")</f>
        <v>0</v>
      </c>
    </row>
    <row r="6646" spans="2:4">
      <c r="B6646">
        <v>56</v>
      </c>
      <c r="C6646" s="1">
        <f>hyperlink("https://hetutrechtsarchief.nl/collectie/BAD2C1AEA446D9E7E0538F04000A2E9D","Van ICT er tot speeltuinbaas Helene Timmers 6-9 2020")</f>
        <v>0</v>
      </c>
      <c r="D6646" s="1">
        <f>hyperlink("http://dspace.library.uu.nl/handle/1874/313125","Bunnik van gerechtskamer tot gemeentehuis Henk Reinders 60-69 1996")</f>
        <v>0</v>
      </c>
    </row>
    <row r="6647" spans="2:4">
      <c r="B6647">
        <v>59</v>
      </c>
      <c r="C6647" s="1">
        <f>hyperlink("https://hetutrechtsarchief.nl/collectie/D973E9D23928512C8CFCEADEF334D487","De Neogotische Kerk van architect Nicolaas J Kamperdijk Peter de Wit 43-51 2016")</f>
        <v>0</v>
      </c>
      <c r="D6647" s="1">
        <f>hyperlink("http://dspace.library.uu.nl/handle/1874/313126","Het Bunnikse gemeentehuis van architect E G Wentink 1987 Peter de Wit 70-75 1996")</f>
        <v>0</v>
      </c>
    </row>
    <row r="6648" spans="2:4">
      <c r="B6648">
        <v>57</v>
      </c>
      <c r="C6648" s="1">
        <f>hyperlink("https://hetutrechtsarchief.nl/collectie/6F34C3F677A556A09021BD9281B1411B","De Gronsvelt-kameren R van Luttervelt 60-62 1946")</f>
        <v>0</v>
      </c>
      <c r="D6648" s="1">
        <f>hyperlink("http://dspace.library.uu.nl/handle/1874/313127","De gerechts- en raadkamer van Odijk Hettie Krol 76-81 1996")</f>
        <v>0</v>
      </c>
    </row>
    <row r="6649" spans="2:4">
      <c r="B6649">
        <v>65</v>
      </c>
      <c r="C6649" s="1">
        <f>hyperlink("https://hetutrechtsarchief.nl/collectie/BAD4A06406A3E5D8E0538F04000A491F","De pomp op de Brink in Werkhoven Johan van Impelen 11-15 2020")</f>
        <v>0</v>
      </c>
      <c r="D6649" s="1">
        <f>hyperlink("http://dspace.library.uu.nl/handle/1874/313128","De gerechts- en raadkamer van Werkhoven Johan van Impelen 82-87 1996")</f>
        <v>0</v>
      </c>
    </row>
    <row r="6650" spans="2:4">
      <c r="B6650">
        <v>57</v>
      </c>
      <c r="C6650" s="1">
        <f>hyperlink("https://hetutrechtsarchief.nl/collectie/86E82EBAA2E65240BC27036CB9BC3BAE","De strijd tusschen de tertiarissen van het Utrechtsche kapittel en de minderbroeders in de laatste helft der zestiende eeuw P Dalm van Heel 91-110 1937")</f>
        <v>0</v>
      </c>
      <c r="D6650" s="1">
        <f>hyperlink("http://dspace.library.uu.nl/handle/1874/313129","De belangrijkste gevangenen van kasteel Duurstede de tweedracht tussen David van Bourgondie en de Brederodes in de tweede helft van de vijftiende eeuw Michel van Gent 90-116 1996")</f>
        <v>0</v>
      </c>
    </row>
    <row r="6651" spans="2:4">
      <c r="B6651">
        <v>57</v>
      </c>
      <c r="C6651" s="1">
        <f>hyperlink("https://hetutrechtsarchief.nl/collectie/C037F616DD26520EA6D082C5E97BFF1D","Opgraving Jan Meijenstraat tussenbalans van het archeologisch onderzoek T J Hoekstra 17-24 ill plgr 1980")</f>
        <v>0</v>
      </c>
      <c r="D6651" s="1">
        <f>hyperlink("http://dspace.library.uu.nl/handle/1874/313130","De Sint-Stevenskerk te Werkhoven verslag van het archeologisch onderzoek in 1995 Peter de Wit 1-10 1997")</f>
        <v>0</v>
      </c>
    </row>
    <row r="6652" spans="2:4">
      <c r="B6652">
        <v>62</v>
      </c>
      <c r="C6652" s="1">
        <f>hyperlink("https://hetutrechtsarchief.nl/collectie/79BD1520A8FB5313970D1695E18B63A5","De tuin van kasteel Heemstede bij Houten Otto Wttewaall 73-87 1999")</f>
        <v>0</v>
      </c>
      <c r="D6652" s="1">
        <f>hyperlink("http://dspace.library.uu.nl/handle/1874/313131","De vondst van de Romeinse villa te Houten in 1957 Otto Wttewaall 21-24 1997")</f>
        <v>0</v>
      </c>
    </row>
    <row r="6653" spans="2:4">
      <c r="B6653">
        <v>55</v>
      </c>
      <c r="C6653" s="1">
        <f>hyperlink("https://hetutrechtsarchief.nl/collectie/79F561CDDE6A509EAA703A5A0AB5E765","De Hoge Zandbrug een ingenieus gemetselde boogbrug in Werkhoven Saskia van Ginkel-Meester en Gijs van der Leck 49-56 1999")</f>
        <v>0</v>
      </c>
      <c r="D6653" s="1">
        <f>hyperlink("http://dspace.library.uu.nl/handle/1874/313132","De negentiende-eeuwse bruggen bij kasteel Beverweerd te Werkhoven in oude glorie hersteld Gijs van der Ginkel-Meester Saskia van Leck 25-34 1997")</f>
        <v>0</v>
      </c>
    </row>
    <row r="6654" spans="2:4">
      <c r="B6654">
        <v>52</v>
      </c>
      <c r="C6654" s="1">
        <f>hyperlink("https://hetutrechtsarchief.nl/collectie/AD982DD9FABD5418AA2D6F6B3E76C080","De Waals-Hervormden en de Franse invloed op de Hervorming in Nederland H van Arkel 83-86 1999")</f>
        <v>0</v>
      </c>
      <c r="D6654" s="1">
        <f>hyperlink("http://dspace.library.uu.nl/handle/1874/313133","De Zondagsschool en de strijd tussen orthodoxie en vrijzinnigheid in Nederlangbroek 1819-1916 Annemarie Ettekoven 41-63 1997")</f>
        <v>0</v>
      </c>
    </row>
    <row r="6655" spans="2:4">
      <c r="B6655">
        <v>55</v>
      </c>
      <c r="C6655" s="1">
        <f>hyperlink("https://hetutrechtsarchief.nl/collectie/1E50F63ABDAA5F03AD997789E77D9A9E","De metamorfose van kasteel Beverweerd Saskia van Ginkel-Meester 110-113 2008")</f>
        <v>0</v>
      </c>
      <c r="D6655" s="1">
        <f>hyperlink("http://dspace.library.uu.nl/handle/1874/313134","Priorij Gods Werkhof is er nog toekomst voor een jong monument Saskia van Ginkel-Meester 65-70 1997")</f>
        <v>0</v>
      </c>
    </row>
    <row r="6656" spans="2:4">
      <c r="B6656">
        <v>56</v>
      </c>
      <c r="C6656" s="1">
        <f>hyperlink("https://hetutrechtsarchief.nl/collectie/8005394B2DF754CF812EB150396CCF46","Enkele opmerkingen over de historie van de korenmolen in t Goy Casper van Burik 1-13 2013")</f>
        <v>0</v>
      </c>
      <c r="D6656" s="1">
        <f>hyperlink("http://dspace.library.uu.nl/handle/1874/313135","Anthony Verkerk de molenaar die failliet ging Casper A van Burik 71-75 1997")</f>
        <v>0</v>
      </c>
    </row>
    <row r="6657" spans="2:4">
      <c r="B6657">
        <v>60</v>
      </c>
      <c r="C6657" s="1">
        <f>hyperlink("https://hetutrechtsarchief.nl/collectie/8DEAC926873C5C56AFE65BBD4EDC6D1C","Stochius uit Wijk bij Duurstede C A van Burik 116-134 1998")</f>
        <v>0</v>
      </c>
      <c r="D6657" s="1">
        <f>hyperlink("http://dspace.library.uu.nl/handle/1874/313136","Brand verwoest schuur in Wijk bij Duurstede J W F Voogt 19-20 1997")</f>
        <v>0</v>
      </c>
    </row>
    <row r="6658" spans="2:4">
      <c r="B6658">
        <v>89</v>
      </c>
      <c r="C6658" s="1">
        <f>hyperlink("https://hetutrechtsarchief.nl/collectie/13A0760716BD5B979323890120CCFC37","Cholera in het Kromme-Rijngebied Piet t Hart 57-69 ill portr tab 1998")</f>
        <v>0</v>
      </c>
      <c r="D6658" s="1">
        <f>hyperlink("http://dspace.library.uu.nl/handle/1874/313144","Cholera in het Kromme-Rijngebied Piet t Hart 57-69 1998")</f>
        <v>0</v>
      </c>
    </row>
    <row r="6659" spans="2:4">
      <c r="B6659">
        <v>97</v>
      </c>
      <c r="C6659" s="1">
        <f>hyperlink("https://hetutrechtsarchief.nl/collectie/3A1989D835435003BC5AA336070A601B","Kaart van Schonauwen aan de vergetelheid ontrukt Douwe Koen 70-72 ill 1998")</f>
        <v>0</v>
      </c>
      <c r="D6659" s="1">
        <f>hyperlink("http://dspace.library.uu.nl/handle/1874/313145","Kaart van Schonauwen aan de vergetelheid ontrukt Douwe Koen 70-72 1998")</f>
        <v>0</v>
      </c>
    </row>
    <row r="6660" spans="2:4">
      <c r="B6660">
        <v>92</v>
      </c>
      <c r="C6660" s="1">
        <f>hyperlink("https://hetutrechtsarchief.nl/collectie/29DA22AE83B55216A831B31C9F0D2D4D","De schoenmakersfamilie Sterkenburg Henk Reinders 73-81 ill portr 1998")</f>
        <v>0</v>
      </c>
      <c r="D6660" s="1">
        <f>hyperlink("http://dspace.library.uu.nl/handle/1874/313146","De schoenmakersfamilie Sterkenburg Henk Reinders 73-81 1998")</f>
        <v>0</v>
      </c>
    </row>
    <row r="6661" spans="2:4">
      <c r="B6661">
        <v>98</v>
      </c>
      <c r="C6661" s="1">
        <f>hyperlink("https://hetutrechtsarchief.nl/collectie/CD8B6B7D3ED35926A7EF39AAB8D91DB4","Gemeentelijke inbreidingen versus monumentenbeleid in de gemeente Bunnik P S A de Wit 21-23 ill 1998")</f>
        <v>0</v>
      </c>
      <c r="D6661" s="1">
        <f>hyperlink("http://dspace.library.uu.nl/handle/1874/313147","Gemeentelijke inbreidingen versus monumentenbeleid in de gemeente Bunnik P S A de Wit 21-23 1998")</f>
        <v>0</v>
      </c>
    </row>
    <row r="6662" spans="2:4">
      <c r="B6662">
        <v>89</v>
      </c>
      <c r="C6662" s="1">
        <f>hyperlink("https://hetutrechtsarchief.nl/collectie/79F561CDDE6A509EAA703A5A0AB5E765","De Hoge Zandbrug een ingenieus gemetselde boogbrug in Werkhoven Saskia van Ginkel-Meester en Gijs van der Leck 49-56 1999")</f>
        <v>0</v>
      </c>
      <c r="D6662" s="1">
        <f>hyperlink("http://dspace.library.uu.nl/handle/1874/313148","De Hoge Zandbrug een ingenieus gemetselde boogbrug in Werkhoven Gijs van der Ginkel-Meester Saskia van Leck 49-56 1999")</f>
        <v>0</v>
      </c>
    </row>
    <row r="6663" spans="2:4">
      <c r="B6663">
        <v>100</v>
      </c>
      <c r="C6663" s="1">
        <f>hyperlink("https://hetutrechtsarchief.nl/collectie/7D140843158E562FBC63938BDD5E0BE7","Onze Lieve Vrouw op zolder in Wijk Bep van Nimwegen 57-61 1999")</f>
        <v>0</v>
      </c>
      <c r="D6663" s="1">
        <f>hyperlink("http://dspace.library.uu.nl/handle/1874/313149","Onze Lieve Vrouw op zolder in Wijk Bep van Nimwegen 57-61 1999")</f>
        <v>0</v>
      </c>
    </row>
    <row r="6664" spans="2:4">
      <c r="B6664">
        <v>100</v>
      </c>
      <c r="C6664" s="1">
        <f>hyperlink("https://hetutrechtsarchief.nl/collectie/E44396FA1821513D9B2F22B2733EBBF3","Cornelis van Bemmel rond 1810 veerbaas van het Wijkse veer Jo van Bemmel 62-66 1999")</f>
        <v>0</v>
      </c>
      <c r="D6664" s="1">
        <f>hyperlink("http://dspace.library.uu.nl/handle/1874/313150","Cornelis van Bemmel rond 1810 veerbaas van het Wijkse veer Jo van Bemmel 62-66 1999")</f>
        <v>0</v>
      </c>
    </row>
    <row r="6665" spans="2:4">
      <c r="B6665">
        <v>100</v>
      </c>
      <c r="C6665" s="1">
        <f>hyperlink("https://hetutrechtsarchief.nl/collectie/79BD1520A8FB5313970D1695E18B63A5","De tuin van kasteel Heemstede bij Houten Otto Wttewaall 73-87 1999")</f>
        <v>0</v>
      </c>
      <c r="D6665" s="1">
        <f>hyperlink("http://dspace.library.uu.nl/handle/1874/313151","De tuin van kasteel Heemstede bij Houten Otto Wttewaall 73-87 1999")</f>
        <v>0</v>
      </c>
    </row>
    <row r="6666" spans="2:4">
      <c r="B6666">
        <v>100</v>
      </c>
      <c r="C6666" s="1">
        <f>hyperlink("https://hetutrechtsarchief.nl/collectie/C7E2CB5B10C95802B4FA22291DE7C0C6","De lotgevallen van het archief van het Sint-Ewouds- en Elisabethsgasthuis in Wijk bij Duurstede Ria van der Eerden-Vonk 88-96 1999")</f>
        <v>0</v>
      </c>
      <c r="D6666" s="1">
        <f>hyperlink("http://dspace.library.uu.nl/handle/1874/313152","De lotgevallen van het archief van het Sint-Ewouds- en Elisabethsgasthuis in Wijk bij Duurstede Ria van der Eerden-Vonk 88-96 1999")</f>
        <v>0</v>
      </c>
    </row>
    <row r="6667" spans="2:4">
      <c r="B6667">
        <v>92</v>
      </c>
      <c r="C6667" s="1">
        <f>hyperlink("https://hetutrechtsarchief.nl/collectie/162F6E656BDC567A9600C81AB55F9B9C","De ontginning van Langbroek van wildernis tot cultuurlandschap Ad van Bemmel 2-22 ill krt 1999")</f>
        <v>0</v>
      </c>
      <c r="D6667" s="1">
        <f>hyperlink("http://dspace.library.uu.nl/handle/1874/313153","De ontginning van Langbroek van wildernis naar cultuurlandschap Ad van Bemmel 2-22 1999")</f>
        <v>0</v>
      </c>
    </row>
    <row r="6668" spans="2:4">
      <c r="B6668">
        <v>98</v>
      </c>
      <c r="C6668" s="1">
        <f>hyperlink("https://hetutrechtsarchief.nl/collectie/6A8FD300703E522D8B06AF92EBFA8D3A","Jan R van Nijendaal 1880-1975 huisschilder en kunstfotograaf Jan Coppens 25-33 ill 1999")</f>
        <v>0</v>
      </c>
      <c r="D6668" s="1">
        <f>hyperlink("http://dspace.library.uu.nl/handle/1874/313154","Jan R van Nijendaal 1880-1975 huisschilder en kunstfotograaf Jan Coppens 25-33 1999")</f>
        <v>0</v>
      </c>
    </row>
    <row r="6669" spans="2:4">
      <c r="B6669">
        <v>97</v>
      </c>
      <c r="C6669" s="1">
        <f>hyperlink("https://hetutrechtsarchief.nl/collectie/11D4B8A8FC7E5E8A9C60BD993E26BC23","Speurtocht naar een onbekend kasteel te Cothen Ad van Bemmel 34-37 ill 1999")</f>
        <v>0</v>
      </c>
      <c r="D6669" s="1">
        <f>hyperlink("http://dspace.library.uu.nl/handle/1874/313155","Speurtocht naar een onbekend kasteel te Cothen Ad van Bemmel 34-37 1999")</f>
        <v>0</v>
      </c>
    </row>
    <row r="6670" spans="2:4">
      <c r="B6670">
        <v>89</v>
      </c>
      <c r="C6670" s="1">
        <f>hyperlink("https://hetutrechtsarchief.nl/collectie/C42997A5448350FFAE30EB7714895F9B","De familie Goeij in Houten Jo van Bemmel 85-91 ill portr 1998")</f>
        <v>0</v>
      </c>
      <c r="D6670" s="1">
        <f>hyperlink("http://dspace.library.uu.nl/handle/1874/313156","De familie De Goeij in Houten Jo van Bemmel 85-91 1998")</f>
        <v>0</v>
      </c>
    </row>
    <row r="6671" spans="2:4">
      <c r="B6671">
        <v>95</v>
      </c>
      <c r="C6671" s="1">
        <f>hyperlink("https://hetutrechtsarchief.nl/collectie/C87B664C58C954CBBDDB9683096E7829","Een pispot met boter en tureluren in het Wijkse gasthuis Ria van der Eerden-Vonk 92-94 ill portr 1998")</f>
        <v>0</v>
      </c>
      <c r="D6671" s="1">
        <f>hyperlink("http://dspace.library.uu.nl/handle/1874/313157","Een pispot met boter en tureluren in het Wijkse gasthuis Ria van der Eerden-Vonk 92-94 1998")</f>
        <v>0</v>
      </c>
    </row>
    <row r="6672" spans="2:4">
      <c r="B6672">
        <v>69</v>
      </c>
      <c r="C6672" s="1">
        <f>hyperlink("https://hetutrechtsarchief.nl/collectie/96FFE8A3CA2456858A8A7E53FFE52ADA","Restauratie van de molen Rijn en Lek in Wijk bij Duurstede Theo van Wijk 15-16 ill 1998")</f>
        <v>0</v>
      </c>
      <c r="D6672" s="1">
        <f>hyperlink("http://dspace.library.uu.nl/handle/1874/313158","Stadsboerderijen in de Achterstraat te Wijk bij Duurstede Theo van Wijk 95-96 1998")</f>
        <v>0</v>
      </c>
    </row>
    <row r="6673" spans="2:4">
      <c r="B6673">
        <v>63</v>
      </c>
      <c r="C6673" s="1">
        <f>hyperlink("https://hetutrechtsarchief.nl/collectie/11D4B8A8FC7E5E8A9C60BD993E26BC23","Speurtocht naar een onbekend kasteel te Cothen Ad van Bemmel 34-37 ill 1999")</f>
        <v>0</v>
      </c>
      <c r="D6673" s="1">
        <f>hyperlink("http://dspace.library.uu.nl/handle/1874/313159","Archeologie Bloemenweerd in Cothen Ad van Bemmel 46 1999")</f>
        <v>0</v>
      </c>
    </row>
    <row r="6674" spans="2:4">
      <c r="B6674">
        <v>100</v>
      </c>
      <c r="C6674" s="1">
        <f>hyperlink("https://hetutrechtsarchief.nl/collectie/3B920E8238A956A2A876E4D4295C06BF","Grenzen aan de groei voor de Romeinse boeren in het Kromme-Rijngebied Laura Kooistra 1-8 2000")</f>
        <v>0</v>
      </c>
      <c r="D6674" s="1">
        <f>hyperlink("http://dspace.library.uu.nl/handle/1874/313172","Grenzen aan de groei voor de Romeinse boeren in het Kromme-Rijngebied Laura Kooistra 1-8 2000")</f>
        <v>0</v>
      </c>
    </row>
    <row r="6675" spans="2:4">
      <c r="B6675">
        <v>100</v>
      </c>
      <c r="C6675" s="1">
        <f>hyperlink("https://hetutrechtsarchief.nl/collectie/18B16D8AAFB15CC1823DD211371BFA9C","Is de plaatsnaam Bunnik wel Germaans Raymond Uppelschoten 9-12 2000")</f>
        <v>0</v>
      </c>
      <c r="D6675" s="1">
        <f>hyperlink("http://dspace.library.uu.nl/handle/1874/313173","Is de plaatsnaam Bunnik wel Germaans Raymond Uppelschoten 9-12 2000")</f>
        <v>0</v>
      </c>
    </row>
    <row r="6676" spans="2:4">
      <c r="B6676">
        <v>100</v>
      </c>
      <c r="C6676" s="1">
        <f>hyperlink("https://hetutrechtsarchief.nl/collectie/7BA48D05DAFF5E789611186C9948A74C","Een stukje geschiedenis van de gemeente Bunnik in straatnamen vastgelegd Saskia van Ginkel-Meester 13-14 2000")</f>
        <v>0</v>
      </c>
      <c r="D6676" s="1">
        <f>hyperlink("http://dspace.library.uu.nl/handle/1874/313174","Een stukje geschiedenis van de gemeente Bunnik in straatnamen vastgelegd Saskia van Ginkel-Meester 13-14 2000")</f>
        <v>0</v>
      </c>
    </row>
    <row r="6677" spans="2:4">
      <c r="B6677">
        <v>100</v>
      </c>
      <c r="C6677" s="1">
        <f>hyperlink("https://hetutrechtsarchief.nl/collectie/C46CD4624B3F5F53A39F88063FD33B33","Tijdelijk geen tijd Bep van Nimwegen 15-20 2000")</f>
        <v>0</v>
      </c>
      <c r="D6677" s="1">
        <f>hyperlink("http://dspace.library.uu.nl/handle/1874/313175","Tijdelijk geen tijd Bep van Nimwegen 15-20 2000")</f>
        <v>0</v>
      </c>
    </row>
    <row r="6678" spans="2:4">
      <c r="B6678">
        <v>100</v>
      </c>
      <c r="C6678" s="1">
        <f>hyperlink("https://hetutrechtsarchief.nl/collectie/41CDF3034CC75EE78D32D41EB426B959","Wickenburgh 700 jaar Otto Wttewaall 21-22 2000")</f>
        <v>0</v>
      </c>
      <c r="D6678" s="1">
        <f>hyperlink("http://dspace.library.uu.nl/handle/1874/313176","Wickenburgh 700 jaar Otto Wttewaall 21-22 2000")</f>
        <v>0</v>
      </c>
    </row>
    <row r="6679" spans="2:4">
      <c r="B6679">
        <v>89</v>
      </c>
      <c r="C6679" s="1">
        <f>hyperlink("https://hetutrechtsarchief.nl/collectie/866C55670D475C7889D9D23EA75EE426","Van De Koning Het Hert en het gerechtshuis Odijkse herbergen rond 1700 48-54 2000")</f>
        <v>0</v>
      </c>
      <c r="D6679" s="1">
        <f>hyperlink("http://dspace.library.uu.nl/handle/1874/313177","Van De Koning Het Hert en het gerechtshuis Odijkse herbergen rond 1700 Raymond Uppelschoten 48-54 2000")</f>
        <v>0</v>
      </c>
    </row>
    <row r="6680" spans="2:4">
      <c r="B6680">
        <v>100</v>
      </c>
      <c r="C6680" s="1">
        <f>hyperlink("https://hetutrechtsarchief.nl/collectie/7375326977695329B018009073DC389C","De Nieuwe Hollandse Waterlinie in het Kromme-Rijngebied Dolf Bekius 37-47 2000")</f>
        <v>0</v>
      </c>
      <c r="D6680" s="1">
        <f>hyperlink("http://dspace.library.uu.nl/handle/1874/313178","De Nieuwe Hollandse Waterlinie in het Kromme-Rijngebied Dolf Bekius 37-47 2000")</f>
        <v>0</v>
      </c>
    </row>
    <row r="6681" spans="2:4">
      <c r="B6681">
        <v>100</v>
      </c>
      <c r="C6681" s="1">
        <f>hyperlink("https://hetutrechtsarchief.nl/collectie/3C31CEC857FE5457A306AC49EA7FA115","De oude wasserij Langs de Wal in Wijk bij Duurstede Bep van Nimwegen-Seggelink 2-22 2001")</f>
        <v>0</v>
      </c>
      <c r="D6681" s="1">
        <f>hyperlink("http://dspace.library.uu.nl/handle/1874/313179","De oude wasserij Langs de Wal in Wijk bij Duurstede Bep van Nimwegen-Seggelink 2-22 2001")</f>
        <v>0</v>
      </c>
    </row>
    <row r="6682" spans="2:4">
      <c r="B6682">
        <v>100</v>
      </c>
      <c r="C6682" s="1">
        <f>hyperlink("https://hetutrechtsarchief.nl/collectie/DCD2DCF8BEBE54F386608E7A5183A8A0","De Ridder van Wijk een tinnen ruiterfiguurtje van omstreeks 1300 Herbert Sarfatij 23-33 2001")</f>
        <v>0</v>
      </c>
      <c r="D6682" s="1">
        <f>hyperlink("http://dspace.library.uu.nl/handle/1874/313180","De Ridder van Wijk een tinnen ruiterfiguurtje van omstreeks 1300 Herbert Sarfatij 23-33 2001")</f>
        <v>0</v>
      </c>
    </row>
    <row r="6683" spans="2:4">
      <c r="B6683">
        <v>100</v>
      </c>
      <c r="C6683" s="1">
        <f>hyperlink("https://hetutrechtsarchief.nl/collectie/C6C88B2AC7045BBD97933F0208B009E5","Historische grenspalen in het Kromme-Rijngebied een inventarisatie Ad van Bemmel 37-45 2001")</f>
        <v>0</v>
      </c>
      <c r="D6683" s="1">
        <f>hyperlink("http://dspace.library.uu.nl/handle/1874/313181","Historische grenspalen in het Kromme-Rijngebied een inventarisatie Ad van Bemmel 37-45 2001")</f>
        <v>0</v>
      </c>
    </row>
    <row r="6684" spans="2:4">
      <c r="B6684">
        <v>100</v>
      </c>
      <c r="C6684" s="1">
        <f>hyperlink("https://hetutrechtsarchief.nl/collectie/1B8E4B9A819C51C0BCA5499285C05C90","Burg- en valknamen sleutels tot het middeleeuwse Odijk Raymond Uppelschoten 46-50 2001")</f>
        <v>0</v>
      </c>
      <c r="D6684" s="1">
        <f>hyperlink("http://dspace.library.uu.nl/handle/1874/313182","Burg- en valknamen sleutels tot het middeleeuwse Odijk Raymond Uppelschoten 46-50 2001")</f>
        <v>0</v>
      </c>
    </row>
    <row r="6685" spans="2:4">
      <c r="B6685">
        <v>100</v>
      </c>
      <c r="C6685" s="1">
        <f>hyperlink("https://hetutrechtsarchief.nl/collectie/01D27398452E57F099D132DB3A970D28","Cothen op foto s uit 1916 en 2001 Ad van Bemmel 51-54 2001")</f>
        <v>0</v>
      </c>
      <c r="D6685" s="1">
        <f>hyperlink("http://dspace.library.uu.nl/handle/1874/313183","Cothen op foto s uit 1916 en 2001 Ad van Bemmel 51-54 2001")</f>
        <v>0</v>
      </c>
    </row>
    <row r="6686" spans="2:4">
      <c r="B6686">
        <v>100</v>
      </c>
      <c r="C6686" s="1">
        <f>hyperlink("https://hetutrechtsarchief.nl/collectie/C89BB21E7CEC57E9997674F7AD967EE5","Opgeruimde Koninginnefeesten in Wijk bij Duurstede Bep van Nimwegen-Seggelink 55-57 2001")</f>
        <v>0</v>
      </c>
      <c r="D6686" s="1">
        <f>hyperlink("http://dspace.library.uu.nl/handle/1874/313184","Opgeruimde Koninginnefeesten in Wijk bij Duurstede Bep van Nimwegen-Seggelink 55-57 2001")</f>
        <v>0</v>
      </c>
    </row>
    <row r="6687" spans="2:4">
      <c r="B6687">
        <v>81</v>
      </c>
      <c r="C6687" s="1">
        <f>hyperlink("https://hetutrechtsarchief.nl/collectie/F469E83CF70B5A9F9CF30263B6E14E0E","Een interessant weggetje in Bunnik D R Klootwijk 65-67 2001")</f>
        <v>0</v>
      </c>
      <c r="D6687" s="1">
        <f>hyperlink("http://dspace.library.uu.nl/handle/1874/313185","Een interessant weggetje in Bunnik Casper A van Burik 65-67 2001")</f>
        <v>0</v>
      </c>
    </row>
    <row r="6688" spans="2:4">
      <c r="B6688">
        <v>100</v>
      </c>
      <c r="C6688" s="1">
        <f>hyperlink("https://hetutrechtsarchief.nl/collectie/FB23DA6445E256F6AF9590E6592A94EB","De memoriesteen voor Samuel Gijsberts in de Grote Kerk te Wijk bij Duurstede Peter van der Eerden 69-76 2001")</f>
        <v>0</v>
      </c>
      <c r="D6688" s="1">
        <f>hyperlink("http://dspace.library.uu.nl/handle/1874/313186","De memoriesteen voor Samuel Gijsberts in de Grote Kerk te Wijk bij Duurstede Peter van der Eerden 69-76 2001")</f>
        <v>0</v>
      </c>
    </row>
    <row r="6689" spans="2:4">
      <c r="B6689">
        <v>100</v>
      </c>
      <c r="C6689" s="1">
        <f>hyperlink("https://hetutrechtsarchief.nl/collectie/FF222C42A3EB53A9B4FE487C0EFBB615","Aan kasteel Heemstede zat een aardig schroefje los Anton van Schip 77-81 2001")</f>
        <v>0</v>
      </c>
      <c r="D6689" s="1">
        <f>hyperlink("http://dspace.library.uu.nl/handle/1874/313187","Aan kasteel Heemstede zat een aardig schroefje los Anton van Schip 77-81 2001")</f>
        <v>0</v>
      </c>
    </row>
    <row r="6690" spans="2:4">
      <c r="B6690">
        <v>100</v>
      </c>
      <c r="C6690" s="1">
        <f>hyperlink("https://hetutrechtsarchief.nl/collectie/42DDA3219EFD5AFE81D7374AF2766EB8","Reparatie van de molen van Beverweerd in 1715 Raymond Uppelschoten 82-85 2001")</f>
        <v>0</v>
      </c>
      <c r="D6690" s="1">
        <f>hyperlink("http://dspace.library.uu.nl/handle/1874/313188","Reparatie van de molen van Beverweerd in 1715 Raymond Uppelschoten 82-85 2001")</f>
        <v>0</v>
      </c>
    </row>
    <row r="6691" spans="2:4">
      <c r="B6691">
        <v>100</v>
      </c>
      <c r="C6691" s="1">
        <f>hyperlink("https://hetutrechtsarchief.nl/collectie/0995930E125D54F88BDC721A79DC7BC7","Hijmans boek over Wijk bij Duurstede uit 1951 in het Engels Ad van Bemmel 86-89 2001")</f>
        <v>0</v>
      </c>
      <c r="D6691" s="1">
        <f>hyperlink("http://dspace.library.uu.nl/handle/1874/313189","Hijmans boek over Wijk bij Duurstede uit 1951 in het Engels Ad van Bemmel 86-89 2001")</f>
        <v>0</v>
      </c>
    </row>
    <row r="6692" spans="2:4">
      <c r="B6692">
        <v>100</v>
      </c>
      <c r="C6692" s="1">
        <f>hyperlink("https://hetutrechtsarchief.nl/collectie/96666906EC935C57BC329C47A49C7EAC","Een familie Van Beverweerdt alias Van Werckhoven alias Van Malsen een zoektocht in de archieven naar smeden en een rentmeester Casper A van Burik 1-21 2002")</f>
        <v>0</v>
      </c>
      <c r="D6692" s="1">
        <f>hyperlink("http://dspace.library.uu.nl/handle/1874/313190","Een familie Van Beverweerdt alias Van Werckhoven alias Van Malsen een zoektocht in de archieven naar smeden en een rentmeester Casper A van Burik 1-21 2002")</f>
        <v>0</v>
      </c>
    </row>
    <row r="6693" spans="2:4">
      <c r="B6693">
        <v>100</v>
      </c>
      <c r="C6693" s="1">
        <f>hyperlink("https://hetutrechtsarchief.nl/collectie/1D024F2FB0ED59EAB07DA46650A3EA97","Met de koorden gestraft een opgehangen dief in Wijk bij Duurstede in 1772 Bep van Nimwegen 22-24 2002")</f>
        <v>0</v>
      </c>
      <c r="D6693" s="1">
        <f>hyperlink("http://dspace.library.uu.nl/handle/1874/313191","Met de koorden gestraft een opgehangen dief in Wijk bij Duurstede in 1772 Bep van Nimwegen 22-24 2002")</f>
        <v>0</v>
      </c>
    </row>
    <row r="6694" spans="2:4">
      <c r="B6694">
        <v>100</v>
      </c>
      <c r="C6694" s="1">
        <f>hyperlink("https://hetutrechtsarchief.nl/collectie/6B3610925564595F87C01AA1E67B6689","De kerk van Overlangbroek Claire Boels 29-34 2002")</f>
        <v>0</v>
      </c>
      <c r="D6694" s="1">
        <f>hyperlink("http://dspace.library.uu.nl/handle/1874/313192","De kerk van Overlangbroek Claire Boels 29-34 2002")</f>
        <v>0</v>
      </c>
    </row>
    <row r="6695" spans="2:4">
      <c r="B6695">
        <v>100</v>
      </c>
      <c r="C6695" s="1">
        <f>hyperlink("https://hetutrechtsarchief.nl/collectie/7593B12E80BF57E29033C880AADB1102","De waterstaatskerk te Cothen een episode uit 700 jaar RK-geschiedenis Ad van Bemmel 35-40 2002")</f>
        <v>0</v>
      </c>
      <c r="D6695" s="1">
        <f>hyperlink("http://dspace.library.uu.nl/handle/1874/313193","De waterstaatskerk te Cothen een episode uit 700 jaar RK-geschiedenis Ad van Bemmel 35-40 2002")</f>
        <v>0</v>
      </c>
    </row>
    <row r="6696" spans="2:4">
      <c r="B6696">
        <v>100</v>
      </c>
      <c r="C6696" s="1">
        <f>hyperlink("https://hetutrechtsarchief.nl/collectie/9CA24072E7D55730B0435FA90A130B6D","Werd in Houten een middeleeuwse graaf opgedolven Anton van Schip 41-45 2002")</f>
        <v>0</v>
      </c>
      <c r="D6696" s="1">
        <f>hyperlink("http://dspace.library.uu.nl/handle/1874/313194","Werd in Houten een middeleeuwse graaf opgedolven Anton van Schip 41-45 2002")</f>
        <v>0</v>
      </c>
    </row>
    <row r="6697" spans="2:4">
      <c r="B6697">
        <v>100</v>
      </c>
      <c r="C6697" s="1">
        <f>hyperlink("https://hetutrechtsarchief.nl/collectie/4208270949755F7B80BEB41208707A06","De Boomgaard aan de Herenweg in Houten Hans van Aken 46-52 2002")</f>
        <v>0</v>
      </c>
      <c r="D6697" s="1">
        <f>hyperlink("http://dspace.library.uu.nl/handle/1874/313195","De Boomgaard aan de Herenweg in Houten Hans van Aken 46-52 2002")</f>
        <v>0</v>
      </c>
    </row>
    <row r="6698" spans="2:4">
      <c r="B6698">
        <v>100</v>
      </c>
      <c r="C6698" s="1">
        <f>hyperlink("https://hetutrechtsarchief.nl/collectie/CEE67B79327B5655B17255EE14C61A48","De grote gouden broche uit Dorestad opnieuw bekeken Cor Bastinck 62-67 2002")</f>
        <v>0</v>
      </c>
      <c r="D6698" s="1">
        <f>hyperlink("http://dspace.library.uu.nl/handle/1874/313196","De grote gouden broche uit Dorestad opnieuw bekeken Cor Bastinck 62-67 2002")</f>
        <v>0</v>
      </c>
    </row>
    <row r="6699" spans="2:4">
      <c r="B6699">
        <v>100</v>
      </c>
      <c r="C6699" s="1">
        <f>hyperlink("https://hetutrechtsarchief.nl/collectie/10738DE0954958F1B3892FAD3192EA5E","Voormalige boerderij te Cothen ouder dan gedacht Ad van Bemmel 68-72 2002")</f>
        <v>0</v>
      </c>
      <c r="D6699" s="1">
        <f>hyperlink("http://dspace.library.uu.nl/handle/1874/313197","Voormalige boerderij te Cothen ouder dan gedacht Ad van Bemmel 68-72 2002")</f>
        <v>0</v>
      </c>
    </row>
    <row r="6700" spans="2:4">
      <c r="B6700">
        <v>100</v>
      </c>
      <c r="C6700" s="1">
        <f>hyperlink("https://hetutrechtsarchief.nl/collectie/5A83717F1E5C57B48E720D789CD4B318","Bij kasteel Heemstee gevonden fragmenten van Utrechtse gegoten marmervloertegels Anton van Schip 73-74 2002")</f>
        <v>0</v>
      </c>
      <c r="D6700" s="1">
        <f>hyperlink("http://dspace.library.uu.nl/handle/1874/313198","Bij kasteel Heemstede gevonden fragmenten van Utrechtse gegoten marmervloertegels Anton van Schip 73-74 2002")</f>
        <v>0</v>
      </c>
    </row>
    <row r="6701" spans="2:4">
      <c r="B6701">
        <v>52</v>
      </c>
      <c r="C6701" s="1">
        <f>hyperlink("https://hetutrechtsarchief.nl/collectie/F9D1BF405CFD5F738CFE8790ACB211BA","Soester monumenten een boerderij als monument Henk Gerth 1-2 2000")</f>
        <v>0</v>
      </c>
      <c r="D6701" s="1">
        <f>hyperlink("http://dspace.library.uu.nl/handle/1874/313199","Fragmenten aanbiedingsspeech boek n Haonderik vol ruggemeters P M Heijmink Liesert 74-75 2000")</f>
        <v>0</v>
      </c>
    </row>
    <row r="6702" spans="2:4">
      <c r="B6702">
        <v>57</v>
      </c>
      <c r="C6702" s="1">
        <f>hyperlink("https://hetutrechtsarchief.nl/collectie/F469E83CF70B5A9F9CF30263B6E14E0E","Een interessant weggetje in Bunnik D R Klootwijk 65-67 2001")</f>
        <v>0</v>
      </c>
      <c r="D6702" s="1">
        <f>hyperlink("http://dspace.library.uu.nl/handle/1874/313200","Het gat in de Romeinse Rijngrensverdediging D R Klootwijk 55-56 2000")</f>
        <v>0</v>
      </c>
    </row>
    <row r="6703" spans="2:4">
      <c r="B6703">
        <v>57</v>
      </c>
      <c r="C6703" s="1">
        <f>hyperlink("https://hetutrechtsarchief.nl/collectie/09E960BC09B259509317D172E0021E6C","Die oude bisschopsstad M van Steenwijk 4 1956")</f>
        <v>0</v>
      </c>
      <c r="D6703" s="1">
        <f>hyperlink("http://dspace.library.uu.nl/handle/1874/313201","De oude school van Bunnik Redaktie 12 1967")</f>
        <v>0</v>
      </c>
    </row>
    <row r="6704" spans="2:4">
      <c r="B6704">
        <v>65</v>
      </c>
      <c r="C6704" s="1">
        <f>hyperlink("https://hetutrechtsarchief.nl/collectie/3ABE5A2FAD3E5B559908D61FE0D41460","De veerschippers van Bunschoten O Dekkers 138-143 1999")</f>
        <v>0</v>
      </c>
      <c r="D6704" s="1">
        <f>hyperlink("http://dspace.library.uu.nl/handle/1874/313202","De vikarie van Bloemestein C Dekker 4-15 1979")</f>
        <v>0</v>
      </c>
    </row>
    <row r="6705" spans="2:4">
      <c r="B6705">
        <v>55</v>
      </c>
      <c r="C6705" s="1">
        <f>hyperlink("https://hetutrechtsarchief.nl/collectie/27E5D9AB752754F4B9F5D1C916ADE2BE","De Biltsche schipper P H Damst 122-133 ill 1944")</f>
        <v>0</v>
      </c>
      <c r="D6705" s="1">
        <f>hyperlink("http://dspace.library.uu.nl/handle/1874/313203","De Brinkbrug te Schalkwijk F H Landzaat 1-3 1979")</f>
        <v>0</v>
      </c>
    </row>
    <row r="6706" spans="2:4">
      <c r="B6706">
        <v>100</v>
      </c>
      <c r="C6706" s="1">
        <f>hyperlink("https://hetutrechtsarchief.nl/collectie/F773A57A4978555BB1E2D9E4B15D44DE","De vergeten woontoren Noortwijck tussen Cothen Langbroek en Wijk bij Duurstede Ad van Bemmel 57-73 2000")</f>
        <v>0</v>
      </c>
      <c r="D6706" s="1">
        <f>hyperlink("http://dspace.library.uu.nl/handle/1874/313238","De vergeten woontoren Noortwijck tussen Cothen Langbroek en Wijk bij Duurstede Ad van Bemmel 57-73 2000")</f>
        <v>0</v>
      </c>
    </row>
    <row r="6707" spans="2:4">
      <c r="B6707">
        <v>100</v>
      </c>
      <c r="C6707" s="1">
        <f>hyperlink("https://hetutrechtsarchief.nl/collectie/2CA4BFFDF22A58F196959EAF706F387B","Stadswording in het rivierengebied ten zuiden van Utrecht gedurende de veertiende eeuw Reinout Rutte 1-11 2003")</f>
        <v>0</v>
      </c>
      <c r="D6707" s="1">
        <f>hyperlink("http://dspace.library.uu.nl/handle/1874/313239","Stadswording in het rivierengebied ten zuiden van Utrecht gedurende de veertiende eeuw Reinout Rutte 1-11 2003")</f>
        <v>0</v>
      </c>
    </row>
    <row r="6708" spans="2:4">
      <c r="B6708">
        <v>100</v>
      </c>
      <c r="C6708" s="1">
        <f>hyperlink("https://hetutrechtsarchief.nl/collectie/5B87C534DB7E5D2A9D0E9BC5E33ACAD7","Fijne paasvakantie in 1942 Rotterdammertjes logeerden in Wijk bij Duurstede en omgeving Wim de Valk 12-14 2003")</f>
        <v>0</v>
      </c>
      <c r="D6708" s="1">
        <f>hyperlink("http://dspace.library.uu.nl/handle/1874/313240","Fijne paasvakantie in 1942 Rotterdammertjes logeerden in Wijk bij Duurstede en omgeving Wim de Valk 12-14 2003")</f>
        <v>0</v>
      </c>
    </row>
    <row r="6709" spans="2:4">
      <c r="B6709">
        <v>100</v>
      </c>
      <c r="C6709" s="1">
        <f>hyperlink("https://hetutrechtsarchief.nl/collectie/64DFFCA45833564C9A2196C55DCA9ADC","De Werkhovense familie Vernooij Kees van Schaik 15-23 2003")</f>
        <v>0</v>
      </c>
      <c r="D6709" s="1">
        <f>hyperlink("http://dspace.library.uu.nl/handle/1874/313241","De Werkhovense familie Vernooij Kees van Schaik 15-23 2003")</f>
        <v>0</v>
      </c>
    </row>
    <row r="6710" spans="2:4">
      <c r="B6710">
        <v>100</v>
      </c>
      <c r="C6710" s="1">
        <f>hyperlink("https://hetutrechtsarchief.nl/collectie/3040767A675955FFB4C8B5DE63ECF383","Een 15de-eeuws handschrift over de Agneskerk te Cothen Ad van Bemmel 24-27 2003")</f>
        <v>0</v>
      </c>
      <c r="D6710" s="1">
        <f>hyperlink("http://dspace.library.uu.nl/handle/1874/313242","Een 15de-eeuws handschrift over de Agneskerk te Cothen Ad van Bemmel 24-27 2003")</f>
        <v>0</v>
      </c>
    </row>
    <row r="6711" spans="2:4">
      <c r="B6711">
        <v>88</v>
      </c>
      <c r="C6711" s="1">
        <f>hyperlink("https://hetutrechtsarchief.nl/collectie/30681CD2F09D55BCAF9E8BD8FDCDA415","De Nederlands-hervormde begraafplaats aan de Leemkolkweg te Werkhoven Saskia van Ginkel-Meester en Gijs van der Leck 37-47 2003")</f>
        <v>0</v>
      </c>
      <c r="D6711" s="1">
        <f>hyperlink("http://dspace.library.uu.nl/handle/1874/313243","De Nederlands-hervormde begraafplaats aan de Leemkolkweg te Werkhoven Johan van Ginkel-Meester Saskia van Leck Gijs van der Impelen 37-47 2003")</f>
        <v>0</v>
      </c>
    </row>
    <row r="6712" spans="2:4">
      <c r="B6712">
        <v>100</v>
      </c>
      <c r="C6712" s="1">
        <f>hyperlink("https://hetutrechtsarchief.nl/collectie/7254C11905DA5A188F37F3BCD1A45630","Rumoer in het Kromme-Rijngebied rond de Belgische afscheiding Wijnand Thoomes 48-51 2003")</f>
        <v>0</v>
      </c>
      <c r="D6712" s="1">
        <f>hyperlink("http://dspace.library.uu.nl/handle/1874/313244","Rumoer in het Kromme-Rijngebied rond de Belgische afscheiding Wijnand Thoomes 48-51 2003")</f>
        <v>0</v>
      </c>
    </row>
    <row r="6713" spans="2:4">
      <c r="B6713">
        <v>100</v>
      </c>
      <c r="C6713" s="1">
        <f>hyperlink("https://hetutrechtsarchief.nl/collectie/3ADF0715021A55D7A7F83EE2BC447DBC","Een Romeinse villa bij De Zemelen onder Cothen met een Keltische eigenaar Ad van Bemmel 52-54 2003")</f>
        <v>0</v>
      </c>
      <c r="D6713" s="1">
        <f>hyperlink("http://dspace.library.uu.nl/handle/1874/313245","Een Romeinse villa bij De Zemelen onder Cothen met een Keltische eigenaar Ad van Bemmel 52-54 2003")</f>
        <v>0</v>
      </c>
    </row>
    <row r="6714" spans="2:4">
      <c r="B6714">
        <v>90</v>
      </c>
      <c r="C6714" s="1">
        <f>hyperlink("https://hetutrechtsarchief.nl/collectie/FF9CC90D78C95A9DA0FBA782C13F80D9","Marckenburg heb je t al gehoord van die vreselijke moord Anton van Schip en Frans Landzaat 55-57 2003")</f>
        <v>0</v>
      </c>
      <c r="D6714" s="1">
        <f>hyperlink("http://dspace.library.uu.nl/handle/1874/313246","Marckenburg heb je t al gehoord van die vreselijke moord Frans Schip Anton van Landzaat 55-57 2003")</f>
        <v>0</v>
      </c>
    </row>
    <row r="6715" spans="2:4">
      <c r="B6715">
        <v>100</v>
      </c>
      <c r="C6715" s="1">
        <f>hyperlink("https://hetutrechtsarchief.nl/collectie/519262848E645C2DAB72DB990C84B93F","Wat verbergt zich achter n onder Cothen Ad van Bemmel 61-68 2003")</f>
        <v>0</v>
      </c>
      <c r="D6715" s="1">
        <f>hyperlink("http://dspace.library.uu.nl/handle/1874/313247","Wat verbergt zich achter n onder Cothen Ad van Bemmel 61-68 2003")</f>
        <v>0</v>
      </c>
    </row>
    <row r="6716" spans="2:4">
      <c r="B6716">
        <v>100</v>
      </c>
      <c r="C6716" s="1">
        <f>hyperlink("https://hetutrechtsarchief.nl/collectie/A4F516E0AC8656B1834A2E3DD7E940CB","De tiendverkoping in t Goy en het menu in de herberg De Roskam te Houten in 1656 Kees van Schaik 69-74 2003")</f>
        <v>0</v>
      </c>
      <c r="D6716" s="1">
        <f>hyperlink("http://dspace.library.uu.nl/handle/1874/313248","De tiendverkoping in t Goy en het menu in de herberg De Roskam te Houten in 1656 Kees van Schaik 69-74 2003")</f>
        <v>0</v>
      </c>
    </row>
    <row r="6717" spans="2:4">
      <c r="B6717">
        <v>100</v>
      </c>
      <c r="C6717" s="1">
        <f>hyperlink("https://hetutrechtsarchief.nl/collectie/6BE7BD74733C5B3BB8A623E31714B931","Iets over de vroege geschiedenis van boerderij De Brakel op de grens van Bunnik en Zeist D R Klootwijk 75-78 2003")</f>
        <v>0</v>
      </c>
      <c r="D6717" s="1">
        <f>hyperlink("http://dspace.library.uu.nl/handle/1874/313249","Iets over de vroege geschiedenis van boerderij De Brakel op de grens van Bunnik en Zeist D R Klootwijk 75-78 2003")</f>
        <v>0</v>
      </c>
    </row>
    <row r="6718" spans="2:4">
      <c r="B6718">
        <v>57</v>
      </c>
      <c r="C6718" s="1">
        <f>hyperlink("https://hetutrechtsarchief.nl/collectie/DA2B9584C7F5DA07E0538F04000A7FD1","Die affschuwelijcke ende droevige syeckte de pest in Amersfoort 1350-1667 Gerard Raven 16-63 2021")</f>
        <v>0</v>
      </c>
      <c r="D6718" s="1">
        <f>hyperlink("http://dspace.library.uu.nl/handle/1874/31715","Een afgrijselicke ende abominabele saecke toverijprocessen in Utrecht en Amersfoort 1590-1595 Moniek van de Ruit 2008")</f>
        <v>0</v>
      </c>
    </row>
    <row r="6719" spans="2:4">
      <c r="B6719">
        <v>54</v>
      </c>
      <c r="C6719" s="1">
        <f>hyperlink("https://hetutrechtsarchief.nl/collectie/A598DA5766DA5784E0534701000A32D2","Technische Unie Utrecht een ontwikkelingsproces met uitdagingen Liliane Verwoolde 91-93 2020")</f>
        <v>0</v>
      </c>
      <c r="D6719" s="1">
        <f>hyperlink("http://dspace.library.uu.nl/handle/1874/318237","De historische winkelpui in Utrecht 1850-2010 ontwikkeling betekenis en huidig beleid Marieke Lenferink 2010")</f>
        <v>0</v>
      </c>
    </row>
    <row r="6720" spans="2:4">
      <c r="B6720">
        <v>54</v>
      </c>
      <c r="C6720" s="1">
        <f>hyperlink("https://hetutrechtsarchief.nl/collectie/FC064F432EDA560D9395E7F94E4FF667","Plegtige intrede van Willem II als Koning der Nederlanden in de stad Utrecht den 18den Mei 1841 A M C van Asch van Wijck 217 -241 1841")</f>
        <v>0</v>
      </c>
      <c r="D6720" s="1">
        <f>hyperlink("http://dspace.library.uu.nl/handle/1874/31910","Ruggengraat van de stedelijke samenleving de rol van de gilden in de stad Utrecht 1528-1818 Nicolaas Hendrik Slokker 2009")</f>
        <v>0</v>
      </c>
    </row>
    <row r="6721" spans="2:4">
      <c r="B6721">
        <v>55</v>
      </c>
      <c r="C6721" s="1">
        <f>hyperlink("https://hetutrechtsarchief.nl/collectie/D1810CB040B65F0FB53D68FB9342C6F1","Geleund over de onderdeur doorkijkjes in het Utrechtse buurtleven van de vroege Middeleeuwen tot in de zeventiende eeuw Llewellyn Bogaers 336-363 ill 1997")</f>
        <v>0</v>
      </c>
      <c r="D6721" s="1">
        <f>hyperlink("http://dspace.library.uu.nl/handle/1874/321778","Zingend erin en huilend eruit IJselsteinse vroedvrouwen vanaf de middeleeuwen tot begin deze eeuw Saskia Linden-Ruggenberg Ans van der Raue 277-292 1990")</f>
        <v>0</v>
      </c>
    </row>
    <row r="6722" spans="2:4">
      <c r="B6722">
        <v>50</v>
      </c>
      <c r="C6722" s="1">
        <f>hyperlink("https://hetutrechtsarchief.nl/collectie/77270278F64FE433E0534701000AB084","De opening van het Soester Natuurbad het raadslid dat provocerend optrad Ton Hartman 26-28 2018")</f>
        <v>0</v>
      </c>
      <c r="D6722" s="1">
        <f>hyperlink("http://dspace.library.uu.nl/handle/1874/321779","Een zondags gesloten natuurbad B en W van Jaarsveld verbieden ook de schommels in het zonnebad 411-412 1987")</f>
        <v>0</v>
      </c>
    </row>
    <row r="6723" spans="2:4">
      <c r="B6723">
        <v>55</v>
      </c>
      <c r="C6723" s="1">
        <f>hyperlink("https://hetutrechtsarchief.nl/collectie/D24EBCD6F9935903B6A05F7085B01E4C","De Zakkendragerssteeg als groote verkeersweg J Prakken 1-5 1951")</f>
        <v>0</v>
      </c>
      <c r="D6723" s="1">
        <f>hyperlink("http://dspace.library.uu.nl/handle/1874/328767","Lijst der zakkendraagers van het Booven Einde dezer Stad C Gravendaal 317-319 1949")</f>
        <v>0</v>
      </c>
    </row>
    <row r="6724" spans="2:4">
      <c r="B6724">
        <v>51</v>
      </c>
      <c r="C6724" s="1">
        <f>hyperlink("https://hetutrechtsarchief.nl/collectie/367C4B1FF61F58DEB6687ABCD3BEE826","Meetpunten in de toren van de Ned Herv kerk te Abcoude Wim Timmer 252 2005")</f>
        <v>0</v>
      </c>
      <c r="D6724" s="1">
        <f>hyperlink("http://dspace.library.uu.nl/handle/1874/328768","Aantekeningen uit een in het Ned Herv kerkarchief te Amerongen berustend trouwboek 1642-1654 W A Wijburg 206-207 1955")</f>
        <v>0</v>
      </c>
    </row>
    <row r="6725" spans="2:4">
      <c r="B6725">
        <v>52</v>
      </c>
      <c r="C6725" s="1">
        <f>hyperlink("https://hetutrechtsarchief.nl/collectie/4EAE6A2F82405A1CB12C5CBF4DE1565E","De begrafenis van Annigje Hannisje van Vliet weduwe van Jan Boerefijn Kockengen 1815 J G Bokma 123-124 1999")</f>
        <v>0</v>
      </c>
      <c r="D6725" s="1">
        <f>hyperlink("http://dspace.library.uu.nl/handle/1874/328769","De biografie van Johanna Petronella de Timmerman door professor Johan Frederik Hennert anno 1786 C Postma 119-124 1948")</f>
        <v>0</v>
      </c>
    </row>
    <row r="6726" spans="2:4">
      <c r="B6726">
        <v>51</v>
      </c>
      <c r="C6726" s="1">
        <f>hyperlink("https://hetutrechtsarchief.nl/collectie/B77FE7D13A9350FFB92306BFB3C12752","Ir Daan Jansen overleden 50 1949")</f>
        <v>0</v>
      </c>
      <c r="D6726" s="1">
        <f>hyperlink("http://dspace.library.uu.nl/handle/1874/328770","Biblia Frans Jacobussen Pos 1927 C Roodenberg 357-359 1949")</f>
        <v>0</v>
      </c>
    </row>
    <row r="6727" spans="2:4">
      <c r="B6727">
        <v>52</v>
      </c>
      <c r="C6727" s="1">
        <f>hyperlink("https://hetutrechtsarchief.nl/collectie/C0C7B5FEA30952E9824E7106259E5A62","De tol van Ameide van de heer van Brederode een verloren proces voor de Grote Raad van Mechelen tegen de stad Utrecht C L Verkerk 35-43 2001")</f>
        <v>0</v>
      </c>
      <c r="D6727" s="1">
        <f>hyperlink("http://dspace.library.uu.nl/handle/1874/328771","De vernieuwing van twee rouwborden en de restauratie van een rouwbord der familie van Moens in de kerk der Nederl Herv gemeente te Loenen a d Vecht W D H Rosier 50-53 1950")</f>
        <v>0</v>
      </c>
    </row>
    <row r="6728" spans="2:4">
      <c r="B6728">
        <v>60</v>
      </c>
      <c r="C6728" s="1">
        <f>hyperlink("https://hetutrechtsarchief.nl/collectie/0CCFEF12A8665428A04FA9640CA337B4","Stichtse adel D Th Enklaar 53-59 1949")</f>
        <v>0</v>
      </c>
      <c r="D6728" s="1">
        <f>hyperlink("http://dspace.library.uu.nl/handle/1874/328772","Stichtsche boerenadel M D Kilsdonk 116-119 1946")</f>
        <v>0</v>
      </c>
    </row>
    <row r="6729" spans="2:4">
      <c r="B6729">
        <v>59</v>
      </c>
      <c r="C6729" s="1">
        <f>hyperlink("https://hetutrechtsarchief.nl/collectie/F8831F4842C95BA0A41F9B5E0936A442","Genealogische bronnen 2 C W M Rasch 62-64 2005")</f>
        <v>0</v>
      </c>
      <c r="D6729" s="1">
        <f>hyperlink("http://dspace.library.uu.nl/handle/1874/328773","Genealogische aantekeningen W A Wijburg 207-208 1952")</f>
        <v>0</v>
      </c>
    </row>
    <row r="6730" spans="2:4">
      <c r="B6730">
        <v>56</v>
      </c>
      <c r="C6730" s="1">
        <f>hyperlink("https://hetutrechtsarchief.nl/collectie/19DE701BC1BD57CFB58FBC766F365277","Munten van de stad Utrecht samengest door T Frank Pietersen 1-28 1978")</f>
        <v>0</v>
      </c>
      <c r="D6730" s="1">
        <f>hyperlink("http://dspace.library.uu.nl/handle/1874/330868","Bewoners van de streek tussen Vecht en Eem gevonnist door de Raad van Beroerten Brussel 1567-1572 F Renou 118-121 1978")</f>
        <v>0</v>
      </c>
    </row>
    <row r="6731" spans="2:4">
      <c r="B6731">
        <v>58</v>
      </c>
      <c r="C6731" s="1">
        <f>hyperlink("https://hetutrechtsarchief.nl/collectie/875BB713515B5E46A3571B35C2828490","Over begrafenisfondsen gesproken E D Veen 4-5 ill 1971")</f>
        <v>0</v>
      </c>
      <c r="D6731" s="1">
        <f>hyperlink("http://dspace.library.uu.nl/handle/1874/330869","Over grafstenen gesproken N H Kerk Eemnes-Buiten J V M Out 112-117 1978")</f>
        <v>0</v>
      </c>
    </row>
    <row r="6732" spans="2:4">
      <c r="B6732">
        <v>59</v>
      </c>
      <c r="C6732" s="1">
        <f>hyperlink("https://hetutrechtsarchief.nl/collectie/01F118E379D45ABE8151DBA4EC2E2302","Verdwenen buitenplaatsen - K 89-90 1935")</f>
        <v>0</v>
      </c>
      <c r="D6732" s="1">
        <f>hyperlink("http://dspace.library.uu.nl/handle/1874/330870","Eemnes van grafstenen en buitenplaatsen J Out 45-47 1981")</f>
        <v>0</v>
      </c>
    </row>
    <row r="6733" spans="2:4">
      <c r="B6733">
        <v>86</v>
      </c>
      <c r="C6733" s="1">
        <f>hyperlink("https://hetutrechtsarchief.nl/collectie/2EDA7C6EE37F53CAA9075892F2D7CE7E","Lijst van graven en kelders in de Catharynekerk te Utrecht 369-383")</f>
        <v>0</v>
      </c>
      <c r="D6733" s="1">
        <f>hyperlink("http://dspace.library.uu.nl/handle/1874/331145","Lijst van graven en kelders in de Catharijnekerk te Utrecht E M ten Cate 369-383 1903")</f>
        <v>0</v>
      </c>
    </row>
    <row r="6734" spans="2:4">
      <c r="B6734">
        <v>95</v>
      </c>
      <c r="C6734" s="1">
        <f>hyperlink("https://hetutrechtsarchief.nl/collectie/AE3ED3F0751152BC8D5028B566A0CF50","Lijste van de kelders ende ingangen der selver van de graffsteden ende anderen plaatsen in de Catharynen kercke gelegen al te samen in de caerte daervan synde met nombers aengewesen 361-369")</f>
        <v>0</v>
      </c>
      <c r="D6734" s="1">
        <f>hyperlink("http://dspace.library.uu.nl/handle/1874/331146","Lijste van de kelders ende ingangen der selver van de graffsteden ende anderen plaatsen in de Catharynen kercke gelegen al te samen in de caerte daervan synde met nombers aengewesen E M ten Cate 361-369 1903")</f>
        <v>0</v>
      </c>
    </row>
    <row r="6735" spans="2:4">
      <c r="B6735">
        <v>62</v>
      </c>
      <c r="C6735" s="1">
        <f>hyperlink("https://hetutrechtsarchief.nl/collectie/C19A15BFFCDD5C08AA6BE44F23F440D8","Bijen houden en bijenteelt te Wijk bij Duurstede P H Damst 35 1978")</f>
        <v>0</v>
      </c>
      <c r="D6735" s="1">
        <f>hyperlink("http://dspace.library.uu.nl/handle/1874/331147","Rectoren der Latijnsche School te Wijk bij Duurstede M J Gasman 419-423 1911")</f>
        <v>0</v>
      </c>
    </row>
    <row r="6736" spans="2:4">
      <c r="B6736">
        <v>53</v>
      </c>
      <c r="C6736" s="1">
        <f>hyperlink("https://hetutrechtsarchief.nl/collectie/C958A62F8A1A51B8BABF67E99261CD7F","Johannes Novesius 1485-1565 een boekje open over een rector van de Amersfoortse Latijnse School J A Brongers en C A van Veen-Noordegraaf 12-16 ill 1994")</f>
        <v>0</v>
      </c>
      <c r="D6736" s="1">
        <f>hyperlink("http://dspace.library.uu.nl/handle/1874/331148","Namen van rectoren conrectoren en praeceptoren der Amersfoortsche Lat school H J Reijnders 336 -348 1899")</f>
        <v>0</v>
      </c>
    </row>
    <row r="6737" spans="2:4">
      <c r="B6737">
        <v>55</v>
      </c>
      <c r="C6737" s="1">
        <f>hyperlink("https://hetutrechtsarchief.nl/collectie/731AC1447AB85BF7937A4FEE808B36C8","Iets over het bijenhouden en bijenteelt te Wijk bij Duurstede H W M J Kits Nieuwenkamp 18-19 1978")</f>
        <v>0</v>
      </c>
      <c r="D6737" s="1">
        <f>hyperlink("http://dspace.library.uu.nl/handle/1874/334006","Naamlijst der HH predikanten bij de Hervormde gemeente te Wijk bij Duurstede J F Croockewit 306-307 jg 9 1892 p 24 1888-1892")</f>
        <v>0</v>
      </c>
    </row>
    <row r="6738" spans="2:4">
      <c r="B6738">
        <v>52</v>
      </c>
      <c r="C6738" s="1">
        <f>hyperlink("https://hetutrechtsarchief.nl/collectie/731AC1447AB85BF7937A4FEE808B36C8","Iets over het bijenhouden en bijenteelt te Wijk bij Duurstede H W M J Kits Nieuwenkamp 18-19 1978")</f>
        <v>0</v>
      </c>
      <c r="D6738" s="1">
        <f>hyperlink("http://dspace.library.uu.nl/handle/1874/334007","Uittreksels uit de huwelijksregisters der stad Wijk bij Duurstede J F Croockewit 184-185 216-217 242-243 1885")</f>
        <v>0</v>
      </c>
    </row>
    <row r="6739" spans="2:4">
      <c r="B6739">
        <v>58</v>
      </c>
      <c r="C6739" s="1">
        <f>hyperlink("https://hetutrechtsarchief.nl/collectie/C19A15BFFCDD5C08AA6BE44F23F440D8","Bijen houden en bijenteelt te Wijk bij Duurstede P H Damst 35 1978")</f>
        <v>0</v>
      </c>
      <c r="D6739" s="1">
        <f>hyperlink("http://dspace.library.uu.nl/handle/1874/334008","Richters en burgemeesters van Wijk bij Duurstede J F Croockewit 2-4 1884")</f>
        <v>0</v>
      </c>
    </row>
    <row r="6740" spans="2:4">
      <c r="B6740">
        <v>57</v>
      </c>
      <c r="C6740" s="1">
        <f>hyperlink("https://hetutrechtsarchief.nl/collectie/8F66AF4C3F31575AA805D5D537AC9DC9","Dr E van Engelen J H Hofman 291-302 1902")</f>
        <v>0</v>
      </c>
      <c r="D6740" s="1">
        <f>hyperlink("http://dspace.library.uu.nl/handle/1874/334009","Rij der predikanten te Vreeswijk J H Hofman 1903")</f>
        <v>0</v>
      </c>
    </row>
    <row r="6741" spans="2:4">
      <c r="B6741">
        <v>55</v>
      </c>
      <c r="C6741" s="1">
        <f>hyperlink("https://hetutrechtsarchief.nl/collectie/86024F20173658879F445A0579EB1A9A","Zuster Bertha of Bertke van Utrecht 119-120 1861")</f>
        <v>0</v>
      </c>
      <c r="D6741" s="1">
        <f>hyperlink("http://dspace.library.uu.nl/handle/1874/334010","Uit het Doodenboek der Momber-kamer van Utrecht 1710-1749 J H Hofman 1903")</f>
        <v>0</v>
      </c>
    </row>
    <row r="6742" spans="2:4">
      <c r="B6742">
        <v>61</v>
      </c>
      <c r="C6742" s="1">
        <f>hyperlink("https://hetutrechtsarchief.nl/collectie/4D7FCA72AD9258B6B41DEC394A861314","Het feestmaal der Utrechtsche Priester-broederschap J H Hofman 406 -414 1879")</f>
        <v>0</v>
      </c>
      <c r="D6742" s="1">
        <f>hyperlink("http://dspace.library.uu.nl/handle/1874/334011","Uit de Utrechtsche Begrafenis-boeken J H Hofman 201-204 233-234 251-254 1900")</f>
        <v>0</v>
      </c>
    </row>
    <row r="6743" spans="2:4">
      <c r="B6743">
        <v>52</v>
      </c>
      <c r="C6743" s="1">
        <f>hyperlink("https://hetutrechtsarchief.nl/collectie/5ECF17FCD4E053489066F3A58453A826","Jacob Bicker Raije schreef van 1732 tot 1772 over het dagelijks leven in Amsterdam en Maarssen Hans Sagel 9-12 2010")</f>
        <v>0</v>
      </c>
      <c r="D6743" s="1">
        <f>hyperlink("http://dspace.library.uu.nl/handle/1874/334012","Grafschriften van 1673-1713 voornamelijk uit Indi Utrecht Rotterdam enz A A Vorsterman van Oijen 141-144 1887")</f>
        <v>0</v>
      </c>
    </row>
    <row r="6744" spans="2:4">
      <c r="B6744">
        <v>59</v>
      </c>
      <c r="C6744" s="1">
        <f>hyperlink("https://hetutrechtsarchief.nl/collectie/967D6CCF64155F5582614612509C2EAD","Het eerste vrouwenklooster van Oudewater K Goudriaan 1-34 1999")</f>
        <v>0</v>
      </c>
      <c r="D6744" s="1">
        <f>hyperlink("http://dspace.library.uu.nl/handle/1874/334013","Uit het poorter- en trouwboek van Oudewater Fred Caland 74-77 1895")</f>
        <v>0</v>
      </c>
    </row>
    <row r="6745" spans="2:4">
      <c r="B6745">
        <v>56</v>
      </c>
      <c r="C6745" s="1">
        <f>hyperlink("https://hetutrechtsarchief.nl/collectie/7988BC790CA153A287E307E1832ECA20","Uit de kerkgeschiedenis van de Hervormde Gemeente Eemnes-Buitendijk 1 Jan Out 109-116 2002")</f>
        <v>0</v>
      </c>
      <c r="D6745" s="1">
        <f>hyperlink("http://dspace.library.uu.nl/handle/1874/334014","Naamlijst van de predikanten der Hervormde gemeente te Maarssen J J Baan J van der Bastert 116-117 1889")</f>
        <v>0</v>
      </c>
    </row>
    <row r="6746" spans="2:4">
      <c r="B6746">
        <v>57</v>
      </c>
      <c r="C6746" s="1">
        <f>hyperlink("https://hetutrechtsarchief.nl/collectie/6F0C2284603656A38B3C523FEC9D70FA","Uit de geschiedenis van de Hervormde Gemeente Eemnes-Buitendijk 2 Jan Out 153-164 2002")</f>
        <v>0</v>
      </c>
      <c r="D6746" s="1">
        <f>hyperlink("http://dspace.library.uu.nl/handle/1874/334015","Naamlijst der predikanten der Nederlandsch Hervormde Gemeente te Breukelen J J Bastert 138 1894")</f>
        <v>0</v>
      </c>
    </row>
    <row r="6747" spans="2:4">
      <c r="B6747">
        <v>55</v>
      </c>
      <c r="C6747" s="1">
        <f>hyperlink("https://hetutrechtsarchief.nl/collectie/3822F826AE3B56A98E865FE9B096D9C0","Werken op de bus is geestlijk zwaar 5-6 1988")</f>
        <v>0</v>
      </c>
      <c r="D6747" s="1">
        <f>hyperlink("http://dspace.library.uu.nl/handle/1874/344764","Grafzerken P C Bloys van Treslong Prins 65-67 1908")</f>
        <v>0</v>
      </c>
    </row>
    <row r="6748" spans="2:4">
      <c r="B6748">
        <v>58</v>
      </c>
      <c r="C6748" s="1">
        <f>hyperlink("https://hetutrechtsarchief.nl/collectie/8F01605B1655508398BDBF590D287D4E","Grafschriften uit kerken te Utrecht medeged door M G Wildeman 1904")</f>
        <v>0</v>
      </c>
      <c r="D6748" s="1">
        <f>hyperlink("http://dspace.library.uu.nl/handle/1874/344765","Grafschriften in de voormalige kapel van het Duitsche Huis te Utrecht M G Wildeman 428-429 517-529 1903")</f>
        <v>0</v>
      </c>
    </row>
    <row r="6749" spans="2:4">
      <c r="B6749">
        <v>63</v>
      </c>
      <c r="C6749" s="1">
        <f>hyperlink("https://hetutrechtsarchief.nl/collectie/8F01605B1655508398BDBF590D287D4E","Grafschriften uit kerken te Utrecht medeged door M G Wildeman 1904")</f>
        <v>0</v>
      </c>
      <c r="D6749" s="1">
        <f>hyperlink("http://dspace.library.uu.nl/handle/1874/344766","Grafschriften uit kerken te Utrecht M G Wildeman 39-40 216-232 jg 9 1905 p 65 -80 p 217 -225 1904-1905")</f>
        <v>0</v>
      </c>
    </row>
    <row r="6750" spans="2:4">
      <c r="B6750">
        <v>58</v>
      </c>
      <c r="C6750" s="1">
        <f>hyperlink("https://hetutrechtsarchief.nl/collectie/4AAFB61EE8F55CD1B41272216F473DEE","een seer grote en generale beroerte Peter van Oosten de Boer 16-17 2009")</f>
        <v>0</v>
      </c>
      <c r="D6750" s="1">
        <f>hyperlink("http://dspace.library.uu.nl/handle/1874/344767","Tweehonderd grafsteenen der Groote Kerk van Vianen a d Lek A F van Beurden 167-177 1913")</f>
        <v>0</v>
      </c>
    </row>
    <row r="6751" spans="2:4">
      <c r="B6751">
        <v>57</v>
      </c>
      <c r="C6751" s="1">
        <f>hyperlink("https://hetutrechtsarchief.nl/collectie/251AD1B37BE35A96A65C3A54B00DD609","De inrichting en het gebruik van de Domkerk II V van Woerden 1-19 tek plgr 1983")</f>
        <v>0</v>
      </c>
      <c r="D6751" s="1">
        <f>hyperlink("http://dspace.library.uu.nl/handle/1874/344768","Aanteekeningen uit het trouwboek van Vianen a d Lek A F van Beurden 184-189 1914")</f>
        <v>0</v>
      </c>
    </row>
    <row r="6752" spans="2:4">
      <c r="B6752">
        <v>100</v>
      </c>
      <c r="C6752" s="1">
        <f>hyperlink("https://hetutrechtsarchief.nl/collectie/69F3828B986B5CD38A19978A7C82ECAC","Het sprookje van de goede oude tijd C B Labouch re 13-19 2004")</f>
        <v>0</v>
      </c>
      <c r="D6752" s="1">
        <f>hyperlink("http://dspace.library.uu.nl/handle/1874/348640","Het sprookje van de goede oude tijd C B Labouch re 13-19 2004")</f>
        <v>0</v>
      </c>
    </row>
    <row r="6753" spans="2:4">
      <c r="B6753">
        <v>100</v>
      </c>
      <c r="C6753" s="1">
        <f>hyperlink("https://hetutrechtsarchief.nl/collectie/6C2A9954FBED51A6A3497C84BA66CFB5","Vorstelijk Zeist een aantal lokaties en bedrijven dat een speciale band onderhoudt met de Koninklijke familie 40-41 2004")</f>
        <v>0</v>
      </c>
      <c r="D6753" s="1">
        <f>hyperlink("http://dspace.library.uu.nl/handle/1874/348641","Vorstelijk Zeist een aantal lokaties en bedrijven dat een speciale band onderhoudt met de Koninklijke familie 40-41 2004")</f>
        <v>0</v>
      </c>
    </row>
    <row r="6754" spans="2:4">
      <c r="B6754">
        <v>94</v>
      </c>
      <c r="C6754" s="1">
        <f>hyperlink("https://hetutrechtsarchief.nl/collectie/7E79B27429EF550990BC8A5FE8ACF377","Kalender van keizerlijke koninklijke en vorstelijke bezoeken aan Zeist R P M Rhoen G M Servaas en L Visser 42 -67 2004")</f>
        <v>0</v>
      </c>
      <c r="D6754" s="1">
        <f>hyperlink("http://dspace.library.uu.nl/handle/1874/348642","Kalender van keizerlijke koninklijke en vorstelijke bezoeken aan Zeist L Rhoen R P M Servaas G M Visser 42 -67 2004")</f>
        <v>0</v>
      </c>
    </row>
    <row r="6755" spans="2:4">
      <c r="B6755">
        <v>100</v>
      </c>
      <c r="C6755" s="1">
        <f>hyperlink("https://hetutrechtsarchief.nl/collectie/9BD330CBA341552DAB50A00D7F2A2978","Bos onder de hamer de aankoop van het Zeisterbos in 1913 Hans Zijlstra 3-10 2012")</f>
        <v>0</v>
      </c>
      <c r="D6755" s="1">
        <f>hyperlink("http://dspace.library.uu.nl/handle/1874/348643","Bos onder de hamer de aankoop van het Zeisterbos in 1913 Hans Zijlstra 3-10 2012")</f>
        <v>0</v>
      </c>
    </row>
    <row r="6756" spans="2:4">
      <c r="B6756">
        <v>80</v>
      </c>
      <c r="C6756" s="1">
        <f>hyperlink("https://hetutrechtsarchief.nl/collectie/92BA447AD9FF5031BD0CC74484F0FF56","Vervangen objecten in Zeist Kees Breunesse 11-15 2012")</f>
        <v>0</v>
      </c>
      <c r="D6756" s="1">
        <f>hyperlink("http://dspace.library.uu.nl/handle/1874/348644","Vervangen objecten in Zeist Kees Breunesse 11-15 44 2013 nr 2 p 45-48 2012-2013")</f>
        <v>0</v>
      </c>
    </row>
    <row r="6757" spans="2:4">
      <c r="B6757">
        <v>100</v>
      </c>
      <c r="C6757" s="1">
        <f>hyperlink("https://hetutrechtsarchief.nl/collectie/FE6F4CFBD12852EAA6AEB2293C288E09","Prenten Dorp Zeijst van Jan de Beijer JanHein Heimel 16-18 2012")</f>
        <v>0</v>
      </c>
      <c r="D6757" s="1">
        <f>hyperlink("http://dspace.library.uu.nl/handle/1874/348645","Prenten Dorp Zeijst van Jan de Beijer JanHein Heimel 16-18 2012")</f>
        <v>0</v>
      </c>
    </row>
    <row r="6758" spans="2:4">
      <c r="B6758">
        <v>100</v>
      </c>
      <c r="C6758" s="1">
        <f>hyperlink("https://hetutrechtsarchief.nl/collectie/F0A8B9C6EAF457DA8C4DE4580A9E6430","Sober maar niet doelmatig twintig jaar ouderenhuisvesting in Huize Tuinwijk Jeroen de Leede 76-81 2011")</f>
        <v>0</v>
      </c>
      <c r="D6758" s="1">
        <f>hyperlink("http://dspace.library.uu.nl/handle/1874/351567","Sober maar niet doelmatig twintig jaar ouderenhuisvesting in Huize Tuinwijk Jeroen de Leede 76-81 2011")</f>
        <v>0</v>
      </c>
    </row>
    <row r="6759" spans="2:4">
      <c r="B6759">
        <v>82</v>
      </c>
      <c r="C6759" s="1">
        <f>hyperlink("https://hetutrechtsarchief.nl/collectie/CE04853A24E852A58DEF5253D9DB9835","Waar een wil is is geen weg tekst Ype Driessen foto Vincent Boon 10-11 2002")</f>
        <v>0</v>
      </c>
      <c r="D6759" s="1">
        <f>hyperlink("http://dspace.library.uu.nl/handle/1874/359232","Waar een wil is is geen weg Vincent Driessen Ype Boon 10-11 2002")</f>
        <v>0</v>
      </c>
    </row>
    <row r="6760" spans="2:4">
      <c r="B6760">
        <v>81</v>
      </c>
      <c r="C6760" s="1">
        <f>hyperlink("https://hetutrechtsarchief.nl/collectie/385EF828F08751B28F3643044ABB90D9","Hoe hip is het Utrechtse uitgaansleven tekst Fleur Baxmeier en Karen Eshuis foto s Maarten Hartman en Evelyne Jacq 10-11 2002")</f>
        <v>0</v>
      </c>
      <c r="D6760" s="1">
        <f>hyperlink("http://dspace.library.uu.nl/handle/1874/359233","Hoe hip is het Utrechtse uitgaansleven Evelyne Baxmeier Fleur Eshuis Karen Hartman Maarten Jacq 10-11 2002")</f>
        <v>0</v>
      </c>
    </row>
    <row r="6761" spans="2:4">
      <c r="B6761">
        <v>58</v>
      </c>
      <c r="C6761" s="1">
        <f>hyperlink("https://hetutrechtsarchief.nl/collectie/6641560B81A3F2EEE0534701000AE39F","Rumfordse soep als politiek lijmmiddel een voedselbank in IJsselstein rond 1800 Fred Vogelzang 126-137 2017")</f>
        <v>0</v>
      </c>
      <c r="D6761" s="1">
        <f>hyperlink("http://dspace.library.uu.nl/handle/1874/41798","Een woonplaats voor fatsoendelijke luyden de souvereine baronie IJsselstein 1720-1820 Fred Vogelzang 2010")</f>
        <v>0</v>
      </c>
    </row>
    <row r="6762" spans="2:4">
      <c r="B6762">
        <v>51</v>
      </c>
      <c r="C6762" s="1">
        <f>hyperlink("https://hetutrechtsarchief.nl/collectie/D890060A5ED95C4B9106A22F6CC2230C","De Utrechtse Vecht levensader in de vroege middeleeuwen Luit van der Tuuk 2013")</f>
        <v>0</v>
      </c>
      <c r="D6762" s="1">
        <f>hyperlink("http://dwaalspoor-utrecht.nl/wp-content/themes/life-collage/images/dwaalspoor.pdf","Dwaalspoor Utrecht zoektocht door het heden met foto s uit het verleden Hugo van den Eerden Joyce van Hurk 2011")</f>
        <v>0</v>
      </c>
    </row>
    <row r="6763" spans="2:4">
      <c r="B6763">
        <v>55</v>
      </c>
      <c r="C6763" s="1">
        <f>hyperlink("https://hetutrechtsarchief.nl/collectie/9A88B5A71CC05C078D8FEAE81E723196","De bewoners van de Langbroekerwetering de familie Van Lynden van Lunenburg Bart Karstens 26-30 2008")</f>
        <v>0</v>
      </c>
      <c r="D6763" s="1">
        <f>hyperlink("http://edepot.wur.nl/16985;http://edepot.wur.nl/39425","Duurzaam waterbeheer Langbroekerwetering A G M Hermans et al A G M Hermans 2004-2006")</f>
        <v>0</v>
      </c>
    </row>
    <row r="6764" spans="2:4">
      <c r="B6764">
        <v>52</v>
      </c>
      <c r="C6764" s="1">
        <f>hyperlink("https://hetutrechtsarchief.nl/collectie/45FFEFBB131A5495B08F2283E0EDD614","Koninginnedag sorry Koningsdag 2014 de dorpsbarbier vertelt Ad van Zoeren 40 2014")</f>
        <v>0</v>
      </c>
      <c r="D6764" s="1">
        <f>hyperlink("http://en.calameo.com/read/001617701e73609deaa31","Bye bye Bea leve de koning programma Koninginnedag 2013 eind red Marleen van Bladeren et al Marleen van Bladeren 2013")</f>
        <v>0</v>
      </c>
    </row>
    <row r="6765" spans="2:4">
      <c r="B6765">
        <v>54</v>
      </c>
      <c r="C6765" s="1">
        <f>hyperlink("https://hetutrechtsarchief.nl/collectie/785ADC2227B955FA9D12E10F1B79F776","Archeologische kroniek van de provincie Utrecht T J Hoekstra en W J van Tent 134-153 ill plgr 1977")</f>
        <v>0</v>
      </c>
      <c r="D6765" s="1">
        <f>hyperlink("http://everyoneweb.com/WA/DataFilesMarcovanEgmond/gi200709330.pdf","Kartografie van de provincies Holland en Utrecht op het web open kaart of doorgestoken kaart M van Egmond 330-335 2007")</f>
        <v>0</v>
      </c>
    </row>
    <row r="6766" spans="2:4">
      <c r="B6766">
        <v>62</v>
      </c>
      <c r="C6766" s="1">
        <f>hyperlink("https://hetutrechtsarchief.nl/collectie/8B1C70EED2EA5E1E92B3CB96D2A0437C","Tertiarissen van het Utrechtsche kapittel P Dalm van Heel 1-382 1939")</f>
        <v>0</v>
      </c>
      <c r="D6766" s="1">
        <f>hyperlink("http://files.archieven.nl/39/f/216/T0216.01.pdf","Inventaris van het archief van het kapittel ten Dom K Heeringa 1929")</f>
        <v>0</v>
      </c>
    </row>
    <row r="6767" spans="2:4">
      <c r="B6767">
        <v>50</v>
      </c>
      <c r="C6767" s="1">
        <f>hyperlink("https://hetutrechtsarchief.nl/collectie/FD967900508754CD8E09DA651CD00918","De herontdekking van een Utrechtse fotograaf schatgraven in het oeuvre van F F van der Werf Victor Lansink 4-7 2015")</f>
        <v>0</v>
      </c>
      <c r="D6767" s="1">
        <f>hyperlink("http://gurk.nl/PDF/GU%20Museumnota%20defkl.pdf","De ontdekking van de Utrechtse musea Discovering the Utrecht museums een museale strategie teksten Culturele Zaken Utrecht Gemeente Utrecht Culturele Zaken 2010")</f>
        <v>0</v>
      </c>
    </row>
    <row r="6768" spans="2:4">
      <c r="B6768">
        <v>53</v>
      </c>
      <c r="C6768" s="1">
        <f>hyperlink("https://hetutrechtsarchief.nl/collectie/2BCB619C0D7C5603B5C0AA49EE6194AD","Vliegbasis Soesterberg erfgoed van de angst ontsluierd Roland Blijdestijn 14-17 2011")</f>
        <v>0</v>
      </c>
      <c r="D6768" s="1">
        <f>hyperlink("http://hartvandeheuvelrug.nl/html/hartvdheuvelrug/document_download.cfm?doc=36B39765-B773-4F40-2689359F207A92B6.PDF&amp;doc_name=Deelonderzoek:%20Natuurvisie","Natuurvisie Vliegbasis Soesterberg terug naar de basis W Kruidering A M Woersem I W van Jansen of Lorkeers 2007")</f>
        <v>0</v>
      </c>
    </row>
    <row r="6769" spans="2:4">
      <c r="B6769">
        <v>51</v>
      </c>
      <c r="C6769" s="1">
        <f>hyperlink("https://hetutrechtsarchief.nl/collectie/6A11D3FA93A95D8F98CE699F47401646","Oorlog en bevrijding in Driebergen-Rijsenburg IV Loek Caspers 2-5 2005")</f>
        <v>0</v>
      </c>
      <c r="D6769" s="1">
        <f>hyperlink("http://home.kpn.nl/witie/Driebergen.htm","De voormalige Luchtmachtbunker te Driebergen-Rijsenburg fossiel van een boeiend stuk oorlogsgeschiedenis W H Tiemens 10-35 1955")</f>
        <v>0</v>
      </c>
    </row>
    <row r="6770" spans="2:4">
      <c r="B6770">
        <v>59</v>
      </c>
      <c r="C6770" s="1">
        <f>hyperlink("https://hetutrechtsarchief.nl/collectie/516F05F6B7C951A5B3CC53AC89245824","Regesten voor een oorkondenboek van het Sticht Utrecht S Muller Fz 1-22 3a 1887")</f>
        <v>0</v>
      </c>
      <c r="D6770" s="1">
        <f>hyperlink("http://ia700409.us.archive.org/24/items/regestenvanoork00bromgoog/regestenvanoork00bromgoog.pdf","Regesten van oorkonden betreffende het Sticht Utrecht 694-1301 verzameld door Gisbert Brom Gisbert Brom 1908")</f>
        <v>0</v>
      </c>
    </row>
    <row r="6771" spans="2:4">
      <c r="B6771">
        <v>61</v>
      </c>
      <c r="C6771" s="1">
        <f>hyperlink("https://hetutrechtsarchief.nl/collectie/37AEDA33C23E55119B607352CDFF16C4","Regestenlijst van het archief der Staten van Utrecht 1323-1528 186-251 16 1914")</f>
        <v>0</v>
      </c>
      <c r="D6771" s="1">
        <f>hyperlink("http://ia700506.us.archive.org/21/items/regestenvanheta00netgoog/regestenvanheta00netgoog.pdf","Regesten van het Archief der stad Utrecht bewerkt door S Muller Fz S Muller 1896")</f>
        <v>0</v>
      </c>
    </row>
    <row r="6772" spans="2:4">
      <c r="B6772">
        <v>52</v>
      </c>
      <c r="C6772" s="1">
        <f>hyperlink("https://hetutrechtsarchief.nl/collectie/35B8E3D8984E5C2EBD88FF3D2F13A5B9","Zonder gitaar word ik depressief tekst en foto s Marleen Noordergraaf 16-17 2002")</f>
        <v>0</v>
      </c>
      <c r="D6772" s="1">
        <f>hyperlink("http://intern.knag.nl/wlo/landschap25routes/wandelroutenoorderparkutrecht.pdf","Noorderpark Utrecht wandelroute krt Kadaster Emmen tekst en fotogr Barend Hazeleger Barend Hazeleger 2008")</f>
        <v>0</v>
      </c>
    </row>
    <row r="6773" spans="2:4">
      <c r="B6773">
        <v>100</v>
      </c>
      <c r="C6773" s="1">
        <f>hyperlink("https://hetutrechtsarchief.nl/collectie/F264E929C2E951D3A094EFC931C8527B","Bewoners langs de Lekdijk onder Schalkwijk en Wijk bij Duurstede in 1776 Casper van Burik 29-31 2012")</f>
        <v>0</v>
      </c>
      <c r="D6773" s="1">
        <f>hyperlink("http://issuu.com/macareves/docs/het_kromme_rijngebied_2012-nr3/1","Bewoners langs de Lekdijk onder Schalkwijk en Wijk bij Duurstede in 1776 Casper van Burik 29-31 2012")</f>
        <v>0</v>
      </c>
    </row>
    <row r="6774" spans="2:4">
      <c r="B6774">
        <v>100</v>
      </c>
      <c r="C6774" s="1">
        <f>hyperlink("https://hetutrechtsarchief.nl/collectie/557247A0736C5586B96BCB47DD4217B3","De herkomst van de familienaam van het adellijke geslacht De Wijkerslooth een zoektocht naar de hofstede van Anthonis Petersz annex De Stenen Kamer aan de Wijkersloot te Wijk bij Duurstede Gerard van Woudenberg 1-19 2012")</f>
        <v>0</v>
      </c>
      <c r="D6774" s="1">
        <f>hyperlink("http://issuu.com/macareves/docs/het_kromme_rijngebied_2012-nr3/2","De herkomst van de familienaam van het adellijke geslacht De Wijkerslooth een zoektocht naar de hofstede van Anthonis Petersz annex De Stenen Kamer aan de Wijkersloot te Wijk bij Duurstede Gerard van Woudenberg 1-19 2012")</f>
        <v>0</v>
      </c>
    </row>
    <row r="6775" spans="2:4">
      <c r="B6775">
        <v>100</v>
      </c>
      <c r="C6775" s="1">
        <f>hyperlink("https://hetutrechtsarchief.nl/collectie/C1CE231E7C475635AC4D4CBF1E29E433","De moeder van Anthony van Eyndhoven eindelijk ontmaskerd Het toeval doet zijn werk Casper van Burik 20-24 2012")</f>
        <v>0</v>
      </c>
      <c r="D6775" s="1">
        <f>hyperlink("http://issuu.com/macareves/docs/het_kromme_rijngebied_2012-nr3/2","De moeder van Anthony van Eyndhoven eindelijk ontmaskerd Het toeval doet zijn werk Casper van Burik 20-24 2012")</f>
        <v>0</v>
      </c>
    </row>
    <row r="6776" spans="2:4">
      <c r="B6776">
        <v>98</v>
      </c>
      <c r="C6776" s="1">
        <f>hyperlink("https://hetutrechtsarchief.nl/collectie/944C703ED8AD5717A708F525A3C5A33D","Zomerhuizen bij de boerderijen in het Kromme-Rijngebied gemeenten Bunnik Houten en Wijk bij Duurstede Gerard van Woudenberg 1-12 2013")</f>
        <v>0</v>
      </c>
      <c r="D6776" s="1">
        <f>hyperlink("http://issuu.com/macareves/docs/het_kromme-rijngebied_2013_nr4/1","Zomerhuizen bij boerderijen in het Kromme-Rijngebied gemeente Bunnik Houten en Wijk bij Duurstede Gerard van Woudenberg 1-12 2013")</f>
        <v>0</v>
      </c>
    </row>
    <row r="6777" spans="2:4">
      <c r="B6777">
        <v>100</v>
      </c>
      <c r="C6777" s="1">
        <f>hyperlink("https://hetutrechtsarchief.nl/collectie/A73878A2A6455F6FBE51B85CF0B4B3E2","De Kamp te Cothen Ad van Bemmel 18-19 2013")</f>
        <v>0</v>
      </c>
      <c r="D6777" s="1">
        <f>hyperlink("http://issuu.com/macareves/docs/het_kromme-rijngebied_2013_nr4/1","De Kamp te Cothen Ad van Bemmel 18-19 2013")</f>
        <v>0</v>
      </c>
    </row>
    <row r="6778" spans="2:4">
      <c r="B6778">
        <v>62</v>
      </c>
      <c r="C6778" s="1">
        <f>hyperlink("https://hetutrechtsarchief.nl/collectie/6E5A5E74F68D5A9B96E73D5C53CC0CE1","Van Dam Overlangbroek Wijk bij Duurstede Kees van Schaik 2-18 2013")</f>
        <v>0</v>
      </c>
      <c r="D6778" s="1">
        <f>hyperlink("http://issuu.com/macareves/docs/het_kromme-rijngebied_2013_nr4/1","Een verdachte miskraam te Houten Kees van Schaik 22-24 2013")</f>
        <v>0</v>
      </c>
    </row>
    <row r="6779" spans="2:4">
      <c r="B6779">
        <v>100</v>
      </c>
      <c r="C6779" s="1">
        <f>hyperlink("https://hetutrechtsarchief.nl/collectie/69A985DCF1F35177951D04AF0B7AEB9D","Op zoek naar een Romeins grensfort Luit van der Tuuk 13-17 2013")</f>
        <v>0</v>
      </c>
      <c r="D6779" s="1">
        <f>hyperlink("http://issuu.com/macareves/docs/het_kromme-rijngebied_2013_nr4/1","Op zoek naar een Romeins grensfort Luit van der Tuuk 13-17 2013")</f>
        <v>0</v>
      </c>
    </row>
    <row r="6780" spans="2:4">
      <c r="B6780">
        <v>99</v>
      </c>
      <c r="C6780" s="1">
        <f>hyperlink("https://hetutrechtsarchief.nl/collectie/5CC28524177552C3BA7F5CE18441D6B1","Tot gemeentelijke bloei en welvaart de geschiedenis van weg en water in de Kromme-Rijnstreek rond Bunnik en Odijk tussen 1813-1930 Karin Strengers-Olde Kalter 1-15 2012")</f>
        <v>0</v>
      </c>
      <c r="D6780" s="1">
        <f>hyperlink("http://issuu.com/macareves/docs/hkrg_2012-nr4_web","Tot gemeentelijke bloei en welvaart de geschiedenis van weg en water in de Kromme-Rijnstreek rond Bunnik en Odijk tussen 1813 en 1930 Karin Strengers-Olde Kalter 1-15 2012")</f>
        <v>0</v>
      </c>
    </row>
    <row r="6781" spans="2:4">
      <c r="B6781">
        <v>92</v>
      </c>
      <c r="C6781" s="1">
        <f>hyperlink("https://hetutrechtsarchief.nl/collectie/766B67E14DCD59FF9437C5DB3BD043BD","Huwelijken van Krommerijners v r 1650 in Utrecht de betekenis van Utrechtse bronnen voor genealogisch onderzoek in het Kromme-Rijngebied deel 1 Huwelijken 1586-1615 Denis Verhoef 16-25 2012")</f>
        <v>0</v>
      </c>
      <c r="D6781" s="1">
        <f>hyperlink("http://issuu.com/macareves/docs/hkrg_2012-nr4_web","Huwelijken van Krommerijners v r 1650 in Utrecht de betekenis van Utrechtse bronnen voor genealogisch onderzoek in het Kromme-Rijngebied Denis Verhoef 16-25 2012")</f>
        <v>0</v>
      </c>
    </row>
    <row r="6782" spans="2:4">
      <c r="B6782">
        <v>58</v>
      </c>
      <c r="C6782" s="1">
        <f>hyperlink("https://hetutrechtsarchief.nl/collectie/8005394B2DF754CF812EB150396CCF46","Enkele opmerkingen over de historie van de korenmolen in t Goy Casper van Burik 1-13 2013")</f>
        <v>0</v>
      </c>
      <c r="D6782" s="1">
        <f>hyperlink("http://issuu.com/macareves/docs/hkrg_2012-nr4_web","Tarieven en pachtcondities van het Wijkse veer in 1704 Casper van Burik 27-28 2012")</f>
        <v>0</v>
      </c>
    </row>
    <row r="6783" spans="2:4">
      <c r="B6783">
        <v>96</v>
      </c>
      <c r="C6783" s="1">
        <f>hyperlink("https://hetutrechtsarchief.nl/collectie/6B5707DD184F52FF97209C33C707FD2A","De Rijksmunt in Utrecht twee gezichten in n gebouw tekst Mascha van Damme 24-29 2008")</f>
        <v>0</v>
      </c>
      <c r="D6783" s="1">
        <f>hyperlink("http://issuu.com/mashed-world/docs/de_munt_mon4","De Rijksmunt in Utrecht twee gezichten in n gebouw Mascha van Damme 24-29 2008")</f>
        <v>0</v>
      </c>
    </row>
    <row r="6784" spans="2:4">
      <c r="B6784">
        <v>57</v>
      </c>
      <c r="C6784" s="1">
        <f>hyperlink("https://hetutrechtsarchief.nl/collectie/2DE3F5E085895B649717C5A95D5C0781","Negentig jaar bij de tijd Vereniging Oud-Utrecht 1923-2013 Ton H M van Schaik 10-13 2013")</f>
        <v>0</v>
      </c>
      <c r="D6784" s="1">
        <f>hyperlink("http://issuu.com/sportutrecht/docs/sportjournaal_jubileumeditie2012?mode=window&amp;backgroundColor=%23222222","25 jaar Vereniging Sport Utrecht 1987-2012 met medew van Pim van Esschoten et al Pim van Esschoten 2012")</f>
        <v>0</v>
      </c>
    </row>
    <row r="6785" spans="2:4">
      <c r="B6785">
        <v>89</v>
      </c>
      <c r="C6785" s="1">
        <f>hyperlink("https://hetutrechtsarchief.nl/collectie/79ED1CDEB6115DD7B6A7D93CC31E0235","De smaak is verweven met het seizoen restaurant OpBuuren tekst Jason van de Veltmaete fotogr Hans Kokx 56-57 2012")</f>
        <v>0</v>
      </c>
      <c r="D6785" s="1">
        <f>hyperlink("http://issuu.com/ubtest/docs/ub_2012_5?mode=window&amp;pageNumber=20","De smaak is verweven met het seizoen restaurant OpBuuren Jason van de Veltmaete 56-57 2012")</f>
        <v>0</v>
      </c>
    </row>
    <row r="6786" spans="2:4">
      <c r="B6786">
        <v>96</v>
      </c>
      <c r="C6786" s="1">
        <f>hyperlink("https://hetutrechtsarchief.nl/collectie/846FA365DC2E54A0AFD6BCA855EAACBF","Excellente kennis krijgt maatschappelijke impact tekst Hans Haj e 20-21 2012")</f>
        <v>0</v>
      </c>
      <c r="D6786" s="1">
        <f>hyperlink("http://issuu.com/ubtest/docs/ub_2012_5?mode=window&amp;pageNumber=20","Excellente kennis krijgt maatschappelijke impact Hans Haj e 20-21 2012")</f>
        <v>0</v>
      </c>
    </row>
    <row r="6787" spans="2:4">
      <c r="B6787">
        <v>97</v>
      </c>
      <c r="C6787" s="1">
        <f>hyperlink("https://hetutrechtsarchief.nl/collectie/4E57160C3F1F54F0BA7E481E4A8188EF","Duurzaamheid leeft in de markt stad Utrecht wil in 2030 klimaatneutraal zijn tekst Paul de Gram 38-39 2012")</f>
        <v>0</v>
      </c>
      <c r="D6787" s="1">
        <f>hyperlink("http://issuu.com/ubtest/docs/ub_2012_5?mode=window&amp;pageNumber=20","Duurzaamheid leeft in de markt stad Utrecht wil in 2030 klimaatneutraal zijn Paul de Gram 38-39 2012")</f>
        <v>0</v>
      </c>
    </row>
    <row r="6788" spans="2:4">
      <c r="B6788">
        <v>86</v>
      </c>
      <c r="C6788" s="1">
        <f>hyperlink("https://hetutrechtsarchief.nl/collectie/9FA20F6D6D0C55F3AF3AC048C64627A7","Dicht bij huis blijven de Pronckheer tekst Jason van de Veltmaete fotogr Hans Kokx 56-57 2013")</f>
        <v>0</v>
      </c>
      <c r="D6788" s="1">
        <f>hyperlink("http://issuu.com/utrechtbusiness/docs/ub_2013_2","Dicht bij huis blijven de Pronckheer Jason van de Veltmaete 56-57 2013")</f>
        <v>0</v>
      </c>
    </row>
    <row r="6789" spans="2:4">
      <c r="B6789">
        <v>93</v>
      </c>
      <c r="C6789" s="1">
        <f>hyperlink("https://hetutrechtsarchief.nl/collectie/2AF70CF347445E798E9989D678B5D16B","Utrecht in de spotlights fotogr Anna van Kooij 40-41 2013")</f>
        <v>0</v>
      </c>
      <c r="D6789" s="1">
        <f>hyperlink("http://issuu.com/utrechtbusiness/docs/ub_2013_2","Utrecht in de spotlights Anna van Kooij 40-41 2013")</f>
        <v>0</v>
      </c>
    </row>
    <row r="6790" spans="2:4">
      <c r="B6790">
        <v>100</v>
      </c>
      <c r="C6790" s="1">
        <f>hyperlink("https://hetutrechtsarchief.nl/collectie/17233068B14F5D168FEBAE4C03CB5B95","Utrechtse inventarissen op het net Kaj van Vliet 26-27 2006")</f>
        <v>0</v>
      </c>
      <c r="D6790" s="1">
        <f>hyperlink("http://kvan.courant.nu/index.php?mod=listindex&amp;q=&amp;jaargang=2006&amp;currentPage=2&amp;ocr=KVA001000114_03_013.xml&amp;p=13","Utrechtse inventarissen op het net Kaj van Vliet 26-27 2006")</f>
        <v>0</v>
      </c>
    </row>
    <row r="6791" spans="2:4">
      <c r="B6791">
        <v>98</v>
      </c>
      <c r="C6791" s="1">
        <f>hyperlink("https://hetutrechtsarchief.nl/collectie/AAB35B600385506A86589D0180264D85","Archieven Nederlandse Spoorwegen nu in Het Utrechts Archief en zij leefden nog lang en gelukkig Peter Diebels 12-17 2000")</f>
        <v>0</v>
      </c>
      <c r="D6791" s="1">
        <f>hyperlink("http://kvan.courant.nu/index.php?page=0&amp;mod=krantresultaat&amp;q=Archieven+Nederlandse+Spoorwegen&amp;auteur=&amp;titel=&amp;datering=&amp;krant%5B%5D=AB&amp;qt=pagina&amp;pagina=&amp;sort=score+desc","Archieven Nederlandse Spoorwegen nu in Het Utrechts Archief en zij leefden nog lang en gelukkig Peter Diebels 12-13 15-17 2000")</f>
        <v>0</v>
      </c>
    </row>
    <row r="6792" spans="2:4">
      <c r="B6792">
        <v>100</v>
      </c>
      <c r="C6792" s="1">
        <f>hyperlink("https://hetutrechtsarchief.nl/collectie/2D416106EF30532E97B2165B838C7A3B","Het bevolkingsregister als bron voor migratieonderzoek Marlou Schrover 14-15 2003")</f>
        <v>0</v>
      </c>
      <c r="D6792" s="1">
        <f>hyperlink("http://kvan.courant.nu/index.php?page=0&amp;mod=krantresultaat&amp;q=bevolkingsregister+bron+migratieonderzoek&amp;auteur=&amp;titel=&amp;datering=&amp;krant%5B%5D=NAB&amp;krant%5B%5D=AB&amp;qt=pagina&amp;pagina=&amp;sort=score+desc","Het bevolkingsregister als bron voor migratieonderzoek Marlou Schrover 14-15 2003")</f>
        <v>0</v>
      </c>
    </row>
    <row r="6793" spans="2:4">
      <c r="B6793">
        <v>100</v>
      </c>
      <c r="C6793" s="1">
        <f>hyperlink("https://hetutrechtsarchief.nl/collectie/0644E7FCB8645D69BD641D93FD7EC688","Van Buchel op internet een zeventiende-eeuws handschrift als database Nettie Stoppelenburg 12-13 2003")</f>
        <v>0</v>
      </c>
      <c r="D6793" s="1">
        <f>hyperlink("http://kvan.courant.nu/index.php?page=0&amp;mod=krantresultaat&amp;q=Buchel+internet+&amp;auteur=&amp;titel=&amp;datering=&amp;krant%5B%5D=NAB&amp;krant%5B%5D=AB&amp;qt=pagina&amp;pagina=&amp;sort=score+desc","Van Buchel op internet een zeventiende-eeuws handschrift als database Nettie Stoppelenburg 12-13 2003")</f>
        <v>0</v>
      </c>
    </row>
    <row r="6794" spans="2:4">
      <c r="B6794">
        <v>100</v>
      </c>
      <c r="C6794" s="1">
        <f>hyperlink("https://hetutrechtsarchief.nl/collectie/E104DE1479275C89938AE6EE17A9F113","Het Humanistisch Archief beheerder van nationaal cultureel erfgoed Bert Gasenbeek 16-17 2004")</f>
        <v>0</v>
      </c>
      <c r="D6794" s="1">
        <f>hyperlink("http://kvan.courant.nu/index.php?page=0&amp;mod=krantresultaat&amp;q=Humanistisch+Archief&amp;auteur=&amp;titel=&amp;datering=&amp;krant%5B%5D=AB&amp;qt=pagina&amp;pagina=&amp;sort=score+desc","Het Humanistisch Archief beheerder van nationaal cultureel erfgoed Bert Gasenbeek 16-17 2004")</f>
        <v>0</v>
      </c>
    </row>
    <row r="6795" spans="2:4">
      <c r="B6795">
        <v>100</v>
      </c>
      <c r="C6795" s="1">
        <f>hyperlink("https://hetutrechtsarchief.nl/collectie/C87BECE0100E5AA6A9A318C4403B2C08","Voor het voetlicht Noor Erkelens voormalig provinciaal inspecteur der archieven Utrecht Harry Strijkers 39 2005")</f>
        <v>0</v>
      </c>
      <c r="D6795" s="1">
        <f>hyperlink("http://kvan.courant.nu/index.php?page=0&amp;mod=krantresultaat&amp;q=Noor+Erkelens+voetlicht&amp;auteur=&amp;titel=&amp;datering=&amp;krant%5B%5D=NAB&amp;krant%5B%5D=AB&amp;qt=pagina&amp;pagina=&amp;sort=score+desc","Voor het voetlicht Noor Erkelens voormalig provinciaal inspecteur der archieven Utrecht Harry Strijkers 39 2005")</f>
        <v>0</v>
      </c>
    </row>
    <row r="6796" spans="2:4">
      <c r="B6796">
        <v>100</v>
      </c>
      <c r="C6796" s="1">
        <f>hyperlink("https://hetutrechtsarchief.nl/collectie/DB747A4F94535B99B9222333E390AEA8","Runderpest in Utrechtse archieven Ronald Rommes 40-41 2003")</f>
        <v>0</v>
      </c>
      <c r="D6796" s="1">
        <f>hyperlink("http://kvan.courant.nu/index.php?page=0&amp;mod=krantresultaat&amp;q=Runderpest&amp;auteur=&amp;titel=&amp;datering=&amp;krant%5B%5D=NAB&amp;krant%5B%5D=AB&amp;qt=pagina&amp;pagina=&amp;sort=score+desc","Runderpest in Utrechtse archieven Ronald Rommes 40-41 2003")</f>
        <v>0</v>
      </c>
    </row>
    <row r="6797" spans="2:4">
      <c r="B6797">
        <v>98</v>
      </c>
      <c r="C6797" s="1">
        <f>hyperlink("https://hetutrechtsarchief.nl/collectie/80D6F3E564045DC898A4EA3426E0B79C","Verleiding en verdieping nieuw bezoekerscentrum voor Het Utrechts Archief Jac Biemans 12-15 2007")</f>
        <v>0</v>
      </c>
      <c r="D6797" s="1">
        <f>hyperlink("http://kvan.courant.nu/index.php?page=0&amp;mod=krantresultaat&amp;q=Verleiding+en+verdieping+&amp;auteur=&amp;titel=&amp;datering=&amp;krant%5B%5D=NAB&amp;krant%5B%5D=AB&amp;qt=pagina&amp;pagina=&amp;sort=score+desc","Verleiding en verdieping nieuw bezoekerscentrum voor Het Utrechts Archief Jac Biemans 12-13 15 2007")</f>
        <v>0</v>
      </c>
    </row>
    <row r="6798" spans="2:4">
      <c r="B6798">
        <v>58</v>
      </c>
      <c r="C6798" s="1">
        <f>hyperlink("https://hetutrechtsarchief.nl/collectie/8781885BFD17577D81715DCCDEF7747B","De werken van den architect Alfred Tepe Wolter te Riele 11-16 ill 1921")</f>
        <v>0</v>
      </c>
      <c r="D6798" s="1">
        <f>hyperlink("http://kvan.courant.nu/index.php?page=1&amp;mod=krantresultaat&amp;q=Indeeling+abcoude&amp;auteur=&amp;titel=&amp;datering=&amp;krant%5B0%5D=NAB&amp;krant%5B1%5D=AB&amp;qt=pagina&amp;pagina=&amp;sort=score+desc&amp;doc=0&amp;p=28&amp;y=106","Indeeling van de parochie Abcoude D P M Graswinckel 144-145 1921")</f>
        <v>0</v>
      </c>
    </row>
    <row r="6799" spans="2:4">
      <c r="B6799">
        <v>100</v>
      </c>
      <c r="C6799" s="1">
        <f>hyperlink("https://hetutrechtsarchief.nl/collectie/1CA7DB3BC41F5358BA01CEE51554C9FA","Huize Molenaar in Utrecht cuisinier sinds 1892 Marjo Barthels 25 2006")</f>
        <v>0</v>
      </c>
      <c r="D6799" s="1">
        <f>hyperlink("http://kvan.courant.nu/index.php?page=3&amp;mod=krantresultaat&amp;q=&amp;auteur=&amp;titel=&amp;datering=2006&amp;krant%5B0%5D=AB&amp;qt=pagina&amp;pagina=&amp;sort=score+desc&amp;doc=14&amp;p=12","Huize Molenaar in Utrecht cuisinier sinds 1892 Marjo Barthels 25 2006")</f>
        <v>0</v>
      </c>
    </row>
    <row r="6800" spans="2:4">
      <c r="B6800">
        <v>54</v>
      </c>
      <c r="C6800" s="1">
        <f>hyperlink("https://hetutrechtsarchief.nl/collectie/7FA4219E00DF11B5E0534701000ABD69","De Oranjefeesten van 1948 in Woerden Karel Maartense 46-52 2013")</f>
        <v>0</v>
      </c>
      <c r="D6800" s="1">
        <f>hyperlink("http://leesmuseum.bibliotheekarnhem.nl/LM02619","De strafgevangenis te Woerden A A Stuart 1865")</f>
        <v>0</v>
      </c>
    </row>
    <row r="6801" spans="2:4">
      <c r="B6801">
        <v>54</v>
      </c>
      <c r="C6801" s="1">
        <f>hyperlink("https://hetutrechtsarchief.nl/collectie/EEA6926853BE56D6B327DED675FD9CA8","Hoog Catharijne ruilhart met afstotingsverschijnselen Kees Volkers 11 ill 1993")</f>
        <v>0</v>
      </c>
      <c r="D6801" s="1">
        <f>hyperlink("http://magazine.vredevanutrecht2013.nl/vredeindebuurt#call-of-the-mall","Hoog Catharijne en Utrecht Centraal Station veranderen in kunstmuseum Robbie Cornelissen 52-53 2013")</f>
        <v>0</v>
      </c>
    </row>
    <row r="6802" spans="2:4">
      <c r="B6802">
        <v>52</v>
      </c>
      <c r="C6802" s="1">
        <f>hyperlink("https://hetutrechtsarchief.nl/collectie/9257B9ACED242725E0534701000A1F1B","Stinzen in alle kleuren Door Ineke van Schuppen en Wim van Heteren 75-76 2019")</f>
        <v>0</v>
      </c>
      <c r="D6802" s="1">
        <f>hyperlink("http://magazine.vredevanutrecht2013.nl/vredeindebuurt#joris-linssen","Ich bin ein Lombokker Joris Linssen cre ert warmte en vertrouwen 2013")</f>
        <v>0</v>
      </c>
    </row>
    <row r="6803" spans="2:4">
      <c r="B6803">
        <v>53</v>
      </c>
      <c r="C6803" s="1">
        <f>hyperlink("https://hetutrechtsarchief.nl/collectie/5CD0B4253566504C81D75A46578CA2E9","Geschiedkundige bijzonderheden lied op de burgers van Utrecht 144 -150 1836")</f>
        <v>0</v>
      </c>
      <c r="D6803" s="1">
        <f>hyperlink("http://magazine.vredevanutrecht2013.nl/vredeindebuurt#sex-drugs-and-rock-n-roll","Sex drugs Rock n Roll een losbandige tijd tijdens de Vrede van Utrecht 2013")</f>
        <v>0</v>
      </c>
    </row>
    <row r="6804" spans="2:4">
      <c r="B6804">
        <v>100</v>
      </c>
      <c r="C6804" s="1">
        <f>hyperlink("https://hetutrechtsarchief.nl/collectie/01EE845820B85E7EB350B98067DCE100","Een goddelijke orde in de Dom de tekeningen van steenhouwer Johannes Flentge Maria Lamslag 122-127 2012")</f>
        <v>0</v>
      </c>
      <c r="D6804" s="1">
        <f>hyperlink("http://marialamslag.nl/wp-content/uploads/Artikel_Oud-Utrecht_Goddelijke-Orde.pdf","Een goddelijke orde in de Dom de tekeningen van steenhouwer Johannes Flentge Maria Lamslag 122-127 2012")</f>
        <v>0</v>
      </c>
    </row>
    <row r="6805" spans="2:4">
      <c r="B6805">
        <v>87</v>
      </c>
      <c r="C6805" s="1">
        <f>hyperlink("https://hetutrechtsarchief.nl/collectie/530C91C97F275C5196A109D0507B42D3","Criminaliteit en rechtspraak in Leersum in de achttiende eeuw 2 Hans van Deukeren 15-18 2005")</f>
        <v>0</v>
      </c>
      <c r="D6805" s="1">
        <f>hyperlink("http://members.casema.nl/h.vandeukeren/leersum.htm","Criminaliteit en rechtspraak in Leersum in de achttiende eeuw Hans van Deukeren 18-21 nr 2 p 15-18 nr 3 p 14-20 2005")</f>
        <v>0</v>
      </c>
    </row>
    <row r="6806" spans="2:4">
      <c r="B6806">
        <v>75</v>
      </c>
      <c r="C6806" s="1">
        <f>hyperlink("https://hetutrechtsarchief.nl/collectie/21EC1D85D4765043A0DBA33DAAE4CF16","Zegt dat den honger een scherp zwaard is op zoek naar de armoedecriminaliteit in de Vechtse venen in de tweede helft van de achttiende eeuw Hans van Deukeren 144-172 ill 1991")</f>
        <v>0</v>
      </c>
      <c r="D6806" s="1">
        <f>hyperlink("http://members.casema.nl/h.vandeukeren/scriptie.htm","Zegt dat den honger een scherp zwaard is onderzoek naar samenhangen tussen economische ontwikkeling en armoede en criminaliteit in de veendorpen van Noordwest-Utrecht in de tweede helft van de achttiende eeuw Hans van Deukeren 1989")</f>
        <v>0</v>
      </c>
    </row>
    <row r="6807" spans="2:4">
      <c r="B6807">
        <v>62</v>
      </c>
      <c r="C6807" s="1">
        <f>hyperlink("https://hetutrechtsarchief.nl/collectie/B3EA0801E0A461C8E0534701000A9FF3","Paal en perk aan jeugdoverlast Ton van den Berg 18-22 2020")</f>
        <v>0</v>
      </c>
      <c r="D6807" s="1">
        <f>hyperlink("http://mitros.nl/Over%20Mitros/Folders/Boekje%20Leven%20in%20De%20LESSEPSBUURT%20binnenwerk%20DEF.pdf","Leven in de De Lessepsbuurt Ton van den Berg 2007")</f>
        <v>0</v>
      </c>
    </row>
    <row r="6808" spans="2:4">
      <c r="B6808">
        <v>62</v>
      </c>
      <c r="C6808" s="1">
        <f>hyperlink("https://hetutrechtsarchief.nl/collectie/8AED7513981D5E69B7FC13256709EF62","Klokkenspel Kees van den Berg 6-9 1985")</f>
        <v>0</v>
      </c>
      <c r="D6808" s="1">
        <f>hyperlink("http://natuurcultuur.nl/download?type=document&amp;docid=457202","Koepels in de Vechtstreek B O van den Berg 25-28 1979")</f>
        <v>0</v>
      </c>
    </row>
    <row r="6809" spans="2:4">
      <c r="B6809">
        <v>51</v>
      </c>
      <c r="C6809" s="1">
        <f>hyperlink("https://hetutrechtsarchief.nl/collectie/B6AA59BBAD0E5D44895B641398F6C981","Noord-Nederlandsche miniaturen C de Wit 122-125 ill 1926")</f>
        <v>0</v>
      </c>
      <c r="D6809" s="1">
        <f>hyperlink("http://natuurcultuur.nl/download?type=document&amp;docid=457409","Lopikerwaard bedreigd landschap Bernt Haan Dick de Feis 75-79 1980")</f>
        <v>0</v>
      </c>
    </row>
    <row r="6810" spans="2:4">
      <c r="B6810">
        <v>57</v>
      </c>
      <c r="C6810" s="1">
        <f>hyperlink("https://hetutrechtsarchief.nl/collectie/260F281B6B345DB7A7C341CF2C709133","Ruste eenigheyd Welvaaren onderzoek naar de elite van Soest rond 1750 deel 1 Mieke Heurneman 1-11 2007")</f>
        <v>0</v>
      </c>
      <c r="D6810" s="1">
        <f>hyperlink("http://oaithesis.eur.nl/ir/repub/asset/4488/Master%20Thesis%20Ilhan%20Tekir.pdf","Duaal maar niet helemaal een onderzoek naar de dualisering van bestuursbevoegdheden in gemeente Utrecht Ilhan Tekir 2008")</f>
        <v>0</v>
      </c>
    </row>
    <row r="6811" spans="2:4">
      <c r="B6811">
        <v>57</v>
      </c>
      <c r="C6811" s="1">
        <f>hyperlink("https://hetutrechtsarchief.nl/collectie/53014EBC737B5491AECC7032123F4752","De sterfte in de gemeente Utrecht over 1926 vergeleken met die in vroegeren tijd A J van der Weyde 29-31 1927")</f>
        <v>0</v>
      </c>
      <c r="D6811" s="1">
        <f>hyperlink("http://oaithesis.eur.nl/ir/repub/asset/4657/SCRIPTIE%20-%20J%20%20van%20der%20Poel%20-%20Lokaal%20veiligheidsbeleid%20in%20Utrecht.pdf","Lokaal veiligheidsbeleid in de gemeente Utrecht politie en gemeente partners in veiligheid Jurjen van der Poel 2008")</f>
        <v>0</v>
      </c>
    </row>
    <row r="6812" spans="2:4">
      <c r="B6812">
        <v>50</v>
      </c>
      <c r="C6812" s="1">
        <f>hyperlink("https://hetutrechtsarchief.nl/collectie/1AB0E41AF8935AA9963DE67C511D54A7","Uitgroei van Eemnes van 1930 tot 2010 deel 2 Bedrijven en voorzieningen Rom van der Schaaf 5-22 2012")</f>
        <v>0</v>
      </c>
      <c r="D6812" s="1">
        <f>hyperlink("http://oaithesis.eur.nl/ir/repub/asset/4780/Schellevis%20Scriptie.doc","Bioscopen in Veenendaal van 1913 tot 1970 en de invloed van sociaal-economische kenmerken op hun succes Martine Schellevis 2008")</f>
        <v>0</v>
      </c>
    </row>
    <row r="6813" spans="2:4">
      <c r="B6813">
        <v>53</v>
      </c>
      <c r="C6813" s="1">
        <f>hyperlink("https://hetutrechtsarchief.nl/collectie/5FD5B909D568585CBE16C018CA51232F","De Utrechtse vredehandel geschorst door eene vechtpartij van bedienden 72-78 1847")</f>
        <v>0</v>
      </c>
      <c r="D6813" s="1">
        <f>hyperlink("http://objects.library.uu.nl/reader/index.php?obj=1874-218443&amp;lan=nl#page//13/22/89/132289114298881682413401488378050344205.jpg/mode/1up","Utrecht s nijverheid en handel in woord en beeld Maatschappij van Nijverheid Department Utrecht 1913")</f>
        <v>0</v>
      </c>
    </row>
    <row r="6814" spans="2:4">
      <c r="B6814">
        <v>53</v>
      </c>
      <c r="C6814" s="1">
        <f>hyperlink("https://hetutrechtsarchief.nl/collectie/9474AC569D305586BAA09ACDCC66C009","Kerkelijke statistiek collecten in de Nederduitsche Hervormde Kerken binnen Utrecht op den Dank- en Vast- en Bedendag gehouden den 26 Maart 1732 117 -118 1836")</f>
        <v>0</v>
      </c>
      <c r="D6814" s="1">
        <f>hyperlink("http://objects.library.uu.nl/reader/index.php?obj=1874-220939&amp;lan=en#page//39/89/17/39891717844649635083531621098794342542.jpg/mode/1up","Wijkverdeeling der Nederduitsche Hervormde gemeente te Utrecht bewerkt door C W Wagenaar - 2de uitgaaf C W Wagenaar 1915")</f>
        <v>0</v>
      </c>
    </row>
    <row r="6815" spans="2:4">
      <c r="B6815">
        <v>51</v>
      </c>
      <c r="C6815" s="1">
        <f>hyperlink("https://hetutrechtsarchief.nl/collectie/132DEF6C80805D418520104FA2893BA6","Bijdragen tot de geschiedenis van de gemeenten der hervormden in de provincie Utrecht v r 1618 P J Vermeulen 91-193 - ill 1847")</f>
        <v>0</v>
      </c>
      <c r="D6815" s="1">
        <f>hyperlink("http://objects.library.uu.nl/reader/index.php?obj=1874-234610&amp;lan=nl#page//13/57/62/135762039973154885808348811819225624796.jpg/mode/1up","Voorstel tot het vaststellen van een plan voor de uitbreiding der gemeente Utrecht door J P Havelaar et al J P Havelaar 1877")</f>
        <v>0</v>
      </c>
    </row>
    <row r="6816" spans="2:4">
      <c r="B6816">
        <v>50</v>
      </c>
      <c r="C6816" s="1">
        <f>hyperlink("https://hetutrechtsarchief.nl/collectie/C117D2CF47E9565096C18D8251CEAEF3","De oorsprong van het Utrechtsche grachtbeeld verslag der voordracht van Dr K Heeringa in de sectievergadering van het Prov Utrechtsch Genootschap van K en W op 2 juni 1930 73-76 1930")</f>
        <v>0</v>
      </c>
      <c r="D6816" s="1">
        <f>hyperlink("http://objects.library.uu.nl/reader/index.php?obj=1874-235094&amp;lan=nl#page//98/69/92/98699225787763294881545555890516828646.jpg/mode/1up","Verslag van de lotgevallen der Utrechtsche afdeeling van de Maatschappij tot Nut der Isra lieten in Nederland uitgebracht bij de feestelijke herdenking van haar vijfentwintigjarig bestaan op den 2 Juli 1876 H Italie 1876")</f>
        <v>0</v>
      </c>
    </row>
    <row r="6817" spans="2:4">
      <c r="B6817">
        <v>52</v>
      </c>
      <c r="C6817" s="1">
        <f>hyperlink("https://hetutrechtsarchief.nl/collectie/05C5840CC94A57798779BA7A82A59EF5","Oude kernen in een nieuwe stad over verleden en toekomst van Vleuten De Meern en Haarzuilens Margreet Staal-Spekman 162-165 2011")</f>
        <v>0</v>
      </c>
      <c r="D6817" s="1">
        <f>hyperlink("http://pdf.swphost.com/inhoudspdf/850235inhoud.pdf","Gezellig en gewend jongeren over wonen en de toekomst in een herstructureringswijk Karel J Koster Martijn Mulderij 2011")</f>
        <v>0</v>
      </c>
    </row>
    <row r="6818" spans="2:4">
      <c r="B6818">
        <v>57</v>
      </c>
      <c r="C6818" s="1">
        <f>hyperlink("https://hetutrechtsarchief.nl/collectie/7AA1BE72B0E85CD4B81097D28DA7A6A0","Cornelis Block s kroniek van het Regulierenklooster te Utrecht medeged door J G Ch Joosting 1-93 1895")</f>
        <v>0</v>
      </c>
      <c r="D6818" s="1">
        <f>hyperlink("http://proxy.library.uu.nl/login?url=http://objects.library.uu.nl/reader/resolver.php?obj=1286929&amp;type=2","Korte kroniek van het kasteel Duurstede - 5de dr J F Croockewit 1914")</f>
        <v>0</v>
      </c>
    </row>
    <row r="6819" spans="2:4">
      <c r="B6819">
        <v>64</v>
      </c>
      <c r="C6819" s="1">
        <f>hyperlink("https://hetutrechtsarchief.nl/collectie/A16551E8DC8C5A9D9B5D7AA263A3965C","Uit de geschiedenis van de Utrechtsche sterrenwacht - Arachis 1-3 1909")</f>
        <v>0</v>
      </c>
      <c r="D6819" s="1">
        <f>hyperlink("http://proxy.library.uu.nl/login?url=http://objects.library.uu.nl/reader/resolver.php?obj=969966&amp;type=2","Geschiedenis van de ridderschap van Utrecht W F Prins ca 1966")</f>
        <v>0</v>
      </c>
    </row>
    <row r="6820" spans="2:4">
      <c r="B6820">
        <v>54</v>
      </c>
      <c r="C6820" s="1">
        <f>hyperlink("https://hetutrechtsarchief.nl/collectie/C62C7E7D41665992A7F83B3DB1BA4BD3","De Eerste Veenendaalsche Pettenfabriek Gerrit Rijk de Ruijter 4-9 2002")</f>
        <v>0</v>
      </c>
      <c r="D6820" s="1">
        <f>hyperlink("http://publicaties.minienm.nl/documenten/trajectnota-mer-a12-utrecht-veenendaal","Utrecht-Veenendaal Berkenbosch Koetsenruijter 2000-200X")</f>
        <v>0</v>
      </c>
    </row>
    <row r="6821" spans="2:4">
      <c r="B6821">
        <v>56</v>
      </c>
      <c r="C6821" s="1">
        <f>hyperlink("https://hetutrechtsarchief.nl/collectie/46FCED287579560DB5ECE502B5EC5371","Ida Gerhardt en de Werkplaats Mieke Koenen 11-17 2014")</f>
        <v>0</v>
      </c>
      <c r="D6821" s="1">
        <f>hyperlink("http://remery.home.xs4all.nl/dsa/Artikelen/artjrg01_05/art20304.htm","Naar de werkplaats Manuele du Bois-Reymond 1984")</f>
        <v>0</v>
      </c>
    </row>
    <row r="6822" spans="2:4">
      <c r="B6822">
        <v>56</v>
      </c>
      <c r="C6822" s="1">
        <f>hyperlink("https://hetutrechtsarchief.nl/collectie/34A83B59C4F35A55871386F07460869C","De Nederlanse bouwkunst in het begin van de negentiende eeuw R C Hekker 1-28 ill 1951")</f>
        <v>0</v>
      </c>
      <c r="D6822" s="1">
        <f>hyperlink("http://remery.home.xs4all.nl/dsa/Artikelen/artjrg16_20/art160302.htm","Openbaar en toch bijzonder de Franse school voor jongens in IJsselstein in de negentiende eeuw Agnes E M Jonker 4-9 1988")</f>
        <v>0</v>
      </c>
    </row>
    <row r="6823" spans="2:4">
      <c r="B6823">
        <v>60</v>
      </c>
      <c r="C6823" s="1">
        <f>hyperlink("https://hetutrechtsarchief.nl/collectie/CF756DCD19A75CB3819753087BF10B38","Een nationaal park der oostelijke Vechtplassen 60-64 1949")</f>
        <v>0</v>
      </c>
      <c r="D6823" s="1">
        <f>hyperlink("http://repository.tudelft.nl/islandora/object/uuid:511e369e-b135-4720-abc9-44f70ccec3bf?collection=heritage","Een nationaal park in Nederland L van Vuuren 1933")</f>
        <v>0</v>
      </c>
    </row>
    <row r="6824" spans="2:4">
      <c r="B6824">
        <v>55</v>
      </c>
      <c r="C6824" s="1">
        <f>hyperlink("https://hetutrechtsarchief.nl/collectie/4D1AB644F57358F4A280AEEAE8B2BF07","Middeleeuwse reclusen kluizenaressen en hun besloten bestaan Michel van Maarseveen 307-312 ill tab 1995")</f>
        <v>0</v>
      </c>
      <c r="D6824" s="1">
        <f>hyperlink("http://repository.tudelft.nl/view/ir/uuid:66d71e50-344b-4cab-821f-6eb729d78ccc/","Middeleeuwse stenen huizen te Utrecht en hun relatie met andere Noordwesteuropese steden C L Temminck Groll 1963")</f>
        <v>0</v>
      </c>
    </row>
    <row r="6825" spans="2:4">
      <c r="B6825">
        <v>86</v>
      </c>
      <c r="C6825" s="1">
        <f>hyperlink("https://hetutrechtsarchief.nl/collectie/AB8E939997E35EFD87C50093288410CB","Een Romeins graanschip in Woerden J K Haalebos 68-95 ill plgr tek 1997")</f>
        <v>0</v>
      </c>
      <c r="D6825" s="1">
        <f>hyperlink("http://repository.ubn.ru.nl/bitstream/2066/26423/1/26536___.PDF;http://igitur-archive.library.uu.nl/sabine/2011-1117-200739/UUindex.html","Een Romeins graanschip in Woerden J K Haalebos 67 -96 1997")</f>
        <v>0</v>
      </c>
    </row>
    <row r="6826" spans="2:4">
      <c r="B6826">
        <v>59</v>
      </c>
      <c r="C6826" s="1">
        <f>hyperlink("https://hetutrechtsarchief.nl/collectie/0BF5C6BE8F5F5298AC1FFE6BA570E624","Chantage in Woerden 1732 W R C Alkemade 41-45 1999")</f>
        <v>0</v>
      </c>
      <c r="D6826" s="1">
        <f>hyperlink("http://repository.ubn.ru.nl/bitstream/2066/27357/3/27357___.PDF","Ausgrabungen in Woerden 1975-1982 J K Haalebos 169-174 1986")</f>
        <v>0</v>
      </c>
    </row>
    <row r="6827" spans="2:4">
      <c r="B6827">
        <v>51</v>
      </c>
      <c r="C6827" s="1">
        <f>hyperlink("https://hetutrechtsarchief.nl/collectie/FD77CA8506495F8188B53FB091C48E33","Een schilderij van Nicolaas Bastert in het gemeentehuis van Vianen - enige opmerkingen A J A M Lisman 172-174 2003")</f>
        <v>0</v>
      </c>
      <c r="D6827" s="1">
        <f>hyperlink("http://repository.ubn.ru.nl/bitstream/handle/2066/43947/43947.pdf","De Romeinse nederzetting Fectio bij Fort Vechten kartering van opgravingen en bodemverstoringen M Kloosterman R P J Polak 2007")</f>
        <v>0</v>
      </c>
    </row>
    <row r="6828" spans="2:4">
      <c r="B6828">
        <v>58</v>
      </c>
      <c r="C6828" s="1">
        <f>hyperlink("https://hetutrechtsarchief.nl/collectie/32AACF1FCF7E5F97B91700B872943980","Missive en verdere deductie door eenige leden van de Vroedschap der stad Utrecht overgegeven aan Z H den Heere Prince van Oranje en Nassau etc medeged door J L A Martens 404-424 1877")</f>
        <v>0</v>
      </c>
      <c r="D6828" s="1">
        <f>hyperlink("http://resolver.kb.nl/resolve?urn=dpo:2961:mpeg21","Commissie boekje voor de ed groot achtb heeren burgermeesteren en vroedschap der stad Utrecht Over dezen jaare 1787 Als mede de namen der uitmaanders van de ongelden binnen de vryheid van dien 1787")</f>
        <v>0</v>
      </c>
    </row>
    <row r="6829" spans="2:4">
      <c r="B6829">
        <v>99</v>
      </c>
      <c r="C6829" s="1">
        <f>hyperlink("https://hetutrechtsarchief.nl/collectie/4329CCD52D655B14A10DA1F8F5CC8398","Reyer Pauwelsz de Utrechtsche boekbinder en rederijker G A Evers 253 -265 1920")</f>
        <v>0</v>
      </c>
      <c r="D6829" s="1">
        <f>hyperlink("http://resolver.kb.nl/resolve?urn=dts:2410002:mpeg21:0261","Reyer Pauwelsz de Utrechtsche boekbinder en rederijker G A Evers 253-265 1920")</f>
        <v>0</v>
      </c>
    </row>
    <row r="6830" spans="2:4">
      <c r="B6830">
        <v>75</v>
      </c>
      <c r="C6830" s="1">
        <f>hyperlink("https://hetutrechtsarchief.nl/collectie/3ACA5A9FEC5C52FE90CE42C421E1B5C9","Het archief der bisschoppen van Utrecht S Muller Fz 1-30 17 1888")</f>
        <v>0</v>
      </c>
      <c r="D6830" s="1">
        <f>hyperlink("http://resolver.kb.nl/resolve?urn=MMKB02:000117849:00005;http://resolver.kb.nl/resolve?urn=MMKB02:000117852:00005;http://resolver.kb.nl/resolve?urn=MMKB02:000117846:00005;http://resolver.kb.nl/resolve?urn=MMKB02:000117850:00005","Regesten van het archief der bisschoppen van Utrecht 722-1528 S Muller 1917-1922")</f>
        <v>0</v>
      </c>
    </row>
    <row r="6831" spans="2:4">
      <c r="B6831">
        <v>53</v>
      </c>
      <c r="C6831" s="1">
        <f>hyperlink("https://hetutrechtsarchief.nl/collectie/55F63C47D03853ECB49A0C21E217A0B9","Verleden en toekomst van het St Bernulphusgilde ter gelegenheid van het gouden jubil van het gilde C Hartman 114-119 portr 1919")</f>
        <v>0</v>
      </c>
      <c r="D6831" s="1">
        <f>hyperlink("http://resolver.kb.nl/resolve?urn=MMKB02:000119012:00084","De Joodsche Gemeente van Amersfoort gedenkschrift samengesteld ter gelegenheid van het tweede eeuwfeest van de synagoge 5487-5687 - 1727-1927 Jac Zwarts 1927")</f>
        <v>0</v>
      </c>
    </row>
    <row r="6832" spans="2:4">
      <c r="B6832">
        <v>52</v>
      </c>
      <c r="C6832" s="1">
        <f>hyperlink("https://hetutrechtsarchief.nl/collectie/A237CA355C2058DE94EEFC4314E9B5F5","Een en ander over de portretten van het Provinciaal Utrechtsch Genootschap in verband met zijn geschiedenis gedurende de eerste halve eeuw van zijn bestaan P Fijn van Draat 115-137 1933")</f>
        <v>0</v>
      </c>
      <c r="D6832" s="1">
        <f>hyperlink("http://resolver.kb.nl/resolve?urn=MMKB02:000119650:00001","Uit de geschiedenis van het P U G Provinciaal Utrechtsch Genootschap 1773-1923 samengesteld bij gelegenheid van het 150 jarig bestaan in opdracht der directie door het lid dier directie N J Singels N J Singels 1923")</f>
        <v>0</v>
      </c>
    </row>
    <row r="6833" spans="2:4">
      <c r="B6833">
        <v>54</v>
      </c>
      <c r="C6833" s="1">
        <f>hyperlink("https://hetutrechtsarchief.nl/collectie/FA9734CA55B653749B513C767AEE71D4","De verkiezing van Frederik van Blankenheim tot bisschop van Utrecht J Kleijntjens 204-239 1930")</f>
        <v>0</v>
      </c>
      <c r="D6833" s="1">
        <f>hyperlink("http://resolver.kb.nl/resolve?urn=MMKB02:000121302:00007","Gedenkboek 1723-27 April 1923 tweede eeuwfeest der verkiezing van Cornelis Steenoven tot aartsbisschop van Utrecht J H Berends 1923")</f>
        <v>0</v>
      </c>
    </row>
    <row r="6834" spans="2:4">
      <c r="B6834">
        <v>55</v>
      </c>
      <c r="C6834" s="1">
        <f>hyperlink("https://hetutrechtsarchief.nl/collectie/BFA5B022B541523FA9EE6B485D290878","De strijd van Hennepin en andere minderbroeders tegen het Jansenisme David de Kok 1-85 1947")</f>
        <v>0</v>
      </c>
      <c r="D6834" s="1">
        <f>hyperlink("http://resolver.kb.nl/resolve?urn=MMKB02:000122816:00001","Het klooster van de paters minderbroeders te Woerden Bonaventura Kruitwagen 1924")</f>
        <v>0</v>
      </c>
    </row>
    <row r="6835" spans="2:4">
      <c r="B6835">
        <v>62</v>
      </c>
      <c r="C6835" s="1">
        <f>hyperlink("https://hetutrechtsarchief.nl/collectie/548EF5817B7E58E08D0B6CDF4EE830B4","Utrecht en Goethe W Graadt van Roggen 138-153 1934")</f>
        <v>0</v>
      </c>
      <c r="D6835" s="1">
        <f>hyperlink("http://resolver.kb.nl/resolve?urn=MMKB02:000123161:00166","Ge llustreerde gids voor Utrecht en omstreken W Graadt van Roggen 1928")</f>
        <v>0</v>
      </c>
    </row>
    <row r="6836" spans="2:4">
      <c r="B6836">
        <v>54</v>
      </c>
      <c r="C6836" s="1">
        <f>hyperlink("https://hetutrechtsarchief.nl/collectie/4D949E0AEE5F5824B0EBD5E51863BD86","De stad Utrecht omstreeks 1823 den burgemeester van Utrecht J P Fockema Andreae 28-39 1924")</f>
        <v>0</v>
      </c>
      <c r="D6836" s="1">
        <f>hyperlink("http://resolver.kb.nl/resolve?urn=MMKB02:000124261:00003","De stad Utrecht haar historie en haar toekomst twee voordrachten op 19 januari en 16 februari 1926 voor de Utrechtsche volksuniversiteit J P Fockema Andreae 1926")</f>
        <v>0</v>
      </c>
    </row>
    <row r="6837" spans="2:4">
      <c r="B6837">
        <v>55</v>
      </c>
      <c r="C6837" s="1">
        <f>hyperlink("https://hetutrechtsarchief.nl/collectie/D12D73728F0853CC9FF3977D8BFC902B","Lustrum-nummer ter gelegenheid van het 75-jarig bestaan van het Utrechtsch Studenten Weekblad Vox Studiosorum 1-39 ill 1939")</f>
        <v>0</v>
      </c>
      <c r="D6837" s="1">
        <f>hyperlink("http://resolver.kb.nl/resolve?urn=MMKB02:000124802:00017","Jubileumboekje verschenen ter gelegenheid van het 5-jarig bestaan van den Utrechtschen Provincialen Athletiekbond 1921 17 December 1926 red comm A Lammers A P Arentsen A P Lammers A Arentsen 1926")</f>
        <v>0</v>
      </c>
    </row>
    <row r="6838" spans="2:4">
      <c r="B6838">
        <v>62</v>
      </c>
      <c r="C6838" s="1">
        <f>hyperlink("https://hetutrechtsarchief.nl/collectie/1EDDCA9D433D58F78A63F0CDF80FF017","Een tiendproces in de dertiende eeuw J W Berkelbach van der Sprenkel 35-44 1926")</f>
        <v>0</v>
      </c>
      <c r="D6838" s="1">
        <f>hyperlink("http://resolver.kb.nl/resolve?urn=MMKB02:000125309:00001","Geschiedenis van het Bisdom Utrecht van 1281 tot 1305 J W Berkelbach van der Sprenkel 1923")</f>
        <v>0</v>
      </c>
    </row>
    <row r="6839" spans="2:4">
      <c r="B6839">
        <v>55</v>
      </c>
      <c r="C6839" s="1">
        <f>hyperlink("https://hetutrechtsarchief.nl/collectie/2D927E4B488B5231BA413BFEEBFCBD55","Iets over de Utrechtsche hoveniers en de kleeding der hovenierschen J H C van den Berg 138-150 ill 1937")</f>
        <v>0</v>
      </c>
      <c r="D6839" s="1">
        <f>hyperlink("http://resolver.kb.nl/resolve?urn=MMKB02:100000352:00005","Iets over Utrechts s uitbeiding en Utrechtse woningcomplexen der laatste jaren L S P Berg J H C van den Scheffer 1922")</f>
        <v>0</v>
      </c>
    </row>
    <row r="6840" spans="2:4">
      <c r="B6840">
        <v>59</v>
      </c>
      <c r="C6840" s="1">
        <f>hyperlink("https://hetutrechtsarchief.nl/collectie/1C2D76323FCA579DAAB93D4FE6B75AA5","De eerste Nederlandse Slagersvakschool te Utrecht 10-11 ill 1950")</f>
        <v>0</v>
      </c>
      <c r="D6840" s="1">
        <f>hyperlink("http://resolver.kb.nl/resolve?urn=MMKB02:100001385:00001","Gedenkboek van de eerste Nederlandsche jaarbeurs te Utrecht 26 februari-10 maart 1917 H Geesink 1917")</f>
        <v>0</v>
      </c>
    </row>
    <row r="6841" spans="2:4">
      <c r="B6841">
        <v>66</v>
      </c>
      <c r="C6841" s="1">
        <f>hyperlink("https://hetutrechtsarchief.nl/collectie/FEFA36885C2855588938527D7991355E","De dom van Utrecht - H de J 109-113 ill 1965")</f>
        <v>0</v>
      </c>
      <c r="D6841" s="1">
        <f>hyperlink("http://resolver.kb.nl/resolve?urn=MMKB02:100001839:00003","De Dom te Utrecht C H de Jonge ca 1920")</f>
        <v>0</v>
      </c>
    </row>
    <row r="6842" spans="2:4">
      <c r="B6842">
        <v>57</v>
      </c>
      <c r="C6842" s="1">
        <f>hyperlink("https://hetutrechtsarchief.nl/collectie/37AEDA33C23E55119B607352CDFF16C4","Regestenlijst van het archief der Staten van Utrecht 1323-1528 186-251 16 1914")</f>
        <v>0</v>
      </c>
      <c r="D6842" s="1">
        <f>hyperlink("http://resolver.kb.nl/resolve?urn=MMKB02:100002717:00001","Catalogus van het archief der fundatie van Mr Evert van de Poll S Muller 1919")</f>
        <v>0</v>
      </c>
    </row>
    <row r="6843" spans="2:4">
      <c r="B6843">
        <v>59</v>
      </c>
      <c r="C6843" s="1">
        <f>hyperlink("https://hetutrechtsarchief.nl/collectie/D6A46E0912B6518B9F9C9AEC794D435B","Stukken betreffende het Stichtsche muntwezen ten tijde van bisschop David van Bourgondi medeged door D Th Enklaar 27 -52 1927")</f>
        <v>0</v>
      </c>
      <c r="D6843" s="1">
        <f>hyperlink("http://resolver.kb.nl/resolve?urn=MMKB02:100002773:00039","Het landsheerlijk bestuur in het Sticht Utrecht aan deze zijde van den IJssel gedurende de regering van bisschop David van Bourgondie 1456-1496 Diederik Theodorus Enklaar 1922")</f>
        <v>0</v>
      </c>
    </row>
    <row r="6844" spans="2:4">
      <c r="B6844">
        <v>63</v>
      </c>
      <c r="C6844" s="1">
        <f>hyperlink("https://hetutrechtsarchief.nl/collectie/FA910DF8C19D57F696E1DA55DDAE560D","Bijdrage tot de genealogie van het Utrechtse geslacht Van Muyden L Calkoen 1-101 1907")</f>
        <v>0</v>
      </c>
      <c r="D6844" s="1">
        <f>hyperlink("http://resolver.kb.nl/resolve?urn=MMKB02:100003265:00005","Bijdragen tot eene genealogie betreffende het Amersfoortsche geslacht Van Ysselt van Isselt W E van Dam van Isselt 1920")</f>
        <v>0</v>
      </c>
    </row>
    <row r="6845" spans="2:4">
      <c r="B6845">
        <v>86</v>
      </c>
      <c r="C6845" s="1">
        <f>hyperlink("https://hetutrechtsarchief.nl/collectie/DD85D71F9B905E0393AFC9429468F3EB","Lijst van geschriften over Nicolaas Beets A Brom Jr 352 -353 1914")</f>
        <v>0</v>
      </c>
      <c r="D6845" s="1">
        <f>hyperlink("http://resolver.kb.nl/resolve?urn=MMKB02:100005117:00011","Lijst van geschriften over Nicolaas Beets A Brom 352 424 4 1915 p 64 135 1914")</f>
        <v>0</v>
      </c>
    </row>
    <row r="6846" spans="2:4">
      <c r="B6846">
        <v>50</v>
      </c>
      <c r="C6846" s="1">
        <f>hyperlink("https://hetutrechtsarchief.nl/collectie/D12D73728F0853CC9FF3977D8BFC902B","Lustrum-nummer ter gelegenheid van het 75-jarig bestaan van het Utrechtsch Studenten Weekblad Vox Studiosorum 1-39 ill 1939")</f>
        <v>0</v>
      </c>
      <c r="D6846" s="1">
        <f>hyperlink("http://resolver.kb.nl/resolve?urn=MMKB02:100005530:00001","1844 4 november 1919 gedenkschrift bij het 75-jarig bestaan der Inrichting van Diakonessen in Nederland gevestigd te Utrecht H H Barger 1919")</f>
        <v>0</v>
      </c>
    </row>
    <row r="6847" spans="2:4">
      <c r="B6847">
        <v>52</v>
      </c>
      <c r="C6847" s="1">
        <f>hyperlink("https://hetutrechtsarchief.nl/collectie/2A6AFEC6D992554089F702F7DF6EF35A","Belooningen toegekend aan Nederlandsche schrijvers bij den aanvang der 17e eeuw - Lauts 190-206 1860")</f>
        <v>0</v>
      </c>
      <c r="D6847" s="1">
        <f>hyperlink("http://resources.huygens.knaw.nl/retroboeken/bvgo/#page=135&amp;accessor=toc&amp;source=02_05&amp;view=imagePane&amp;size=1062","Bericht van de Koningin van Boheme aan de Staten-Generaal aangaande het overlijden van haar gemaal W G Brill 128-132 1868")</f>
        <v>0</v>
      </c>
    </row>
    <row r="6848" spans="2:4">
      <c r="B6848">
        <v>54</v>
      </c>
      <c r="C6848" s="1">
        <f>hyperlink("https://hetutrechtsarchief.nl/collectie/516F05F6B7C951A5B3CC53AC89245824","Regesten voor een oorkondenboek van het Sticht Utrecht S Muller Fz 1-22 3a 1887")</f>
        <v>0</v>
      </c>
      <c r="D6848" s="1">
        <f>hyperlink("http://resources.huygens.knaw.nl/retroboeken/osu/#page=0&amp;accessor=toc&amp;view=homePane","Oorkondenboek van het Sticht Utrecht tot 1301 G J ter Muller S Bouman A C Heeringa K Ketner F Kuile 1920-1959")</f>
        <v>0</v>
      </c>
    </row>
    <row r="6849" spans="2:4">
      <c r="B6849">
        <v>60</v>
      </c>
      <c r="C6849" s="1">
        <f>hyperlink("https://hetutrechtsarchief.nl/collectie/431CA2EBD6D75A88B014C1981BF6264F","De heks van den Monnikendam te Amersfoort J Rasch 47 1931")</f>
        <v>0</v>
      </c>
      <c r="D6849" s="1">
        <f>hyperlink("http://resources21.kb.nl/gvn/EVDO02/pdf/EVDO02_NIOD05_8557.pdf","Gevangenis en concentratiekamp C Amersfoort F J Krop 1945")</f>
        <v>0</v>
      </c>
    </row>
    <row r="6850" spans="2:4">
      <c r="B6850">
        <v>56</v>
      </c>
      <c r="C6850" s="1">
        <f>hyperlink("https://hetutrechtsarchief.nl/collectie/BDED22696E7358C09A138F988D2B4F50","Een afgedwaalde en weinig-bekende gevelsteen - v C 93-94 1941")</f>
        <v>0</v>
      </c>
      <c r="D6850" s="1">
        <f>hyperlink("http://resources21.kb.nl/gvn/EVDO03/pdf/EVDO03_UBL01_DEJONG_883.pdf","Van de heksenwaag te Oudewater en andere te weinig bekende zaken Casimir K Visser 1941")</f>
        <v>0</v>
      </c>
    </row>
    <row r="6851" spans="2:4">
      <c r="B6851">
        <v>54</v>
      </c>
      <c r="C6851" s="1">
        <f>hyperlink("https://hetutrechtsarchief.nl/collectie/8EB7E0DDFD205452ACFB2D3490131AC2","De toegangspoort van de H Hart ULO school Ton Hartman 35-36 2012")</f>
        <v>0</v>
      </c>
      <c r="D6851" s="1">
        <f>hyperlink("http://tijdschrifteneemland.courant.nu/issue/HKL/1985-08-24/edition/0/page/3?query=","De Moespot was eens de dorpsschool J M Schouten 3-5 nr 2 p 12-13 1985")</f>
        <v>0</v>
      </c>
    </row>
    <row r="6852" spans="2:4">
      <c r="B6852">
        <v>57</v>
      </c>
      <c r="C6852" s="1">
        <f>hyperlink("https://hetutrechtsarchief.nl/collectie/7C8F1BE490575839B9CBAABB46FA083D","Op zoek naar de herkomst van een voornaam Pim Slop 88-90 2001")</f>
        <v>0</v>
      </c>
      <c r="D6852" s="1">
        <f>hyperlink("http://tijdschrifteneemland.courant.nu/issue/HKL/1985-12-21/edition/0/page/2?query=","Onderzoek naar de herkomst van de naam Smoussesteeg A J van Tijmensen R Polak R Kooy 9-12 1985")</f>
        <v>0</v>
      </c>
    </row>
    <row r="6853" spans="2:4">
      <c r="B6853">
        <v>52</v>
      </c>
      <c r="C6853" s="1">
        <f>hyperlink("https://hetutrechtsarchief.nl/collectie/439A1146F2EE5EA1AD5F3B7DF486A53C","Vierhonderd jaar St Aegten schutters- of Groot Gaesbeker Gilde van Soest I en II E Heupers 46-53 74-76 ill 1960")</f>
        <v>0</v>
      </c>
      <c r="D6853" s="1">
        <f>hyperlink("http://tijdschrifteneemland.courant.nu/issue/HKL/1985-12-21/edition/0/page/5?query=","1886 Honderd jaar Wetboek van Strafrecht 1986 misdaad groot en klein in Leusden en Stoutenberg J M Schouten 14-17 1985")</f>
        <v>0</v>
      </c>
    </row>
    <row r="6854" spans="2:4">
      <c r="B6854">
        <v>54</v>
      </c>
      <c r="C6854" s="1">
        <f>hyperlink("https://hetutrechtsarchief.nl/collectie/6C42248A4C2B5EBF9C88A3CA4DE6D1C7","Ondergronds verleden 6 Theo Bransen 25 2009")</f>
        <v>0</v>
      </c>
      <c r="D6854" s="1">
        <f>hyperlink("http://tijdschrifteneemland.courant.nu/issue/HKL/1986-03-24/edition/0/page/4?query=","Oude landbouwgronden onder Leusden C J Schothorst 22-26 1986")</f>
        <v>0</v>
      </c>
    </row>
    <row r="6855" spans="2:4">
      <c r="B6855">
        <v>58</v>
      </c>
      <c r="C6855" s="1">
        <f>hyperlink("https://hetutrechtsarchief.nl/collectie/93C28206B4ACBE8AE0534701000A681E","Vaderlandse geschiedenis 30 Door Jan Schutte 42-43 2019")</f>
        <v>0</v>
      </c>
      <c r="D6855" s="1">
        <f>hyperlink("http://tijdschrifteneemland.courant.nu/issue/HKL/1986-05-31/edition/0/page/5?query=","Dodenboek geeft familiegeschiedenis J M Schouten 41-47 1986")</f>
        <v>0</v>
      </c>
    </row>
    <row r="6856" spans="2:4">
      <c r="B6856">
        <v>58</v>
      </c>
      <c r="C6856" s="1">
        <f>hyperlink("https://hetutrechtsarchief.nl/collectie/60DEC4AE84B45897BE396EF62075E9C6","Een kerkprocessie te Amersfoort in 1691 - H W 63 1936")</f>
        <v>0</v>
      </c>
      <c r="D6856" s="1">
        <f>hyperlink("http://tijdschrifteneemland.courant.nu/issue/HKL/1986-09-15/edition/0/page/4?query=","De grens tussen Leusden en Amersfoort sinds 1824 R Polak 53-65 1986")</f>
        <v>0</v>
      </c>
    </row>
    <row r="6857" spans="2:4">
      <c r="B6857">
        <v>56</v>
      </c>
      <c r="C6857" s="1">
        <f>hyperlink("https://hetutrechtsarchief.nl/collectie/E38939CCA5D45F549B632146E6409060","Iets over oude kaarten M Raven 6-7 1955")</f>
        <v>0</v>
      </c>
      <c r="D6857" s="1">
        <f>hyperlink("http://tijdschrifteneemland.courant.nu/issue/HKL/1986-12-31/edition/0/page/3?query=","Fietstocht langs oude hoeven 68-78 1986")</f>
        <v>0</v>
      </c>
    </row>
    <row r="6858" spans="2:4">
      <c r="B6858">
        <v>57</v>
      </c>
      <c r="C6858" s="1">
        <f>hyperlink("https://hetutrechtsarchief.nl/collectie/32DDF010B7AE52B2B5FF41BBA6D702D8","Koukleumen in historische kledij Martin Brink 75-85 2001")</f>
        <v>0</v>
      </c>
      <c r="D6858" s="1">
        <f>hyperlink("http://tijdschrifteneemland.courant.nu/periodicals/HKL","Leusden toen Historische Kring Leusden 1999-")</f>
        <v>0</v>
      </c>
    </row>
    <row r="6859" spans="2:4">
      <c r="B6859">
        <v>56</v>
      </c>
      <c r="C6859" s="1">
        <f>hyperlink("https://hetutrechtsarchief.nl/collectie/26FA2660CBAA5104B4A0BD229E6D953E","Oprichting en hoogtepunten van de eerste jaren van de Historische Kring Arie de Zwart 75-77 2012")</f>
        <v>0</v>
      </c>
      <c r="D6859" s="1">
        <f>hyperlink("http://tijdschrifteneemland.courant.nu/periodicals/HKL","Historische Kring Leusden verenigingsorgaan van de Historische Kring Leusden Historische Kring Leusden 1985-1999")</f>
        <v>0</v>
      </c>
    </row>
    <row r="6860" spans="2:4">
      <c r="B6860">
        <v>90</v>
      </c>
      <c r="C6860" s="1">
        <f>hyperlink("https://hetutrechtsarchief.nl/collectie/04B07D9EEF175E95920FDE28B8CE46CC","Op de huid van Nanette Ris Utrecht weet geen taal te vinden om haar te beschrijven tekst Mart Rienstra fotogr Hans Kokx 22-23 2013")</f>
        <v>0</v>
      </c>
      <c r="D6860" s="1">
        <f>hyperlink("http://utrechtbusiness.mvmm.nl/images/pdf/109.pdf","Op de huid van Nanette Ris Utrecht weet geen taal te vinden om haar te beschrijven Mart Rienstra 22-23 2013")</f>
        <v>0</v>
      </c>
    </row>
    <row r="6861" spans="2:4">
      <c r="B6861">
        <v>97</v>
      </c>
      <c r="C6861" s="1">
        <f>hyperlink("https://hetutrechtsarchief.nl/collectie/FF913C5964AA5612B8E1658AAEAEDABA","Door ondernemers voor ondernemers ondernemersfonds Utrecht versterkt stedelijke economie tekst Hans Haj e 36-38 2013")</f>
        <v>0</v>
      </c>
      <c r="D6861" s="1">
        <f>hyperlink("http://utrechtbusiness.mvmm.nl/images/pdf/112.pdf","Door ondernemers voor ondernemers ondernemersfonds Utrecht versterkt stedelijke economie Hans Haj e 36-38 2013")</f>
        <v>0</v>
      </c>
    </row>
    <row r="6862" spans="2:4">
      <c r="B6862">
        <v>87</v>
      </c>
      <c r="C6862" s="1">
        <f>hyperlink("https://hetutrechtsarchief.nl/collectie/486664F4A56754DDAB4CF6610532BBF8","Amberes een belle cuisine zonder fraaie fa ade tekst Jason van de Veltmaete fotogr Hans Kokx 56-57 2013")</f>
        <v>0</v>
      </c>
      <c r="D6862" s="1">
        <f>hyperlink("http://utrechtbusiness.mvmm.nl/images/pdf/121.pdf","Amberes een belle cuisine zonder fraaie fa ade Jason van de Veltmaete 56-57 2013")</f>
        <v>0</v>
      </c>
    </row>
    <row r="6863" spans="2:4">
      <c r="B6863">
        <v>52</v>
      </c>
      <c r="C6863" s="1">
        <f>hyperlink("https://hetutrechtsarchief.nl/collectie/5B7428054EB858D1A56C5FC26A46BE13","Woningen en namen in Veenendaal een onderzoek verricht door leerlingen van het Christelijk Lyceum te Veenendaal Andr van Dijk bew door Henk van t Veld 86-91 2007")</f>
        <v>0</v>
      </c>
      <c r="D6863" s="1">
        <f>hyperlink("http://vogelwacht-utrecht.nl/wp-content/uploads/2013/02/rapport-broedvogels-Gagelpolder-2007-versie-VWU2.pdf","Broedvogels van de Gagelpolder in 2007 resultaten van een uitgebreide territoriumkartering en een vergelijking met eerdere inventarisaties Eric van der Heunks Eckhart Velden 2008")</f>
        <v>0</v>
      </c>
    </row>
    <row r="6864" spans="2:4">
      <c r="B6864">
        <v>54</v>
      </c>
      <c r="C6864" s="1">
        <f>hyperlink("https://hetutrechtsarchief.nl/collectie/CA8F77AE55F85D1A99E7DAE8C1C29624","Huur tot den eersten brande toe te Amersfoort W van Iterson 101-121 1951")</f>
        <v>0</v>
      </c>
      <c r="D6864" s="1">
        <f>hyperlink("http://vogelwacht-utrecht.nl/wp-content/uploads/2016/11/Broedvogelinventarisatie-2007-Landgoed-Coelhorst.pdf","Broedvogelinventarisatie 2007 van het landgoed Coelhorst te Amersfoort Andre van Keken 2009")</f>
        <v>0</v>
      </c>
    </row>
    <row r="6865" spans="2:4">
      <c r="B6865">
        <v>52</v>
      </c>
      <c r="C6865" s="1">
        <f>hyperlink("https://hetutrechtsarchief.nl/collectie/A40B75F9808156339B19D10AF91134FE","Eikenstein een onbekend buiten en toch trendsetter R P M Rhoen 3-10 2008")</f>
        <v>0</v>
      </c>
      <c r="D6865" s="1">
        <f>hyperlink("http://webcache.googleusercontent.com/search?q=cache:AnoaCWFhmtAJ:imdbv.nl/media/a76640e6-8072-404a-be83-0a43e2417fcc/-380360649/Publicaties/2008/Cement%25202008-3%2520Rijnsweerd.pdf+&amp;cd=1&amp;hl=nl&amp;ct=clnk&amp;gl=nl","Kantoorgebouw Rijnsweerd uitgekiend ontwerp in beton P Peters P Korthaggen 62-65 2008")</f>
        <v>0</v>
      </c>
    </row>
    <row r="6866" spans="2:4">
      <c r="B6866">
        <v>99</v>
      </c>
      <c r="C6866" s="1">
        <f>hyperlink("https://hetutrechtsarchief.nl/collectie/AD57F1B2868D5EC6A8F44947AF201232","De Uithof v r De Uithof Hans Renes 35-39 2011")</f>
        <v>0</v>
      </c>
      <c r="D6866" s="1">
        <f>hyperlink("http://www.academia.edu/2777800/De_Uithof_voor_De_Uithof","De Uithof v or De Uithof Hans Renes 35-39 2011")</f>
        <v>0</v>
      </c>
    </row>
    <row r="6867" spans="2:4">
      <c r="B6867">
        <v>89</v>
      </c>
      <c r="C6867" s="1">
        <f>hyperlink("https://hetutrechtsarchief.nl/collectie/F6F78A7BD37E516CB862B64210C65410","De muurschilderingen in de Buurkerk H L M Defoer en E J Tjebbes 184-205 1982")</f>
        <v>0</v>
      </c>
      <c r="D6867" s="1">
        <f>hyperlink("http://www.academia.edu/316879/De_muurschilderingen_in_de_Buurkerk","De muurschilderingen in de Buurkerk E J Defoer H L M Tjebbes 184-203 1986")</f>
        <v>0</v>
      </c>
    </row>
    <row r="6868" spans="2:4">
      <c r="B6868">
        <v>54</v>
      </c>
      <c r="C6868" s="1">
        <f>hyperlink("https://hetutrechtsarchief.nl/collectie/57D901788C125FC4887B6B361F0A9960","Bouvy en Leeuwenberg telkens in de clinch over de middeleeuwse beeldhouwkunst H L M Defoer 9-12 2004")</f>
        <v>0</v>
      </c>
      <c r="D6868" s="1">
        <f>hyperlink("http://www.academia.edu/316907/De_zogenaamde_albe_van_Bernulphus_een_onderdeel_van_een_keizerlijk_ornaat","De zogenaamde albe van Bernulphus een onderdeel van een keizerlijk ornaat H L M Defoer 111-124 2004")</f>
        <v>0</v>
      </c>
    </row>
    <row r="6869" spans="2:4">
      <c r="B6869">
        <v>64</v>
      </c>
      <c r="C6869" s="1">
        <f>hyperlink("https://hetutrechtsarchief.nl/collectie/66EE72E9C63456A5B0AFC6B859FCBD10","De oorlogsmonumenten in Den Dolder R P M Rhoen 2-14 2005")</f>
        <v>0</v>
      </c>
      <c r="D6869" s="1">
        <f>hyperlink("http://www.academia.edu/316912/De_kroonluchters_van_de_Dom","De kroonluchters van de Dom Henri L M Defoer 8-14 2005")</f>
        <v>0</v>
      </c>
    </row>
    <row r="6870" spans="2:4">
      <c r="B6870">
        <v>100</v>
      </c>
      <c r="C6870" s="1">
        <f>hyperlink("https://hetutrechtsarchief.nl/collectie/C61ED6DFFFC75461B083FC4EAD1EBA68","De in beton gegoten onwrikbaarheid van Hoog Catharijne burgers bestuurders en een projectontwikkelaar in Utrecht 1962-1973 Tim Verlaan 183 -205 2012")</f>
        <v>0</v>
      </c>
      <c r="D6870" s="1">
        <f>hyperlink("http://www.academia.edu/3276818/De_in_beton_gegoten_onwrikbaarheid_van_Hoog_Catharijne._Burgers_bestuurders_en_een_projectontwikkelaar_in_Utrecht_1962-1973_Stadsgeschiedenis_7_2012_","De in beton gegoten onwrikbaarheid van Hoog Catharijne burgers bestuurders en een projectontwikkelaar in Utrecht 1962-1973 Tim Verlaan 183 -205 2012")</f>
        <v>0</v>
      </c>
    </row>
    <row r="6871" spans="2:4">
      <c r="B6871">
        <v>100</v>
      </c>
      <c r="C6871" s="1">
        <f>hyperlink("https://hetutrechtsarchief.nl/collectie/AC0B877DDAC75C9A858EC7579B2B3232","Het vertrek van de veertiende-eeuwse pottenbakkers uit de Bemuurde Weerd verplicht of vrijwillig een herinterpretatie van de historische en archeologische gegevens Roos van Oosten 133 -150 2012")</f>
        <v>0</v>
      </c>
      <c r="D6871" s="1">
        <f>hyperlink("http://www.academia.edu/3641223/Het_vertrek_van_de_veertiende-eeuwse_pottenbakkers_uit_de_Bemuurde_Weerd_verplicht_of_vrijwillig_Een_herinterpretatie_van_de_historische_en_archeologische_gegevens","Het vertrek van de veertiende-eeuwse pottenbakkers uit de Bemuurde Weerd verplicht of vrijwillig een herinterpretatie van de historische en archeologische gegevens Roos van Oosten 133 -150 2012")</f>
        <v>0</v>
      </c>
    </row>
    <row r="6872" spans="2:4">
      <c r="B6872">
        <v>80</v>
      </c>
      <c r="C6872" s="1">
        <f>hyperlink("https://hetutrechtsarchief.nl/collectie/4EEFE4B9E9115BC9A10576ACED4D81F5","Van stadsuniversiteit tot cole secondaire Martijn van der Burg 91-96 2006")</f>
        <v>0</v>
      </c>
      <c r="D6872" s="1">
        <f>hyperlink("http://www.academia.edu/3814550/Van_stadsuniversiteit_tot_ecole_secondaire._De_Utrechtse_Academie_onder_Napoleon","Van stadsuniversiteit tot cole secondaire de Utrechtse Academie onder Napoleon Martijn van der Burg 91-96 2006")</f>
        <v>0</v>
      </c>
    </row>
    <row r="6873" spans="2:4">
      <c r="B6873">
        <v>56</v>
      </c>
      <c r="C6873" s="1">
        <f>hyperlink("https://hetutrechtsarchief.nl/collectie/B2A5F02957DED3D0E0534701000A9B57","Altijd beter willen worden tachtig jaar Van Benthem Keulen Hans Haj e 6-9 2020")</f>
        <v>0</v>
      </c>
      <c r="D6873" s="1">
        <f>hyperlink("http://www.academia.edu/4101021/J._van_Doesburg_2012_Ambitie_in_baksteen._Over_de_achtergronden_van_het_Langbroeker_kastelenlandschap","Ambitie in baksteen over de achtergronden van het Langbroeker kastelenlandschap J Doesburg 75-91 2012")</f>
        <v>0</v>
      </c>
    </row>
    <row r="6874" spans="2:4">
      <c r="B6874">
        <v>100</v>
      </c>
      <c r="C6874" s="1">
        <f>hyperlink("https://hetutrechtsarchief.nl/collectie/D79747D799D95378B5892D64D32CE7EB","Varkens van de werf stadsreiniging in laatmiddeleeuws Utrecht Janna Coomans 60-66 2012")</f>
        <v>0</v>
      </c>
      <c r="D6874" s="1">
        <f>hyperlink("http://www.academia.edu/4386266/_Varkens_van_de_werf_Stadsreiniging_in_laatmiddeleeuws_Utrecht_Tijdschrift_Oud_Utrecht_85_2012_pp._60-_66","Varkens van de werf stadsreiniging in laatmiddeleeuws Utrecht Janna Coomans 60-66 2012")</f>
        <v>0</v>
      </c>
    </row>
    <row r="6875" spans="2:4">
      <c r="B6875">
        <v>53</v>
      </c>
      <c r="C6875" s="1">
        <f>hyperlink("https://hetutrechtsarchief.nl/collectie/7F331EFABEA656198B97C50C2F190AB8","Inventaris van de archieven der notarissen die voor 1811 geresideerd hebben in de provincie Utrecht S Muller Fz 258-275 1907")</f>
        <v>0</v>
      </c>
      <c r="D6875" s="1">
        <f>hyperlink("http://www.alleato.nl/upload/documenten/08734a.onderszoeksrapport_quick_scan-2.pdf","Quick scan onderzoek allochtone ouderen en allochtone ouders met een kind met een verstandel ke beperking in de provincie Utrecht Alleato 2008")</f>
        <v>0</v>
      </c>
    </row>
    <row r="6876" spans="2:4">
      <c r="B6876">
        <v>55</v>
      </c>
      <c r="C6876" s="1">
        <f>hyperlink("https://hetutrechtsarchief.nl/collectie/7730858E342F5204982391A2475CE96D","Utrecht en het gevaar van de Lek Ton Burgers 60-66 2015")</f>
        <v>0</v>
      </c>
      <c r="D6876" s="1">
        <f>hyperlink("http://www.alleato.nl/upload/documenten/Utrecht_en_de_WMO.pdf","Utrecht en het WMO handreiking good practices Alleato 2008")</f>
        <v>0</v>
      </c>
    </row>
    <row r="6877" spans="2:4">
      <c r="B6877">
        <v>64</v>
      </c>
      <c r="C6877" s="1">
        <f>hyperlink("https://hetutrechtsarchief.nl/collectie/75C2D3AF80745039A107DB09ACD56322","De kleding van het Soester Gilde door de eeuwen heen Ren van Hal 32-39 2017")</f>
        <v>0</v>
      </c>
      <c r="D6877" s="1">
        <f>hyperlink("http://www.altrecht550.nl/Altrecht550/550_externebestanden/M_Staal_De_wereld_draait_door.pdf","De wereld draait door gekte door de eeuwen heen Marjon Staal 2010")</f>
        <v>0</v>
      </c>
    </row>
    <row r="6878" spans="2:4">
      <c r="B6878">
        <v>53</v>
      </c>
      <c r="C6878" s="1">
        <f>hyperlink("https://hetutrechtsarchief.nl/collectie/7DDE22E553825D8BA2A5BB6102883156","Wakkerendijk 36 een onderzoek naar de woning eigenaars en bewoners Evert van Andel 116-124 2005")</f>
        <v>0</v>
      </c>
      <c r="D6878" s="1">
        <f>hyperlink("http://www.amersfoort.nl/docs/internet/_over_amersfoort/_stadsarcheologie/AOO-8%20Walikerstraat%2014-16.pdf","Walikerstraat 14 en 16 onderzoek naar de aanwezigheid van archeologische resten op een perceel aan de Walikerstraat Maarten van Dijk 2008")</f>
        <v>0</v>
      </c>
    </row>
    <row r="6879" spans="2:4">
      <c r="B6879">
        <v>51</v>
      </c>
      <c r="C6879" s="1">
        <f>hyperlink("https://hetutrechtsarchief.nl/collectie/164144AF75A1591BA9B17DC1CC520D40","Ruimte voor de Lek n voor archeologie Archeologisch onderzoek naar steenovens Het Oude Werk en Het Heiwerk Rogier de Groot 40-43 2016")</f>
        <v>0</v>
      </c>
      <c r="D6879" s="1">
        <f>hyperlink("http://www.amersfoort.nl/docs/internet/_over_amersfoort/_stadsarcheologie/AOO%201%20-%20Meursing.pdf","Tussen spoor en Smallepad archeologisch onderzoek op het voormalige Meursingterrein en de toekomstig R A C M-locatie te Amersfoort Archeologisch Centrum Gemeente Amersfoort 2006")</f>
        <v>0</v>
      </c>
    </row>
    <row r="6880" spans="2:4">
      <c r="B6880">
        <v>52</v>
      </c>
      <c r="C6880" s="1">
        <f>hyperlink("https://hetutrechtsarchief.nl/collectie/164144AF75A1591BA9B17DC1CC520D40","Ruimte voor de Lek n voor archeologie Archeologisch onderzoek naar steenovens Het Oude Werk en Het Heiwerk Rogier de Groot 40-43 2016")</f>
        <v>0</v>
      </c>
      <c r="D6880" s="1">
        <f>hyperlink("http://www.amersfoort.nl/docs/internet/_over_amersfoort/_stadsarcheologie/AOO10%20-%20Stadhuisplein.pdf","Voor de deur van het stadhuis archeologisch onderzoek bij de bomengroep op het Stadhuisplein tekst R A Hulst en T d Hollosy red T d Hollosy T d Hulst R A Hollosy 2008")</f>
        <v>0</v>
      </c>
    </row>
    <row r="6881" spans="2:4">
      <c r="B6881">
        <v>50</v>
      </c>
      <c r="C6881" s="1">
        <f>hyperlink("https://hetutrechtsarchief.nl/collectie/67284F38D5D952A08C74115CE8D46514","Hoogland en Amersfoort een nieuwe tijd nieuwe verhoudingen de invloed van bestuur en burgers van Amersfoort op Hoogland 1800-1974 Ria Hilhorst 62-72 2009")</f>
        <v>0</v>
      </c>
      <c r="D6881" s="1">
        <f>hyperlink("http://www.amersfoort.nl/docs/internet/_over_amersfoort/_stadsarcheologie/AOO13%20-%20Persleiding.pdf","Persleiding Bunschoten - Amersfoort archeologisch sic begeleiding van de aanleg van een persleiding tussen Bunschoten en Amersfoort T d Ouden Natasja den Hollosy 2008")</f>
        <v>0</v>
      </c>
    </row>
    <row r="6882" spans="2:4">
      <c r="B6882">
        <v>50</v>
      </c>
      <c r="C6882" s="1">
        <f>hyperlink("https://hetutrechtsarchief.nl/collectie/A740BA193DD457869EA089B1DD3EFF75","Opnieuw graven naar Wijks verleden archeologisch onderzoek op het terrein van de voormalige fruitveiling te Wijk bij Duurstede Jan van Doesburg 27-28 2007")</f>
        <v>0</v>
      </c>
      <c r="D6882" s="1">
        <f>hyperlink("http://www.amersfoort.nl/docs/internet/_over_amersfoort/_stadsarcheologie/AOO19%20-%20Leusderweg.pdf","Bij de molens aan de Leusderweg archeologisch onderzoek op drie locaties langs de oude weg naar Leusden tekst M H A van Dijk en M L Verhamme met bijdr van T d Hollosy T d Dijk M H A van Verhamme M L Hollosy 2009")</f>
        <v>0</v>
      </c>
    </row>
    <row r="6883" spans="2:4">
      <c r="B6883">
        <v>52</v>
      </c>
      <c r="C6883" s="1">
        <f>hyperlink("https://hetutrechtsarchief.nl/collectie/164144AF75A1591BA9B17DC1CC520D40","Ruimte voor de Lek n voor archeologie Archeologisch onderzoek naar steenovens Het Oude Werk en Het Heiwerk Rogier de Groot 40-43 2016")</f>
        <v>0</v>
      </c>
      <c r="D6883" s="1">
        <f>hyperlink("http://www.amersfoort.nl/docs/internet/_over_amersfoort/_stadsarcheologie/AOO2-RustigWater.pdf","Bloemendalsebuitenpoort langs rustig water archeologisch onderzoek naar de verloren gewaande Portugees-joodse begraafplaats aan de Bloemendalsestraat Archeologisch Centrum Gemeente Amersfoort 2006")</f>
        <v>0</v>
      </c>
    </row>
    <row r="6884" spans="2:4">
      <c r="B6884">
        <v>54</v>
      </c>
      <c r="C6884" s="1">
        <f>hyperlink("https://hetutrechtsarchief.nl/collectie/A740BA193DD457869EA089B1DD3EFF75","Opnieuw graven naar Wijks verleden archeologisch onderzoek op het terrein van de voormalige fruitveiling te Wijk bij Duurstede Jan van Doesburg 27-28 2007")</f>
        <v>0</v>
      </c>
      <c r="D6884" s="1">
        <f>hyperlink("http://www.amersfoort.nl/docs/internet/_over_amersfoort/_stadsarcheologie/AOO3%20-%20AS%2010.pdf","Achter Schep Amersfoortsestraat 10 archeologisch onderzoek op een dekzandrug vol prehistorische resten Timo d Dijk Maarten van Hollosy 2007")</f>
        <v>0</v>
      </c>
    </row>
    <row r="6885" spans="2:4">
      <c r="B6885">
        <v>60</v>
      </c>
      <c r="C6885" s="1">
        <f>hyperlink("https://hetutrechtsarchief.nl/collectie/A740BA193DD457869EA089B1DD3EFF75","Opnieuw graven naar Wijks verleden archeologisch onderzoek op het terrein van de voormalige fruitveiling te Wijk bij Duurstede Jan van Doesburg 27-28 2007")</f>
        <v>0</v>
      </c>
      <c r="D6885" s="1">
        <f>hyperlink("http://www.amersfoort.nl/docs/internet/_over_amersfoort/_stadsarcheologie/AOO4-ADK%2032.pdf","Achter de Kamp 32 archeologisch onderzoek op een klein terrein aan de voormalige Beestenmarkt L F de Dijk M H A van Hollosy T d Leeuw 2007")</f>
        <v>0</v>
      </c>
    </row>
    <row r="6886" spans="2:4">
      <c r="B6886">
        <v>52</v>
      </c>
      <c r="C6886" s="1">
        <f>hyperlink("https://hetutrechtsarchief.nl/collectie/164144AF75A1591BA9B17DC1CC520D40","Ruimte voor de Lek n voor archeologie Archeologisch onderzoek naar steenovens Het Oude Werk en Het Heiwerk Rogier de Groot 40-43 2016")</f>
        <v>0</v>
      </c>
      <c r="D6886" s="1">
        <f>hyperlink("http://www.amersfoort.nl/docs/internet/_over_amersfoort/_stadsarcheologie/AOO7-LVK2a.pdf","Onder de vloer van caf Marktzicht archeologisch noodonderzoek in de kelder van het pand Lieve Vrouwekerkhof 2a F M E Dijk M H A van Hollosy Timp d Snieder 2008")</f>
        <v>0</v>
      </c>
    </row>
    <row r="6887" spans="2:4">
      <c r="B6887">
        <v>52</v>
      </c>
      <c r="C6887" s="1">
        <f>hyperlink("https://hetutrechtsarchief.nl/collectie/F64A13F269275E9CA8BB8472FCBB6B82","De Rooster onderzoek naar de geschiedenis van perceel bebouwing eigendom en bewoning van Oudegracht 279 tekst Frederike I Kappers 3-47 2012")</f>
        <v>0</v>
      </c>
      <c r="D6887" s="1">
        <f>hyperlink("http://www.amersfoort.nl/docs/internet/_over_amersfoort/_stadsarcheologie/AOO9%20-%20Heideweg%2085.pdf","Heideweg 85 inventariserend veldonderzoek naar de aanwezigheid van archeologische resten op het erf van boerderij Vathorst M L Verhamme 2008")</f>
        <v>0</v>
      </c>
    </row>
    <row r="6888" spans="2:4">
      <c r="B6888">
        <v>55</v>
      </c>
      <c r="C6888" s="1">
        <f>hyperlink("https://hetutrechtsarchief.nl/collectie/B96757EFA69A9E49E0534701000AB2E5","Familiebedrijf Nefkens 120 jaar ondernemen in Amersfoort Peter Baas 18-20 2020")</f>
        <v>0</v>
      </c>
      <c r="D6888" s="1">
        <f>hyperlink("http://www.amersfoort.nl/docs/Nieuwe_structuur/_wonen_wijken/_parken_groen/boekje_bomenwandeling.pdf","Bomenwandeling langs de meest bijzondere bomen van de binnenstad van Amersfoort Peter Blaauw 2009")</f>
        <v>0</v>
      </c>
    </row>
    <row r="6889" spans="2:4">
      <c r="B6889">
        <v>57</v>
      </c>
      <c r="C6889" s="1">
        <f>hyperlink("https://hetutrechtsarchief.nl/collectie/769C3D354C3A58079B463F1A2A81C449","Bob Dogger stadsarchitect van Amersfoort 1971-1992 Anton Groot Max Cramer 12-13 2015")</f>
        <v>0</v>
      </c>
      <c r="D6889" s="1">
        <f>hyperlink("http://www.amersfoort.nl/Redacteuren/documenten/bestuur_organisatie/gemeenteraad/Boekje%20Stadsarchitect.pdf","ABC van de stadsarchitect van Amersfoort agenda beleid communicatie N de Vreeze 2008")</f>
        <v>0</v>
      </c>
    </row>
    <row r="6890" spans="2:4">
      <c r="B6890">
        <v>53</v>
      </c>
      <c r="C6890" s="1">
        <f>hyperlink("https://hetutrechtsarchief.nl/collectie/A07EC8B4A5A46FC6E0534701000AF49D","Een stille revolutie hoe het archeologisch onderzoek in IJsselstein na 1992 is veranderd Theo van der Tier 4-15 2020")</f>
        <v>0</v>
      </c>
      <c r="D6890" s="1">
        <f>hyperlink("http://www.amersfoortopdekaart.nl/files/Amersfoort/archeologie/AP08_-_AOO26.pdf","Appelmarkt archeologisch onderzoek op een plein in de binnenstad voorafgaand aan de plaatsing van ondergrondse afvalcontainers M K Wijker 2011")</f>
        <v>0</v>
      </c>
    </row>
    <row r="6891" spans="2:4">
      <c r="B6891">
        <v>53</v>
      </c>
      <c r="C6891" s="1">
        <f>hyperlink("https://hetutrechtsarchief.nl/collectie/58CE874657DA591FB62EBCA0C751291F","Katholicisme en antisemitisme onder red van Theo Salemink en Jan De Maeyer met bijdr van Theo Salemink et al 4-167 2006")</f>
        <v>0</v>
      </c>
      <c r="D6891" s="1">
        <f>hyperlink("http://www.aorta.nu/uploads/bestanden/jaarboek_Architectuurcentrum_Aorta_2006.pdf","Architectuur in en om Utrecht 10 jaar Aorta onder red van Rosalie Kalkoene Janneke van der Poel Janneke van der Kalkoene Rosalie Poel 2007")</f>
        <v>0</v>
      </c>
    </row>
    <row r="6892" spans="2:4">
      <c r="B6892">
        <v>56</v>
      </c>
      <c r="C6892" s="1">
        <f>hyperlink("https://hetutrechtsarchief.nl/collectie/7792CFE66A51595AAE6125F2B534D43E","Utrechtsers in Milaan beurs der beurzen voor de meubelindustrie tekst Anka van Voorthuijsen 50-51 2007")</f>
        <v>0</v>
      </c>
      <c r="D6892" s="1">
        <f>hyperlink("http://www.architecture.castagnols.com/files/architectuur.nl%20pag2.pdf; http://www.architecture.castagnols.com/files/architectuur.nl%20pag3.pdf; http://www.architecture.castagnols.com/files/architectuur.nl%20pag4.pdf","Backoffice SSH Utrecht Van Vulpen Stedebouw Architectuur Utrecht Anke van Voorthuijsen 38-41 2008")</f>
        <v>0</v>
      </c>
    </row>
    <row r="6893" spans="2:4">
      <c r="B6893">
        <v>66</v>
      </c>
      <c r="C6893" s="1">
        <f>hyperlink("https://hetutrechtsarchief.nl/collectie/5B6B9CD4F6AA53079B372E6769B14EF1","Het Utrechts Archief bij je thuis Ben Nijssen 7 2008")</f>
        <v>0</v>
      </c>
      <c r="D6893" s="1">
        <f>hyperlink("http://www.architectuur.nl/1014295/Een-project-uitgebreid/Het-Utrechts-Archief.htm?jumpto=intro&amp;showall=true#intro","Het Utrechts Archief Utrecht 48-53 2008")</f>
        <v>0</v>
      </c>
    </row>
    <row r="6894" spans="2:4">
      <c r="B6894">
        <v>59</v>
      </c>
      <c r="C6894" s="1">
        <f>hyperlink("https://hetutrechtsarchief.nl/collectie/6D75B285433A57EBB86DA7FD9A1E2C99","Wapen en vlag van de provincie Utrecht - den Uyl VIII -13 Mengelwerk ill 1952")</f>
        <v>0</v>
      </c>
      <c r="D6894" s="1">
        <f>hyperlink("http://www.atlas1868.nl/ut/index.html","Gemeente atlas van de provincie Utrecht naar officieele bronnen bewerkt J Kuyper 1986")</f>
        <v>0</v>
      </c>
    </row>
    <row r="6895" spans="2:4">
      <c r="B6895">
        <v>55</v>
      </c>
      <c r="C6895" s="1">
        <f>hyperlink("https://hetutrechtsarchief.nl/collectie/5815C9B4E6AE5ADEA7075BF69C4A0DEB","Het klokje van het Batholome gasthuis Simon den Daas 46-48 2010")</f>
        <v>0</v>
      </c>
      <c r="D6895" s="1">
        <f>hyperlink("http://www.bartholomeusgasthuis.nl/files/bartholomaei_nr1.pdf","Bartholomaei Bartholomeus Gasthuis 2008-")</f>
        <v>0</v>
      </c>
    </row>
    <row r="6896" spans="2:4">
      <c r="B6896">
        <v>100</v>
      </c>
      <c r="C6896" s="1">
        <f>hyperlink("https://hetutrechtsarchief.nl/collectie/74BCA242921A5E3880F0645CB8727C6D","De Polder Dorssewaard te Vreeland Anton Cruysheer 38-52 2007")</f>
        <v>0</v>
      </c>
      <c r="D6896" s="1">
        <f>hyperlink("http://www.bblk.nl/UserFiles/Artikel%20Polder%20Dorssewaard%20te%20Vreeland(1).pdf","De polder Dorssewaard te Vreeland Anton Cruysheer 38-52 2007")</f>
        <v>0</v>
      </c>
    </row>
    <row r="6897" spans="2:4">
      <c r="B6897">
        <v>55</v>
      </c>
      <c r="C6897" s="1">
        <f>hyperlink("https://hetutrechtsarchief.nl/collectie/15AC2B1F22FD524D943386677529EB16","Amsterdammers in het Gooi Henk Schmal 268-275 2011")</f>
        <v>0</v>
      </c>
      <c r="D6897" s="1">
        <f>hyperlink("http://www.belasting-douanemus.nl/download/impost_49.pdf","Muyskens dood Henk Duym 21-23 2011")</f>
        <v>0</v>
      </c>
    </row>
    <row r="6898" spans="2:4">
      <c r="B6898">
        <v>57</v>
      </c>
      <c r="C6898" s="1">
        <f>hyperlink("https://hetutrechtsarchief.nl/collectie/25370D34B640555AA3CA4136D05A5B13","Pleinen straks aantrekkelijker Arend Ode 4-5 2008")</f>
        <v>0</v>
      </c>
      <c r="D6898" s="1">
        <f>hyperlink("http://www.binnenlandsbestuur.nl/bij-een-crisis-ben-je-afhankelijk-van-elkaar.100017.lynkx","Bij een crisis ben je afhankelijk van elkaar Andr de Vos 34-39 2008")</f>
        <v>0</v>
      </c>
    </row>
    <row r="6899" spans="2:4">
      <c r="B6899">
        <v>60</v>
      </c>
      <c r="C6899" s="1">
        <f>hyperlink("https://hetutrechtsarchief.nl/collectie/EF4559939C8D5496A3303836E87DF686","Inventaris van de oude archieven van den burgerlijken stand in Utrecht 734-759 1901")</f>
        <v>0</v>
      </c>
      <c r="D6899" s="1">
        <f>hyperlink("http://www.binnenstadskrant.nl","Binnenstadskrant periodiek voor de bewoners van de binnenstad van Utrecht 1995-")</f>
        <v>0</v>
      </c>
    </row>
    <row r="6900" spans="2:4">
      <c r="B6900">
        <v>89</v>
      </c>
      <c r="C6900" s="1">
        <f>hyperlink("https://hetutrechtsarchief.nl/collectie/7F3454C7D12C50C484B18A0021C15E11","Nieuwe plannen Stationsgebied 1 2002")</f>
        <v>0</v>
      </c>
      <c r="D6900" s="1">
        <f>hyperlink("http://www.binnenstadskrant.nl/","Plannen Stationsgebied 1 2002")</f>
        <v>0</v>
      </c>
    </row>
    <row r="6901" spans="2:4">
      <c r="B6901">
        <v>93</v>
      </c>
      <c r="C6901" s="1">
        <f>hyperlink("https://hetutrechtsarchief.nl/collectie/C8827AA28E565BB295FFA51BC2287F8E","Verkoop huurwoningen in binnenstad Ben Nijssen en Ted Zorn 6 2001")</f>
        <v>0</v>
      </c>
      <c r="D6901" s="1">
        <f>hyperlink("http://www.binnenstadskrant.nl/","Verkoop huurwoningen in binnenstad Ted Nijssen Ben Zorn 6 2001")</f>
        <v>0</v>
      </c>
    </row>
    <row r="6902" spans="2:4">
      <c r="B6902">
        <v>100</v>
      </c>
      <c r="C6902" s="1">
        <f>hyperlink("https://hetutrechtsarchief.nl/collectie/E197D8A6245252F18ED26D6BED6CB8B5","Leefbaarheid centrum laat geen versoepeling terrassenbeleid toe Bewonersplatform Centrale Oude Binnenstad 4 2001")</f>
        <v>0</v>
      </c>
      <c r="D6902" s="1">
        <f>hyperlink("http://www.binnenstadskrant.nl/","Leefbaarheid centrum laat geen versoepeling terrassenbeleid toe Bewonersplatform Centrale Oude Binnenstad 4 2001")</f>
        <v>0</v>
      </c>
    </row>
    <row r="6903" spans="2:4">
      <c r="B6903">
        <v>100</v>
      </c>
      <c r="C6903" s="1">
        <f>hyperlink("https://hetutrechtsarchief.nl/collectie/C8ED9EB75BF850AD9BE89E13315D7393","Een dorp midden in de stad Twijnstraatoverleg Marjon Gaasbeek 8 2001")</f>
        <v>0</v>
      </c>
      <c r="D6903" s="1">
        <f>hyperlink("http://www.binnenstadskrant.nl/","Een dorp midden in de stad Twijnstraatoverleg Marjon Gaasbeek 8 2001")</f>
        <v>0</v>
      </c>
    </row>
    <row r="6904" spans="2:4">
      <c r="B6904">
        <v>100</v>
      </c>
      <c r="C6904" s="1">
        <f>hyperlink("https://hetutrechtsarchief.nl/collectie/E95A954D00B95C32ACDA4F6A69A36A6F","Puntenburg binnenstadschool met speciaal klimaat Marjan Heisterkamp 6 2001")</f>
        <v>0</v>
      </c>
      <c r="D6904" s="1">
        <f>hyperlink("http://www.binnenstadskrant.nl/","Puntenburg binnenstadschool met speciaal klimaat Marjan Heisterkamp 6 2001")</f>
        <v>0</v>
      </c>
    </row>
    <row r="6905" spans="2:4">
      <c r="B6905">
        <v>100</v>
      </c>
      <c r="C6905" s="1">
        <f>hyperlink("https://hetutrechtsarchief.nl/collectie/49CCD3F0B2D85099922C3A5FEC3C12FD","Waterleidingmuseum E Giljam 10 2000")</f>
        <v>0</v>
      </c>
      <c r="D6905" s="1">
        <f>hyperlink("http://www.binnenstadskrant.nl/","Waterleidingmuseum E Giljam 10 2000")</f>
        <v>0</v>
      </c>
    </row>
    <row r="6906" spans="2:4">
      <c r="B6906">
        <v>89</v>
      </c>
      <c r="C6906" s="1">
        <f>hyperlink("https://hetutrechtsarchief.nl/collectie/92B747A0D5F552AC8A863F64F6EE17EA","Breedstraatbuurt boemboem-auto s en een dorps pleintje Joke Mat en Arend Ode 3 2000")</f>
        <v>0</v>
      </c>
      <c r="D6906" s="1">
        <f>hyperlink("http://www.binnenstadskrant.nl/","Breedstraatbuurt boemboem-auto s en een dorps pleintje Arend Mat Joke Od 3 2000")</f>
        <v>0</v>
      </c>
    </row>
    <row r="6907" spans="2:4">
      <c r="B6907">
        <v>100</v>
      </c>
      <c r="C6907" s="1">
        <f>hyperlink("https://hetutrechtsarchief.nl/collectie/878CF350129F5134AB4D833E87F479DB","Parkeergarages waar doen we het voor Ben Nijssen 6-7 2000")</f>
        <v>0</v>
      </c>
      <c r="D6907" s="1">
        <f>hyperlink("http://www.binnenstadskrant.nl/","Parkeergarages waar doen we het voor Ben Nijssen 6-7 2000")</f>
        <v>0</v>
      </c>
    </row>
    <row r="6908" spans="2:4">
      <c r="B6908">
        <v>100</v>
      </c>
      <c r="C6908" s="1">
        <f>hyperlink("https://hetutrechtsarchief.nl/collectie/37FEF6B304145283AA14C1AD21121B09","Hooch Boulandt Zuidertunnel Josina Heuvelsland 3-4 2000")</f>
        <v>0</v>
      </c>
      <c r="D6908" s="1">
        <f>hyperlink("http://www.binnenstadskrant.nl/","Hooch Boulandt Zuidertunnel Josina Heuvelsland 3-4 2000")</f>
        <v>0</v>
      </c>
    </row>
    <row r="6909" spans="2:4">
      <c r="B6909">
        <v>100</v>
      </c>
      <c r="C6909" s="1">
        <f>hyperlink("https://hetutrechtsarchief.nl/collectie/8DB1376E0606587A9435D39FA7B71BED","Straatnamen Volksbuurtmuseum Wijk C Albert van Wersch 15 2001")</f>
        <v>0</v>
      </c>
      <c r="D6909" s="1">
        <f>hyperlink("http://www.binnenstadskrant.nl/2001/2001-2/Binnenstadskrant.pdf","Straatnamen Volksbuurtmuseum Wijk C Albert van Wersch 15 2001")</f>
        <v>0</v>
      </c>
    </row>
    <row r="6910" spans="2:4">
      <c r="B6910">
        <v>100</v>
      </c>
      <c r="C6910" s="1">
        <f>hyperlink("https://hetutrechtsarchief.nl/collectie/A8973D3FC6EA5FFA9B0F602B1AD1D876","Met Plasmast einde aan gezeik nieuw urinoir onthuld op Janskerkhof Judith Oost Lievense 10 2001")</f>
        <v>0</v>
      </c>
      <c r="D6910" s="1">
        <f>hyperlink("http://www.binnenstadskrant.nl/2001/2001-2/Binnenstadskrant.pdf","Met Plasmast einde aan gezeik nieuw urinoir onthuld op Janskerkhof Judith Oost Lievense 10 2001")</f>
        <v>0</v>
      </c>
    </row>
    <row r="6911" spans="2:4">
      <c r="B6911">
        <v>100</v>
      </c>
      <c r="C6911" s="1">
        <f>hyperlink("https://hetutrechtsarchief.nl/collectie/20C96469B7525BCCBD880DF76C7D2733","Openbare Dalton basisschool De Twijn hoge CITO-score maar g n wachtlijst Marjan Heisterkamp 4 -5 2001")</f>
        <v>0</v>
      </c>
      <c r="D6911" s="1">
        <f>hyperlink("http://www.binnenstadskrant.nl/2001/2001-2/Binnenstadskrant.pdf","Openbare Dalton basisschool De Twijn hoge CITO-score maar g n wachtlijst Marjan Heisterkamp 4 -5 2001")</f>
        <v>0</v>
      </c>
    </row>
    <row r="6912" spans="2:4">
      <c r="B6912">
        <v>99</v>
      </c>
      <c r="C6912" s="1">
        <f>hyperlink("https://hetutrechtsarchief.nl/collectie/A88D9E061C015C939EC10562A5A13B53","Parkeerkelder op Lucas Bolwerk zorgt voor overlast en onrust Arend Ode 3 2002")</f>
        <v>0</v>
      </c>
      <c r="D6912" s="1">
        <f>hyperlink("http://www.binnenstadskrant.nl/2002/2002-4/Binnenstadskrant.pdf","Parkeerkelder op Lucas Bolwerk zorgt voor overlast en onrust Arend Od 3 2002")</f>
        <v>0</v>
      </c>
    </row>
    <row r="6913" spans="2:4">
      <c r="B6913">
        <v>100</v>
      </c>
      <c r="C6913" s="1">
        <f>hyperlink("https://hetutrechtsarchief.nl/collectie/500CC200EE975FC2B750CD88125C9E18","Outcasts pappen en nathouden Dick Franssen 7 2002")</f>
        <v>0</v>
      </c>
      <c r="D6913" s="1">
        <f>hyperlink("http://www.binnenstadskrant.nl/2002/2002-4/Binnenstadskrant.pdf","Outcasts pappen en nathouden Dick Franssen 7 2002")</f>
        <v>0</v>
      </c>
    </row>
    <row r="6914" spans="2:4">
      <c r="B6914">
        <v>100</v>
      </c>
      <c r="C6914" s="1">
        <f>hyperlink("https://hetutrechtsarchief.nl/collectie/92E09BA0753A5B87A55F92E133C9BD3D","Breedstraatbuurt in de lift derde plaats veiligheidsprijs voor Kwaliteitskring Chris Pilgram 8 2003")</f>
        <v>0</v>
      </c>
      <c r="D6914" s="1">
        <f>hyperlink("http://www.binnenstadskrant.nl/2003/2003-1/binnenstadskrant.pdf","Breedstraatbuurt in de lift derde plaats veiligheidsprijs voor Kwaliteitskring Chris Pilgram 8 2003")</f>
        <v>0</v>
      </c>
    </row>
    <row r="6915" spans="2:4">
      <c r="B6915">
        <v>100</v>
      </c>
      <c r="C6915" s="1">
        <f>hyperlink("https://hetutrechtsarchief.nl/collectie/01E7F14DC65E5C9983B629642F04A0AA","Torenklokken bis Dick Franssen 6 2003")</f>
        <v>0</v>
      </c>
      <c r="D6915" s="1">
        <f>hyperlink("http://www.binnenstadskrant.nl/2003/2003-1/binnenstadskrant.pdf","Torenklokken bis Dick Franssen 6 2003")</f>
        <v>0</v>
      </c>
    </row>
    <row r="6916" spans="2:4">
      <c r="B6916">
        <v>93</v>
      </c>
      <c r="C6916" s="1">
        <f>hyperlink("https://hetutrechtsarchief.nl/collectie/D2A40B3314775E2688443FE5E9352044","Stationsgebied gehuld in smog troebel en traag Arend Od en Ben Nijssen 4 2003")</f>
        <v>0</v>
      </c>
      <c r="D6916" s="1">
        <f>hyperlink("http://www.binnenstadskrant.nl/2003/2003-1/binnenstadskrant.pdf","Stationsgebied gehuld in smog troebel en traag Ben Od Arend Nijssen 4 2003")</f>
        <v>0</v>
      </c>
    </row>
    <row r="6917" spans="2:4">
      <c r="B6917">
        <v>100</v>
      </c>
      <c r="C6917" s="1">
        <f>hyperlink("https://hetutrechtsarchief.nl/collectie/B76184CB60845622BBAC91D091F0E17C","Utrechts Archief het blijft tobben Josina Heuvelsland 3 2003")</f>
        <v>0</v>
      </c>
      <c r="D6917" s="1">
        <f>hyperlink("http://www.binnenstadskrant.nl/2003/2003-1/binnenstadskrant.pdf","Utrechts Archief het blijft tobben Josina Heuvelsland 3 2003")</f>
        <v>0</v>
      </c>
    </row>
    <row r="6918" spans="2:4">
      <c r="B6918">
        <v>99</v>
      </c>
      <c r="C6918" s="1">
        <f>hyperlink("https://hetutrechtsarchief.nl/collectie/37FA38B7FA2751C6A6BD70B3CCCD699F","Toerisme in Utrecht casino populairste attractie Arend Ode 6 2003")</f>
        <v>0</v>
      </c>
      <c r="D6918" s="1">
        <f>hyperlink("http://www.binnenstadskrant.nl/2003/2003-3/binnenstadskrant.pdf","Toerisme in Utrecht casino populairste attractie Arend Od 6 2003")</f>
        <v>0</v>
      </c>
    </row>
    <row r="6919" spans="2:4">
      <c r="B6919">
        <v>88</v>
      </c>
      <c r="C6919" s="1">
        <f>hyperlink("https://hetutrechtsarchief.nl/collectie/17FF55F0D5D15DC2B1692A49A6349196","Blik in de politiekeuken vrijmarkt druk en gezellig 23 2003")</f>
        <v>0</v>
      </c>
      <c r="D6919" s="1">
        <f>hyperlink("http://www.binnenstadskrant.nl/2003/2003-3/binnenstadskrant.pdf","Blik in de politiekeuken vrijmarkt druk en gezellig William Maassen 23 2003")</f>
        <v>0</v>
      </c>
    </row>
    <row r="6920" spans="2:4">
      <c r="B6920">
        <v>100</v>
      </c>
      <c r="C6920" s="1">
        <f>hyperlink("https://hetutrechtsarchief.nl/collectie/02620C0980F45D8586F7F6FD8D01F5F7","Meeste tijd volop plek in parkeergarages Ben Nijssen 7 2003")</f>
        <v>0</v>
      </c>
      <c r="D6920" s="1">
        <f>hyperlink("http://www.binnenstadskrant.nl/2003/2003-3/binnenstadskrant.pdf","Meeste tijd volop plek in parkeergarages Ben Nijssen 7 2003")</f>
        <v>0</v>
      </c>
    </row>
    <row r="6921" spans="2:4">
      <c r="B6921">
        <v>100</v>
      </c>
      <c r="C6921" s="1">
        <f>hyperlink("https://hetutrechtsarchief.nl/collectie/A667C3593E825B2BA78B1392DCA8C887","Baggeren is goed voor het water Theo de Jong 3 2003")</f>
        <v>0</v>
      </c>
      <c r="D6921" s="1">
        <f>hyperlink("http://www.binnenstadskrant.nl/2003/2003-3/binnenstadskrant.pdf","Baggeren is goed voor het water Theo de Jong 3 2003")</f>
        <v>0</v>
      </c>
    </row>
    <row r="6922" spans="2:4">
      <c r="B6922">
        <v>69</v>
      </c>
      <c r="C6922" s="1">
        <f>hyperlink("https://hetutrechtsarchief.nl/collectie/8E0F385E38385DC8A877EC10C6E1F6E7","Markt kleiner maar hoe Dick Franssen 3 2003")</f>
        <v>0</v>
      </c>
      <c r="D6922" s="1">
        <f>hyperlink("http://www.binnenstadskrant.nl/2003/2003-5/Binnenstadskrant.pdf","Marktverkenningen Dirck Franssen et al Dick Franssen 3-8 2003")</f>
        <v>0</v>
      </c>
    </row>
    <row r="6923" spans="2:4">
      <c r="B6923">
        <v>100</v>
      </c>
      <c r="C6923" s="1">
        <f>hyperlink("https://hetutrechtsarchief.nl/collectie/AE55B973FA545F25BA254961F7C06B11","Leven in de Breedstraatbuurt Bewoners Kwaliteits Kring Breedstraatbuurt 16 2004")</f>
        <v>0</v>
      </c>
      <c r="D6923" s="1">
        <f>hyperlink("http://www.binnenstadskrant.nl/2004/2004-1/binnenstadskrant.pdf","Leven in de Breedstraatbuurt Bewoners Kwaliteits Kring Breedstraatbuurt 16 2004")</f>
        <v>0</v>
      </c>
    </row>
    <row r="6924" spans="2:4">
      <c r="B6924">
        <v>99</v>
      </c>
      <c r="C6924" s="1">
        <f>hyperlink("https://hetutrechtsarchief.nl/collectie/A836E0F122C8536B9F24501C8C737F8B","Nieuw stripblad de Inktpot platform voor Utrecht Arend Ode 15 2004")</f>
        <v>0</v>
      </c>
      <c r="D6924" s="1">
        <f>hyperlink("http://www.binnenstadskrant.nl/2004/2004-1/binnenstadskrant.pdf","Nieuw stripblad de Inktpot platform voor Utrecht Arend Od 15 2004")</f>
        <v>0</v>
      </c>
    </row>
    <row r="6925" spans="2:4">
      <c r="B6925">
        <v>100</v>
      </c>
      <c r="C6925" s="1">
        <f>hyperlink("https://hetutrechtsarchief.nl/collectie/B8C854BD14145F5AB08CB3A2B83C239D","Maar wel echt werk Huib Bouhuijzen werkplaats in Keizerstraat 8 Ido de Jonge 5 2004")</f>
        <v>0</v>
      </c>
      <c r="D6925" s="1">
        <f>hyperlink("http://www.binnenstadskrant.nl/2004/2004-1/binnenstadskrant.pdf","Maar wel echt werk Huib Bouhuijzen werkplaats in Keizerstraat 8 Ido de Jonge 5 2004")</f>
        <v>0</v>
      </c>
    </row>
    <row r="6926" spans="2:4">
      <c r="B6926">
        <v>100</v>
      </c>
      <c r="C6926" s="1">
        <f>hyperlink("https://hetutrechtsarchief.nl/collectie/F16D06B7C4415977827FE69C473906A0","De slagroom is eraf Dick Franssen 4 2004")</f>
        <v>0</v>
      </c>
      <c r="D6926" s="1">
        <f>hyperlink("http://www.binnenstadskrant.nl/2004/2004-1/binnenstadskrant.pdf","De slagroom is eraf Dick Franssen 4 2004")</f>
        <v>0</v>
      </c>
    </row>
    <row r="6927" spans="2:4">
      <c r="B6927">
        <v>100</v>
      </c>
      <c r="C6927" s="1">
        <f>hyperlink("https://hetutrechtsarchief.nl/collectie/01DE59843BED5BFDBB73797B0CC717C8","Te koop Leeuwenberghkerk Toos Wits 8 2004")</f>
        <v>0</v>
      </c>
      <c r="D6927" s="1">
        <f>hyperlink("http://www.binnenstadskrant.nl/2004/2004-2/binnenstadskrant.pdf","Te koop Leeuwenberghkerk Toos Wits 8 2004")</f>
        <v>0</v>
      </c>
    </row>
    <row r="6928" spans="2:4">
      <c r="B6928">
        <v>100</v>
      </c>
      <c r="C6928" s="1">
        <f>hyperlink("https://hetutrechtsarchief.nl/collectie/4A4EC4FF48975AFFBE4F52B1D2EEA808","Eigenaar van een gigantisch gebouw Marjan Heisterkamp 6-7 2004")</f>
        <v>0</v>
      </c>
      <c r="D6928" s="1">
        <f>hyperlink("http://www.binnenstadskrant.nl/2004/2004-2/binnenstadskrant.pdf","Eigenaar van een gigantisch gebouw Marjan Heisterkamp 6-7 2004")</f>
        <v>0</v>
      </c>
    </row>
    <row r="6929" spans="2:4">
      <c r="B6929">
        <v>99</v>
      </c>
      <c r="C6929" s="1">
        <f>hyperlink("https://hetutrechtsarchief.nl/collectie/B2E458738F3D5C90BA08E5CF8F8CBCFC","Gatenkaas Museumkwartier Arend Ode 4-5 2004")</f>
        <v>0</v>
      </c>
      <c r="D6929" s="1">
        <f>hyperlink("http://www.binnenstadskrant.nl/2004/2004-2/binnenstadskrant.pdf","Gatenkaas Museumkwartier Arend Od 4-5 2004")</f>
        <v>0</v>
      </c>
    </row>
    <row r="6930" spans="2:4">
      <c r="B6930">
        <v>100</v>
      </c>
      <c r="C6930" s="1">
        <f>hyperlink("https://hetutrechtsarchief.nl/collectie/24C9F892A05C56B88278CD1E93D06FF5","Hoeken met huisgeheimen komen bloot Jolanda Minjon 7-8 2004")</f>
        <v>0</v>
      </c>
      <c r="D6930" s="1">
        <f>hyperlink("http://www.binnenstadskrant.nl/2004/2004-3/binnenstadskrant.pdf","Hoeken met huisgeheimen komen bloot Jolanda Minjon 7-8 2004")</f>
        <v>0</v>
      </c>
    </row>
    <row r="6931" spans="2:4">
      <c r="B6931">
        <v>100</v>
      </c>
      <c r="C6931" s="1">
        <f>hyperlink("https://hetutrechtsarchief.nl/collectie/1548DB20A3BF555CBD1B598767BA179F","Nieuw vakantieplein gezocht Dirk van der Lit 14 2004")</f>
        <v>0</v>
      </c>
      <c r="D6931" s="1">
        <f>hyperlink("http://www.binnenstadskrant.nl/2004/2004-3/binnenstadskrant.pdf","Nieuw vakantieplein gezocht Dirk van der Lit 14 2004")</f>
        <v>0</v>
      </c>
    </row>
    <row r="6932" spans="2:4">
      <c r="B6932">
        <v>100</v>
      </c>
      <c r="C6932" s="1">
        <f>hyperlink("https://hetutrechtsarchief.nl/collectie/3E8A13310B28563B8ADD5FB9D9A6BCA4","Romantisch wonen met een buitenplee Toos Wits 9 2004")</f>
        <v>0</v>
      </c>
      <c r="D6932" s="1">
        <f>hyperlink("http://www.binnenstadskrant.nl/2004/2004-3/binnenstadskrant.pdf","Romantisch wonen met een buitenplee Toos Wits 9 2004")</f>
        <v>0</v>
      </c>
    </row>
    <row r="6933" spans="2:4">
      <c r="B6933">
        <v>100</v>
      </c>
      <c r="C6933" s="1">
        <f>hyperlink("https://hetutrechtsarchief.nl/collectie/78225A685FEF51F896A1A9126C958695","Een moderne immuniteit Marjan Heisterkamp 8 2004")</f>
        <v>0</v>
      </c>
      <c r="D6933" s="1">
        <f>hyperlink("http://www.binnenstadskrant.nl/2004/2004-3/binnenstadskrant.pdf","Een moderne immuniteit Marjan Heisterkamp 8 2004")</f>
        <v>0</v>
      </c>
    </row>
    <row r="6934" spans="2:4">
      <c r="B6934">
        <v>100</v>
      </c>
      <c r="C6934" s="1">
        <f>hyperlink("https://hetutrechtsarchief.nl/collectie/C6666B73A4EA53F7829928549CF7E26B","Alles voor de kinderen 9 2004")</f>
        <v>0</v>
      </c>
      <c r="D6934" s="1">
        <f>hyperlink("http://www.binnenstadskrant.nl/2004/2004-4/binnenstadskrant.pdf","Alles voor de kinderen 9 2004")</f>
        <v>0</v>
      </c>
    </row>
    <row r="6935" spans="2:4">
      <c r="B6935">
        <v>99</v>
      </c>
      <c r="C6935" s="1">
        <f>hyperlink("https://hetutrechtsarchief.nl/collectie/A379DF4DF00E5C41A6A697D3C9A3D872","Festivalmoeheid dreigt Arend Ode 8 2004")</f>
        <v>0</v>
      </c>
      <c r="D6935" s="1">
        <f>hyperlink("http://www.binnenstadskrant.nl/2004/2004-4/binnenstadskrant.pdf","Festivalmoeheid dreigt Arend Od 8 2004")</f>
        <v>0</v>
      </c>
    </row>
    <row r="6936" spans="2:4">
      <c r="B6936">
        <v>77</v>
      </c>
      <c r="C6936" s="1">
        <f>hyperlink("https://hetutrechtsarchief.nl/collectie/544CFE8A2CA15269BD767442265DF800","Bar en b hne in de openlucht De Parade 6-7 2004")</f>
        <v>0</v>
      </c>
      <c r="D6936" s="1">
        <f>hyperlink("http://www.binnenstadskrant.nl/2004/2004-4/binnenstadskrant.pdf","Bar en b hne in de openlucht De Parade Jutta de Jonge Ido de Jongh 6-7 2004")</f>
        <v>0</v>
      </c>
    </row>
    <row r="6937" spans="2:4">
      <c r="B6937">
        <v>100</v>
      </c>
      <c r="C6937" s="1">
        <f>hyperlink("https://hetutrechtsarchief.nl/collectie/B1CD5B078B315E48A15CECC3480C3F27","Louis Hartlooper Complex geweldige aanwinst Jolanda Minjon 5 2004")</f>
        <v>0</v>
      </c>
      <c r="D6937" s="1">
        <f>hyperlink("http://www.binnenstadskrant.nl/2004/2004-4/binnenstadskrant.pdf","Louis Hartlooper Complex geweldige aanwinst Jolanda Minjon 5 2004")</f>
        <v>0</v>
      </c>
    </row>
    <row r="6938" spans="2:4">
      <c r="B6938">
        <v>99</v>
      </c>
      <c r="C6938" s="1">
        <f>hyperlink("https://hetutrechtsarchief.nl/collectie/3C26448C780A52A6BE805567327C75C1","Utrechtse pleinen tussen gekozen leegte en geplande commercie Arend Ode 10-11 2004")</f>
        <v>0</v>
      </c>
      <c r="D6938" s="1">
        <f>hyperlink("http://www.binnenstadskrant.nl/2004/2004-5/binnenstadskrant.pdf","Utrechtse pleinen tussen gekozen leegte en geplande commercie Arend Od 10-11 2004")</f>
        <v>0</v>
      </c>
    </row>
    <row r="6939" spans="2:4">
      <c r="B6939">
        <v>100</v>
      </c>
      <c r="C6939" s="1">
        <f>hyperlink("https://hetutrechtsarchief.nl/collectie/D45815754D5D5ED5BC80B5667C074739","Drift wordt koninkrijk der letteren 6-7 2004")</f>
        <v>0</v>
      </c>
      <c r="D6939" s="1">
        <f>hyperlink("http://www.binnenstadskrant.nl/2004/2004-5/binnenstadskrant.pdf","Drift wordt koninkrijk der letteren 6-7 2004")</f>
        <v>0</v>
      </c>
    </row>
    <row r="6940" spans="2:4">
      <c r="B6940">
        <v>100</v>
      </c>
      <c r="C6940" s="1">
        <f>hyperlink("https://hetutrechtsarchief.nl/collectie/C99169890D525357867A7C30CB48B8D2","Tommie terug in de klas Dick Franssen 5 2004")</f>
        <v>0</v>
      </c>
      <c r="D6940" s="1">
        <f>hyperlink("http://www.binnenstadskrant.nl/2004/2004-5/binnenstadskrant.pdf","Tommie terug in de klas Dick Franssen 5 2004")</f>
        <v>0</v>
      </c>
    </row>
    <row r="6941" spans="2:4">
      <c r="B6941">
        <v>100</v>
      </c>
      <c r="C6941" s="1">
        <f>hyperlink("https://hetutrechtsarchief.nl/collectie/138A5082F2985A8589B6B2E6A72D9268","Uit de kunst beelden om te strelen Ido de Jonge 9 2005")</f>
        <v>0</v>
      </c>
      <c r="D6941" s="1">
        <f>hyperlink("http://www.binnenstadskrant.nl/2005/2005-1/binnenstadskrant.pdf","Uit de kunst beelden om te strelen Ido de Jonge 9 2005")</f>
        <v>0</v>
      </c>
    </row>
    <row r="6942" spans="2:4">
      <c r="B6942">
        <v>87</v>
      </c>
      <c r="C6942" s="1">
        <f>hyperlink("https://hetutrechtsarchief.nl/collectie/E3E3BDE9457E5E2DBDEE047F97254A6A","Uit de kunst Nico Rypkema de liefde is een vogel 8 2005")</f>
        <v>0</v>
      </c>
      <c r="D6942" s="1">
        <f>hyperlink("http://www.binnenstadskrant.nl/2005/2005-1/binnenstadskrant.pdf","Nico Rypkema de liefde is een vogel 8 2005")</f>
        <v>0</v>
      </c>
    </row>
    <row r="6943" spans="2:4">
      <c r="B6943">
        <v>100</v>
      </c>
      <c r="C6943" s="1">
        <f>hyperlink("https://hetutrechtsarchief.nl/collectie/286D590244BF5258845625FDB2038039","Uit de kunst bordkartonnen helden in de Voorstraat Marjan Heisterkamp 7 2005")</f>
        <v>0</v>
      </c>
      <c r="D6943" s="1">
        <f>hyperlink("http://www.binnenstadskrant.nl/2005/2005-1/binnenstadskrant.pdf","Uit de kunst bordkartonnen helden in de Voorstraat Marjan Heisterkamp 7 2005")</f>
        <v>0</v>
      </c>
    </row>
    <row r="6944" spans="2:4">
      <c r="B6944">
        <v>100</v>
      </c>
      <c r="C6944" s="1">
        <f>hyperlink("https://hetutrechtsarchief.nl/collectie/0C2B5E6F3D8959379D38D3B094BDE6B7","Uit de kunst Oliemullers erfgenamen 6 2005")</f>
        <v>0</v>
      </c>
      <c r="D6944" s="1">
        <f>hyperlink("http://www.binnenstadskrant.nl/2005/2005-1/binnenstadskrant.pdf","Uit de kunst Oliemullers erfgenamen 6 2005")</f>
        <v>0</v>
      </c>
    </row>
    <row r="6945" spans="2:4">
      <c r="B6945">
        <v>100</v>
      </c>
      <c r="C6945" s="1">
        <f>hyperlink("https://hetutrechtsarchief.nl/collectie/C51D281B67125B2D930C003B66B900D0","Anna s raam Jolanda Minjon 5 2005")</f>
        <v>0</v>
      </c>
      <c r="D6945" s="1">
        <f>hyperlink("http://www.binnenstadskrant.nl/2005/2005-1/binnenstadskrant.pdf","Anna s raam Jolanda Minjon 5 2005")</f>
        <v>0</v>
      </c>
    </row>
    <row r="6946" spans="2:4">
      <c r="B6946">
        <v>96</v>
      </c>
      <c r="C6946" s="1">
        <f>hyperlink("https://hetutrechtsarchief.nl/collectie/F7CA6878FF5A584C9E8DD21B4497A14C","Het stationsgebied kleine stapjes vooruit Arend Ode 2005")</f>
        <v>0</v>
      </c>
      <c r="D6946" s="1">
        <f>hyperlink("http://www.binnenstadskrant.nl/2005/2005-2/binnenstadskrant.pdf","Het stationsgebied kleine stapjes vooruit Arend Od 10 2005")</f>
        <v>0</v>
      </c>
    </row>
    <row r="6947" spans="2:4">
      <c r="B6947">
        <v>100</v>
      </c>
      <c r="C6947" s="1">
        <f>hyperlink("https://hetutrechtsarchief.nl/collectie/4F1E13BDE6525551A2F6E74F509328F4","Stenen vegen Jolanda Mignon 9 2005")</f>
        <v>0</v>
      </c>
      <c r="D6947" s="1">
        <f>hyperlink("http://www.binnenstadskrant.nl/2005/2005-2/binnenstadskrant.pdf","Stenen vegen Jolanda Mignon 9 2005")</f>
        <v>0</v>
      </c>
    </row>
    <row r="6948" spans="2:4">
      <c r="B6948">
        <v>100</v>
      </c>
      <c r="C6948" s="1">
        <f>hyperlink("https://hetutrechtsarchief.nl/collectie/762B217FF69E5DCE801F7F4FEE0D7E78","Kijk daar een feest om thuis te komen Marjan Heisterkamp 8 2005")</f>
        <v>0</v>
      </c>
      <c r="D6948" s="1">
        <f>hyperlink("http://www.binnenstadskrant.nl/2005/2005-2/binnenstadskrant.pdf","Kijk daar een feest om thuis te komen Marjan Heisterkamp 8 2005")</f>
        <v>0</v>
      </c>
    </row>
    <row r="6949" spans="2:4">
      <c r="B6949">
        <v>100</v>
      </c>
      <c r="C6949" s="1">
        <f>hyperlink("https://hetutrechtsarchief.nl/collectie/9694A7EDC7F555F181EF8CDD6F6582D1","Kijk daar droomhuis Dick Franssen 7 2005")</f>
        <v>0</v>
      </c>
      <c r="D6949" s="1">
        <f>hyperlink("http://www.binnenstadskrant.nl/2005/2005-2/binnenstadskrant.pdf","Kijk daar droomhuis Dick Franssen 7 2005")</f>
        <v>0</v>
      </c>
    </row>
    <row r="6950" spans="2:4">
      <c r="B6950">
        <v>100</v>
      </c>
      <c r="C6950" s="1">
        <f>hyperlink("https://hetutrechtsarchief.nl/collectie/3DE9BD689C5750118AAEB2C6981C4BCD","Kijk daar zonder ladder ben je nergens Joantien Zijlstra 6 2005")</f>
        <v>0</v>
      </c>
      <c r="D6950" s="1">
        <f>hyperlink("http://www.binnenstadskrant.nl/2005/2005-2/binnenstadskrant.pdf","Kijk daar zonder ladder ben je nergens Joantien Zijlstra 6 2005")</f>
        <v>0</v>
      </c>
    </row>
    <row r="6951" spans="2:4">
      <c r="B6951">
        <v>96</v>
      </c>
      <c r="C6951" s="1">
        <f>hyperlink("https://hetutrechtsarchief.nl/collectie/B1FFAFE1461F5B7ABE0DD5FD2935589E","De Krakeling staat voor de helft leeg foto Sarah Rypkema 3 2005")</f>
        <v>0</v>
      </c>
      <c r="D6951" s="1">
        <f>hyperlink("http://www.binnenstadskrant.nl/2005/2005-2/binnenstadskrant.pdf","De Krakeling staat voor de helft leeg Sarah Rypkema 3 2005")</f>
        <v>0</v>
      </c>
    </row>
    <row r="6952" spans="2:4">
      <c r="B6952">
        <v>99</v>
      </c>
      <c r="C6952" s="1">
        <f>hyperlink("https://hetutrechtsarchief.nl/collectie/D240B71D5C835154915A92BE9C522002","Van Museumkwartier tot Zorgkwartier Arend Ode 8 2005")</f>
        <v>0</v>
      </c>
      <c r="D6952" s="1">
        <f>hyperlink("http://www.binnenstadskrant.nl/2005/2005-3/binnenstadskrant.pdf","Van Museumkwartier tot Zorgkwartier Arend Od 8 2005")</f>
        <v>0</v>
      </c>
    </row>
    <row r="6953" spans="2:4">
      <c r="B6953">
        <v>87</v>
      </c>
      <c r="C6953" s="1">
        <f>hyperlink("https://hetutrechtsarchief.nl/collectie/D390BFB4C639587B94584191913D6030","Veranderingen kijk daar tek en tekst Frank Kaiser 5 2005")</f>
        <v>0</v>
      </c>
      <c r="D6953" s="1">
        <f>hyperlink("http://www.binnenstadskrant.nl/2005/2005-3/binnenstadskrant.pdf","Veranderingen kijk daar Frank Kaiser 5 2005")</f>
        <v>0</v>
      </c>
    </row>
    <row r="6954" spans="2:4">
      <c r="B6954">
        <v>100</v>
      </c>
      <c r="C6954" s="1">
        <f>hyperlink("https://hetutrechtsarchief.nl/collectie/D5F834B1897B519F8F3A4999776FD2D3","Kijk daar 3 hoe klein kan het zijn 9 2005")</f>
        <v>0</v>
      </c>
      <c r="D6954" s="1">
        <f>hyperlink("http://www.binnenstadskrant.nl/2005/2005-4/binnenstadskrant.pdf","Kijk daar 3 hoe klein kan het zijn 9 2005")</f>
        <v>0</v>
      </c>
    </row>
    <row r="6955" spans="2:4">
      <c r="B6955">
        <v>100</v>
      </c>
      <c r="C6955" s="1">
        <f>hyperlink("https://hetutrechtsarchief.nl/collectie/8F16B0EDE2925947B77997C39D967220","Verschralend winkelhart het grote geld contra de kleine middenstand 4-8 2005")</f>
        <v>0</v>
      </c>
      <c r="D6955" s="1">
        <f>hyperlink("http://www.binnenstadskrant.nl/2005/2005-4/binnenstadskrant.pdf","Verschralend winkelhart het grote geld contra de kleine middenstand 4-8 2005")</f>
        <v>0</v>
      </c>
    </row>
    <row r="6956" spans="2:4">
      <c r="B6956">
        <v>100</v>
      </c>
      <c r="C6956" s="1">
        <f>hyperlink("https://hetutrechtsarchief.nl/collectie/7056DB88B21A574398A8268112829673","Tevreden in het dure huis Arend Ode 11 2005")</f>
        <v>0</v>
      </c>
      <c r="D6956" s="1">
        <f>hyperlink("http://www.binnenstadskrant.nl/2005/2005-5/binnenstadskrant.pdf","Tevreden in het dure huis Arend Ode 11 2005")</f>
        <v>0</v>
      </c>
    </row>
    <row r="6957" spans="2:4">
      <c r="B6957">
        <v>100</v>
      </c>
      <c r="C6957" s="1">
        <f>hyperlink("https://hetutrechtsarchief.nl/collectie/CAB919D155DC5BB2887FD16AAFF462FC","Het laatste fatsoenlijke kraakpand Jesse Pouw 10 2005")</f>
        <v>0</v>
      </c>
      <c r="D6957" s="1">
        <f>hyperlink("http://www.binnenstadskrant.nl/2005/2005-5/binnenstadskrant.pdf","Het laatste fatsoenlijke kraakpand Jesse Pouw 10 2005")</f>
        <v>0</v>
      </c>
    </row>
    <row r="6958" spans="2:4">
      <c r="B6958">
        <v>100</v>
      </c>
      <c r="C6958" s="1">
        <f>hyperlink("https://hetutrechtsarchief.nl/collectie/AF17CEE0DF395946965CF74EF4755707","Kijk daar 4 hoe klein kan het zijn Frank Kaiser 9 2005")</f>
        <v>0</v>
      </c>
      <c r="D6958" s="1">
        <f>hyperlink("http://www.binnenstadskrant.nl/2005/2005-5/binnenstadskrant.pdf","Kijk daar 4 hoe klein kan het zijn Frank Kaiser 9 2005")</f>
        <v>0</v>
      </c>
    </row>
    <row r="6959" spans="2:4">
      <c r="B6959">
        <v>100</v>
      </c>
      <c r="C6959" s="1">
        <f>hyperlink("https://hetutrechtsarchief.nl/collectie/9F65573E3C0C50A68478DD3FFC162032","Zeven huizen bekijken op n dag Dick Franssen 7-8 2005")</f>
        <v>0</v>
      </c>
      <c r="D6959" s="1">
        <f>hyperlink("http://www.binnenstadskrant.nl/2005/2005-5/binnenstadskrant.pdf","Zeven huizen bekijken op n dag Dick Franssen 7-8 2005")</f>
        <v>0</v>
      </c>
    </row>
    <row r="6960" spans="2:4">
      <c r="B6960">
        <v>100</v>
      </c>
      <c r="C6960" s="1">
        <f>hyperlink("https://hetutrechtsarchief.nl/collectie/3EF42F9134DF59FDBE8BE93EB58D0363","Driftcluster universiteit nu woon je er straks ben je weg Ido de Jonge 5-6 2005")</f>
        <v>0</v>
      </c>
      <c r="D6960" s="1">
        <f>hyperlink("http://www.binnenstadskrant.nl/2005/2005-5/binnenstadskrant.pdf","Driftcluster universiteit nu woon je er straks ben je weg Ido de Jonge 5-6 2005")</f>
        <v>0</v>
      </c>
    </row>
    <row r="6961" spans="2:4">
      <c r="B6961">
        <v>100</v>
      </c>
      <c r="C6961" s="1">
        <f>hyperlink("https://hetutrechtsarchief.nl/collectie/8C1E5BE6123957338B2C72D34DF030DD","Hardebollenstraat moet anders Stephan Peters 9 2006")</f>
        <v>0</v>
      </c>
      <c r="D6961" s="1">
        <f>hyperlink("http://www.binnenstadskrant.nl/2006/2006-1/binnenstadskrant.pdf","Hardebollenstraat moet anders Stephan Peters 9 2006")</f>
        <v>0</v>
      </c>
    </row>
    <row r="6962" spans="2:4">
      <c r="B6962">
        <v>100</v>
      </c>
      <c r="C6962" s="1">
        <f>hyperlink("https://hetutrechtsarchief.nl/collectie/318E382AE47D500BA843F07F556BC729","Kijk daar 5 penswijven in de Vuilsteeg Frank Kaiser 8 2006")</f>
        <v>0</v>
      </c>
      <c r="D6962" s="1">
        <f>hyperlink("http://www.binnenstadskrant.nl/2006/2006-1/binnenstadskrant.pdf","Kijk daar 5 penswijven in de Vuilsteeg Frank Kaiser 8 2006")</f>
        <v>0</v>
      </c>
    </row>
    <row r="6963" spans="2:4">
      <c r="B6963">
        <v>100</v>
      </c>
      <c r="C6963" s="1">
        <f>hyperlink("https://hetutrechtsarchief.nl/collectie/D50F1C2065E9535589B08594D353BF52","Alleen wie in welstand leeft leeft aangenaam wandelen met architect Jan Koning 6-7 2006")</f>
        <v>0</v>
      </c>
      <c r="D6963" s="1">
        <f>hyperlink("http://www.binnenstadskrant.nl/2006/2006-1/binnenstadskrant.pdf","Alleen wie in welstand leeft leeft aangenaam wandelen met architect Jan Koning 6-7 2006")</f>
        <v>0</v>
      </c>
    </row>
    <row r="6964" spans="2:4">
      <c r="B6964">
        <v>100</v>
      </c>
      <c r="C6964" s="1">
        <f>hyperlink("https://hetutrechtsarchief.nl/collectie/1983602B56D8563D9F2C60339A12AB21","De stad nog mooier maken Dick Franssen 4-5 2006")</f>
        <v>0</v>
      </c>
      <c r="D6964" s="1">
        <f>hyperlink("http://www.binnenstadskrant.nl/2006/2006-1/binnenstadskrant.pdf","De stad nog mooier maken Dick Franssen 4-5 2006")</f>
        <v>0</v>
      </c>
    </row>
    <row r="6965" spans="2:4">
      <c r="B6965">
        <v>98</v>
      </c>
      <c r="C6965" s="1">
        <f>hyperlink("https://hetutrechtsarchief.nl/collectie/59D5ECB75410524E86A65A8528BFA8E4","Mariaplaats wil geen marktplaats zijn Marjan Heisterkamp 3-9 2006")</f>
        <v>0</v>
      </c>
      <c r="D6965" s="1">
        <f>hyperlink("http://www.binnenstadskrant.nl/2006/2006-1/binnenstadskrant.pdf","Mariaplaats wil geen marktplaats zijn Marjan Heisterkamp 3 2006")</f>
        <v>0</v>
      </c>
    </row>
    <row r="6966" spans="2:4">
      <c r="B6966">
        <v>91</v>
      </c>
      <c r="C6966" s="1">
        <f>hyperlink("https://hetutrechtsarchief.nl/collectie/F81F316C175D56E9B9A5E0D03EAEE769","Collegeperiode 2001-2006 wachten op nieuw plan Arend Ode 3-4 2006")</f>
        <v>0</v>
      </c>
      <c r="D6966" s="1">
        <f>hyperlink("http://www.binnenstadskrant.nl/2006/2006-2/binnenstadskrant.pdf","Collegeperiode wachten op nieuw plan Arend Od 3-4 2006")</f>
        <v>0</v>
      </c>
    </row>
    <row r="6967" spans="2:4">
      <c r="B6967">
        <v>100</v>
      </c>
      <c r="C6967" s="1">
        <f>hyperlink("https://hetutrechtsarchief.nl/collectie/EC5FB46AF28152B5AFA37772E2560F1D","Kijk daar 6 stadsgolf klootschieten en colven Frank Kaiser 11 2006")</f>
        <v>0</v>
      </c>
      <c r="D6967" s="1">
        <f>hyperlink("http://www.binnenstadskrant.nl/2006/2006-2/binnenstadskrant.pdf","Kijk daar 6 stadsgolf klootschieten en colven Frank Kaiser 11 2006")</f>
        <v>0</v>
      </c>
    </row>
    <row r="6968" spans="2:4">
      <c r="B6968">
        <v>86</v>
      </c>
      <c r="C6968" s="1">
        <f>hyperlink("https://hetutrechtsarchief.nl/collectie/C60143B4F01250BC995C3EA042D0357D","Kijk daar Huis Zoudenbalch tekst en tek Frank Kaiser 5 2005")</f>
        <v>0</v>
      </c>
      <c r="D6968" s="1">
        <f>hyperlink("http://www.binnenstadskrant.nl/2006/2006-2/binnenstadskrant.pdf","Kijk daar Huis Zoudenbalch Frank Kaiser 5-6 2005")</f>
        <v>0</v>
      </c>
    </row>
    <row r="6969" spans="2:4">
      <c r="B6969">
        <v>97</v>
      </c>
      <c r="C6969" s="1">
        <f>hyperlink("https://hetutrechtsarchief.nl/collectie/FC797D98DF35595B90C9FAE5E0FE8FF1","Kijk daar 7 de Wijde Poort Frank Kaiser 2006")</f>
        <v>0</v>
      </c>
      <c r="D6969" s="1">
        <f>hyperlink("http://www.binnenstadskrant.nl/2006/2006-3/binnenstadskrant.pdf","Kijk daar 7 de Wijde Poort Frank Kaiser 10 2006")</f>
        <v>0</v>
      </c>
    </row>
    <row r="6970" spans="2:4">
      <c r="B6970">
        <v>100</v>
      </c>
      <c r="C6970" s="1">
        <f>hyperlink("https://hetutrechtsarchief.nl/collectie/473ED021F9275327B987EFFE34493AB9","De echte liefhebbers jazz altijd weer de jazz Dick Franssen 5-6 2006")</f>
        <v>0</v>
      </c>
      <c r="D6970" s="1">
        <f>hyperlink("http://www.binnenstadskrant.nl/2006/2006-3/binnenstadskrant.pdf","De echte liefhebbers jazz altijd weer de jazz Dick Franssen 5-6 2006")</f>
        <v>0</v>
      </c>
    </row>
    <row r="6971" spans="2:4">
      <c r="B6971">
        <v>100</v>
      </c>
      <c r="C6971" s="1">
        <f>hyperlink("https://hetutrechtsarchief.nl/collectie/4BFE03FD11CD52419669663E79F94574","Alles biologisch Jesse Pouw 4 2006")</f>
        <v>0</v>
      </c>
      <c r="D6971" s="1">
        <f>hyperlink("http://www.binnenstadskrant.nl/2006/2006-3/binnenstadskrant.pdf","Alles biologisch Jesse Pouw 4 2006")</f>
        <v>0</v>
      </c>
    </row>
    <row r="6972" spans="2:4">
      <c r="B6972">
        <v>100</v>
      </c>
      <c r="C6972" s="1">
        <f>hyperlink("https://hetutrechtsarchief.nl/collectie/239130C3156B5E03B720AC23831199C2","Moderne kloosterlingen Ben Nijssen 3 2006")</f>
        <v>0</v>
      </c>
      <c r="D6972" s="1">
        <f>hyperlink("http://www.binnenstadskrant.nl/2006/2006-3/binnenstadskrant.pdf","Moderne kloosterlingen Ben Nijssen 3 2006")</f>
        <v>0</v>
      </c>
    </row>
    <row r="6973" spans="2:4">
      <c r="B6973">
        <v>80</v>
      </c>
      <c r="C6973" s="1">
        <f>hyperlink("https://hetutrechtsarchief.nl/collectie/32339ADFBF355CBFBFCF3B557307A324","Treintjes in de hemel Dick Franssen 7 2006")</f>
        <v>0</v>
      </c>
      <c r="D6973" s="1">
        <f>hyperlink("http://www.binnenstadskrant.nl/2006/2006-4/binnenstadskrant.pdf","Treintjes in de hemel 7 2006")</f>
        <v>0</v>
      </c>
    </row>
    <row r="6974" spans="2:4">
      <c r="B6974">
        <v>99</v>
      </c>
      <c r="C6974" s="1">
        <f>hyperlink("https://hetutrechtsarchief.nl/collectie/7DFA375EAF4F582DA2580BF5DEF22360","Busroute Om de Zuid zal ooit tramlijn worden Arend Ode 10 2006")</f>
        <v>0</v>
      </c>
      <c r="D6974" s="1">
        <f>hyperlink("http://www.binnenstadskrant.nl/2006/2006-4/binnenstadskrant.pdf","Busroute Om de Zuid zal ooit tramlijn worden Arend Od 10 2006")</f>
        <v>0</v>
      </c>
    </row>
    <row r="6975" spans="2:4">
      <c r="B6975">
        <v>100</v>
      </c>
      <c r="C6975" s="1">
        <f>hyperlink("https://hetutrechtsarchief.nl/collectie/2F517B26D6E058388E85727FC24E5BD2","Overnachten op de grachten lekker handig alles dichtbij Jesse Pouw 9 2006")</f>
        <v>0</v>
      </c>
      <c r="D6975" s="1">
        <f>hyperlink("http://www.binnenstadskrant.nl/2006/2006-4/binnenstadskrant.pdf","Overnachten op de grachten lekker handig alles dichtbij Jesse Pouw 9 2006")</f>
        <v>0</v>
      </c>
    </row>
    <row r="6976" spans="2:4">
      <c r="B6976">
        <v>100</v>
      </c>
      <c r="C6976" s="1">
        <f>hyperlink("https://hetutrechtsarchief.nl/collectie/8D278BD958AB5223AD23F18D42F4A87B","Kijk daar 8 een zwerfkei en sigaren Frank Kaiser 8 2006")</f>
        <v>0</v>
      </c>
      <c r="D6976" s="1">
        <f>hyperlink("http://www.binnenstadskrant.nl/2006/2006-4/binnenstadskrant.pdf","Kijk daar 8 een zwerfkei en sigaren Frank Kaiser 8 2006")</f>
        <v>0</v>
      </c>
    </row>
    <row r="6977" spans="2:4">
      <c r="B6977">
        <v>100</v>
      </c>
      <c r="C6977" s="1">
        <f>hyperlink("https://hetutrechtsarchief.nl/collectie/06D268DD152055B999C5B942823AEC70","Betoverd door Utrecht rondleider organisator Wil van der Mark Jesse Pouw 6 2006")</f>
        <v>0</v>
      </c>
      <c r="D6977" s="1">
        <f>hyperlink("http://www.binnenstadskrant.nl/2006/2006-4/binnenstadskrant.pdf","Betoverd door Utrecht rondleider organisator Wil van der Mark Jesse Pouw 6 2006")</f>
        <v>0</v>
      </c>
    </row>
    <row r="6978" spans="2:4">
      <c r="B6978">
        <v>100</v>
      </c>
      <c r="C6978" s="1">
        <f>hyperlink("https://hetutrechtsarchief.nl/collectie/999E7F860946591C88058389DD6B7510","Kijk daar 9 nog een zwerfkei Frank Kaiser 9 2006")</f>
        <v>0</v>
      </c>
      <c r="D6978" s="1">
        <f>hyperlink("http://www.binnenstadskrant.nl/2006/2006-5/binnenstadskrant.pdf","Kijk daar 9 nog een zwerfkei Frank Kaiser 9 2006")</f>
        <v>0</v>
      </c>
    </row>
    <row r="6979" spans="2:4">
      <c r="B6979">
        <v>100</v>
      </c>
      <c r="C6979" s="1">
        <f>hyperlink("https://hetutrechtsarchief.nl/collectie/BA76B7ED88E95090A4032BF2CCEECA81","Hinderickx en Winderickx de snuffelaar sterft uit 6 2006")</f>
        <v>0</v>
      </c>
      <c r="D6979" s="1">
        <f>hyperlink("http://www.binnenstadskrant.nl/2006/2006-5/binnenstadskrant.pdf","Hinderickx en Winderickx de snuffelaar sterft uit 6 2006")</f>
        <v>0</v>
      </c>
    </row>
    <row r="6980" spans="2:4">
      <c r="B6980">
        <v>85</v>
      </c>
      <c r="C6980" s="1">
        <f>hyperlink("https://hetutrechtsarchief.nl/collectie/41874C8AC676567C918EEBE9795669A4","Veiling Pieterskerkhof veertiendaagse verslaving Dick Franssen fotografie Sjaak Ramakers 4-5 2006")</f>
        <v>0</v>
      </c>
      <c r="D6980" s="1">
        <f>hyperlink("http://www.binnenstadskrant.nl/2006/2006-5/binnenstadskrant.pdf","Veiling Pieterskerkhof veertiendaagse verslaving Dick Franssen 4-5 2006")</f>
        <v>0</v>
      </c>
    </row>
    <row r="6981" spans="2:4">
      <c r="B6981">
        <v>95</v>
      </c>
      <c r="C6981" s="1">
        <f>hyperlink("https://hetutrechtsarchief.nl/collectie/4BFD1A446D1C53EB9D7BC2D9ED046AD7","Vredenburg mooier en gezelliger red 11 2007")</f>
        <v>0</v>
      </c>
      <c r="D6981" s="1">
        <f>hyperlink("http://www.binnenstadskrant.nl/2007/2007-1/binnenstadskrant.pdf","Vredenburg mooier en gezelliger 11 2007")</f>
        <v>0</v>
      </c>
    </row>
    <row r="6982" spans="2:4">
      <c r="B6982">
        <v>89</v>
      </c>
      <c r="C6982" s="1">
        <f>hyperlink("https://hetutrechtsarchief.nl/collectie/1FC4DC32952C5A4CA2C2E8648E48C1E3","Kijk daar 11 stad vol zilversmeden tekst en tek Frank Kaiser 5 2007")</f>
        <v>0</v>
      </c>
      <c r="D6982" s="1">
        <f>hyperlink("http://www.binnenstadskrant.nl/2007/2007-1/binnenstadskrant.pdf","Kijk daar 11 stad vol zilversmeden Frank Kaiser 5 2007")</f>
        <v>0</v>
      </c>
    </row>
    <row r="6983" spans="2:4">
      <c r="B6983">
        <v>100</v>
      </c>
      <c r="C6983" s="1">
        <f>hyperlink("https://hetutrechtsarchief.nl/collectie/30F41F6DE09E50579408700BB8A723FF","Schatkamers graven Jacqueline van Eimeren 6 2013")</f>
        <v>0</v>
      </c>
      <c r="D6983" s="1">
        <f>hyperlink("http://www.binnenstadskrant.nl/article?id=687","Schatkamers graven Jacqueline van Eimeren 6 2013")</f>
        <v>0</v>
      </c>
    </row>
    <row r="6984" spans="2:4">
      <c r="B6984">
        <v>76</v>
      </c>
      <c r="C6984" s="1">
        <f>hyperlink("https://hetutrechtsarchief.nl/collectie/BA09B9E72BC151F4B52F05F7DC69E064","Alle dagen shoppen Dick Franssen foto s Gerard Arninkhof 3 2013")</f>
        <v>0</v>
      </c>
      <c r="D6984" s="1">
        <f>hyperlink("http://www.binnenstadskrant.nl/article?id=701","Alle dagen shoppen Dick Franssen 3 2013")</f>
        <v>0</v>
      </c>
    </row>
    <row r="6985" spans="2:4">
      <c r="B6985">
        <v>100</v>
      </c>
      <c r="C6985" s="1">
        <f>hyperlink("https://hetutrechtsarchief.nl/collectie/6FB5053981D55F079CD94D6D39AD3A32","Uitsluitend via de winkels naar de trein Ben Nijssen 5 2013")</f>
        <v>0</v>
      </c>
      <c r="D6985" s="1">
        <f>hyperlink("http://www.binnenstadskrant.nl/article?id=702","Uitsluitend via de winkels naar de trein Ben Nijssen 5 2013")</f>
        <v>0</v>
      </c>
    </row>
    <row r="6986" spans="2:4">
      <c r="B6986">
        <v>82</v>
      </c>
      <c r="C6986" s="1">
        <f>hyperlink("https://hetutrechtsarchief.nl/collectie/63060775BF0E5663A6B828598B87861F","Pure allure op het Vredenburg Jacqueline van Eimeren fotografie Sjaak Ramakers 7 2013")</f>
        <v>0</v>
      </c>
      <c r="D6986" s="1">
        <f>hyperlink("http://www.binnenstadskrant.nl/article?id=703","Pure allure op het Vredenburg Jacqueline van Eimeren 7 2013")</f>
        <v>0</v>
      </c>
    </row>
    <row r="6987" spans="2:4">
      <c r="B6987">
        <v>100</v>
      </c>
      <c r="C6987" s="1">
        <f>hyperlink("https://hetutrechtsarchief.nl/collectie/CAB044D8536B5F6EA345BD9F8459F61A","De hele Binnenstad onderdompelen in muziek Jacqueline van Eimeren 7 2013")</f>
        <v>0</v>
      </c>
      <c r="D6987" s="1">
        <f>hyperlink("http://www.binnenstadskrant.nl/article?id=735","De hele Binnenstad onderdompelen in muziek Jacqueline van Eimeren 7 2013")</f>
        <v>0</v>
      </c>
    </row>
    <row r="6988" spans="2:4">
      <c r="B6988">
        <v>95</v>
      </c>
      <c r="C6988" s="1">
        <f>hyperlink("https://hetutrechtsarchief.nl/collectie/C511A20187B25EA8B06C3D6C68D060E7","Ik ben ge nteresseerd in ervaringen van mensen Cees van Eijk wijkwethouder Binnenstad en wethouder Welzijn Cultuur en Integratie 15 2006")</f>
        <v>0</v>
      </c>
      <c r="D6988" s="1">
        <f>hyperlink("http://www.binnenstadskrant.nl/bsk/_static/pdf/2006-4.pdf","Ik ben ge nteresseerd in ervaringen van mensen Cees van Eijk wijkwethouder Binnenstad en wethouder Welzijn Cultuur en Integratie Cees van Eijk 15 2006")</f>
        <v>0</v>
      </c>
    </row>
    <row r="6989" spans="2:4">
      <c r="B6989">
        <v>96</v>
      </c>
      <c r="C6989" s="1">
        <f>hyperlink("https://hetutrechtsarchief.nl/collectie/ACE2ACC7415459998C6E6F2F349981B8","Een brug te veel Marijke Brunt 2008")</f>
        <v>0</v>
      </c>
      <c r="D6989" s="1">
        <f>hyperlink("http://www.binnenstadskrant.nl/bsk/_static/pdf/2008-5.pdf","Een brug te veel Marijke Brunt 14 2008")</f>
        <v>0</v>
      </c>
    </row>
    <row r="6990" spans="2:4">
      <c r="B6990">
        <v>100</v>
      </c>
      <c r="C6990" s="1">
        <f>hyperlink("https://hetutrechtsarchief.nl/collectie/CEA3CAB060C35ACA9DD8ED865EDA7E1B","Zakkendrager een steeg krabbelt op Jesse Pouw 9 2009")</f>
        <v>0</v>
      </c>
      <c r="D6990" s="1">
        <f>hyperlink("http://www.binnenstadskrant.nl/bsk/_static/pdf/2009-1.pdf","Zakkendrager een steeg krabbelt op Jesse Pouw 9 2009")</f>
        <v>0</v>
      </c>
    </row>
    <row r="6991" spans="2:4">
      <c r="B6991">
        <v>91</v>
      </c>
      <c r="C6991" s="1">
        <f>hyperlink("https://hetutrechtsarchief.nl/collectie/6855F63E6B9A5B218F2E16A827A51384","De binnenkant van de Binnenstad fotografie Sjaak Ramakers 12-13 2009")</f>
        <v>0</v>
      </c>
      <c r="D6991" s="1">
        <f>hyperlink("http://www.binnenstadskrant.nl/bsk/_static/pdf/2009-1.pdf","De binnenkant van de Binnenstad Sjaak Ramakers 12-13 2009")</f>
        <v>0</v>
      </c>
    </row>
    <row r="6992" spans="2:4">
      <c r="B6992">
        <v>99</v>
      </c>
      <c r="C6992" s="1">
        <f>hyperlink("https://hetutrechtsarchief.nl/collectie/9B29BFE7D97D5DC5BA30FE820DE776AF","Westzijde Stationsgebied eerste scheurtjes in de planning Arend Ode 10 2009")</f>
        <v>0</v>
      </c>
      <c r="D6992" s="1">
        <f>hyperlink("http://www.binnenstadskrant.nl/bsk/_static/pdf/2009-1.pdf","Westzijde Stationsgebied eerste scheurtjes in de planning Arend Od 10 2009")</f>
        <v>0</v>
      </c>
    </row>
    <row r="6993" spans="2:4">
      <c r="B6993">
        <v>100</v>
      </c>
      <c r="C6993" s="1">
        <f>hyperlink("https://hetutrechtsarchief.nl/collectie/5AC740C00E1F52F08F0A3F88749AF412","Verdwenen huisnummers op de Oudegracht Ben Nijssen 8 2009")</f>
        <v>0</v>
      </c>
      <c r="D6993" s="1">
        <f>hyperlink("http://www.binnenstadskrant.nl/bsk/_static/pdf/2009-1.pdf","Verdwenen huisnummers op de Oudegracht Ben Nijssen 8 2009")</f>
        <v>0</v>
      </c>
    </row>
    <row r="6994" spans="2:4">
      <c r="B6994">
        <v>100</v>
      </c>
      <c r="C6994" s="1">
        <f>hyperlink("https://hetutrechtsarchief.nl/collectie/DA9517CFE99E51FF8D3B94F44F02392C","Zeven weergaloze steegjes Gwyon Hoogenraad 6-7 2009")</f>
        <v>0</v>
      </c>
      <c r="D6994" s="1">
        <f>hyperlink("http://www.binnenstadskrant.nl/bsk/_static/pdf/2009-1.pdf","Zeven weergaloze steegjes Gwyon Hoogenraad 6-7 2009")</f>
        <v>0</v>
      </c>
    </row>
    <row r="6995" spans="2:4">
      <c r="B6995">
        <v>100</v>
      </c>
      <c r="C6995" s="1">
        <f>hyperlink("https://hetutrechtsarchief.nl/collectie/78C27AB0BABE5F0A94673AD052530E26","De Weger s luchtkasteel stort in Ben Nijssen 7-8 2009")</f>
        <v>0</v>
      </c>
      <c r="D6995" s="1">
        <f>hyperlink("http://www.binnenstadskrant.nl/bsk/_static/pdf/2009-2.pdf","De Weger s luchtkasteel stort in Ben Nijssen 7-8 2009")</f>
        <v>0</v>
      </c>
    </row>
    <row r="6996" spans="2:4">
      <c r="B6996">
        <v>100</v>
      </c>
      <c r="C6996" s="1">
        <f>hyperlink("https://hetutrechtsarchief.nl/collectie/C6FD054767E3559E95575EAFB738B187","Weekend zonder geweld Merel van Leeuwen 21 2009")</f>
        <v>0</v>
      </c>
      <c r="D6996" s="1">
        <f>hyperlink("http://www.binnenstadskrant.nl/bsk/_static/pdf/2009-3.pdf","Weekend zonder geweld Merel van Leeuwen 21 2009")</f>
        <v>0</v>
      </c>
    </row>
    <row r="6997" spans="2:4">
      <c r="B6997">
        <v>100</v>
      </c>
      <c r="C6997" s="1">
        <f>hyperlink("https://hetutrechtsarchief.nl/collectie/783632FD1B805C0B851728512124122D","Corio drukt stempel op singel Ben Nijssen 14 2009")</f>
        <v>0</v>
      </c>
      <c r="D6997" s="1">
        <f>hyperlink("http://www.binnenstadskrant.nl/bsk/_static/pdf/2009-3.pdf","Corio drukt stempel op singel Ben Nijssen 14 2009")</f>
        <v>0</v>
      </c>
    </row>
    <row r="6998" spans="2:4">
      <c r="B6998">
        <v>85</v>
      </c>
      <c r="C6998" s="1">
        <f>hyperlink("https://hetutrechtsarchief.nl/collectie/271EE7849694582F9AF32EE9D2250CC5","Zing je los Marijke Brunt et al 3-11 2009")</f>
        <v>0</v>
      </c>
      <c r="D6998" s="1">
        <f>hyperlink("http://www.binnenstadskrant.nl/bsk/_static/pdf/2009-3.pdf","Zing je los Marijke Brunt et al Marijke Brunt 3-11 2009")</f>
        <v>0</v>
      </c>
    </row>
    <row r="6999" spans="2:4">
      <c r="B6999">
        <v>93</v>
      </c>
      <c r="C6999" s="1">
        <f>hyperlink("https://hetutrechtsarchief.nl/collectie/7F96F222491B52109446EDA8BD3B11BA","Verkratting fotogr Patrick van der Sande 12-13 2009")</f>
        <v>0</v>
      </c>
      <c r="D6999" s="1">
        <f>hyperlink("http://www.binnenstadskrant.nl/bsk/_static/pdf/2009-3.pdf","Verkratting Patrick van der Sande 12-13 2009")</f>
        <v>0</v>
      </c>
    </row>
    <row r="7000" spans="2:4">
      <c r="B7000">
        <v>83</v>
      </c>
      <c r="C7000" s="1">
        <f>hyperlink("https://hetutrechtsarchief.nl/collectie/7E0BB5EAFA6A5A299A5C4AEC085BA16F","Dossier Vredenburg Marijke Brunt Inge Keizer en Dick Franssen 3-9 2009")</f>
        <v>0</v>
      </c>
      <c r="D7000" s="1">
        <f>hyperlink("http://www.binnenstadskrant.nl/bsk/_static/pdf/2009-4.pdf","Dossier Vredenburg Dick Brunt Marijke Keizer Inge Franssen 3-9 2009")</f>
        <v>0</v>
      </c>
    </row>
    <row r="7001" spans="2:4">
      <c r="B7001">
        <v>100</v>
      </c>
      <c r="C7001" s="1">
        <f>hyperlink("https://hetutrechtsarchief.nl/collectie/D51E0CF4C0A35563A724D37DE0370A7D","2500 parkeerplaatsen extra in Stationsgebied Marijke Brunt 7 2009")</f>
        <v>0</v>
      </c>
      <c r="D7001" s="1">
        <f>hyperlink("http://www.binnenstadskrant.nl/bsk/_static/pdf/2009-5.pdf","2500 parkeerplaatsen extra in Stationsgebied Marijke Brunt 7 2009")</f>
        <v>0</v>
      </c>
    </row>
    <row r="7002" spans="2:4">
      <c r="B7002">
        <v>100</v>
      </c>
      <c r="C7002" s="1">
        <f>hyperlink("https://hetutrechtsarchief.nl/collectie/A8291B8F74AC5070BE6B6DDCDC466703","Grote zorgen over Stationsgebied Han van Dobben 15 2009")</f>
        <v>0</v>
      </c>
      <c r="D7002" s="1">
        <f>hyperlink("http://www.binnenstadskrant.nl/bsk/_static/pdf/2009-5.pdf","Grote zorgen over Stationsgebied Han van Dobben 15 2009")</f>
        <v>0</v>
      </c>
    </row>
    <row r="7003" spans="2:4">
      <c r="B7003">
        <v>89</v>
      </c>
      <c r="C7003" s="1">
        <f>hyperlink("https://hetutrechtsarchief.nl/collectie/DB10D83D7CEF568CB821A4D7F267E8F3","Oepapata oepatata boem fotografie Saar Rypkema 12-13 2009")</f>
        <v>0</v>
      </c>
      <c r="D7003" s="1">
        <f>hyperlink("http://www.binnenstadskrant.nl/bsk/_static/pdf/2009-5.pdf","Oepapata oepatata boem Saar Rypkema 12-13 2009")</f>
        <v>0</v>
      </c>
    </row>
    <row r="7004" spans="2:4">
      <c r="B7004">
        <v>100</v>
      </c>
      <c r="C7004" s="1">
        <f>hyperlink("https://hetutrechtsarchief.nl/collectie/065013B530395543947762F3571CC342","Leegstand winkels dreigt Kees van Oosten 11 2009")</f>
        <v>0</v>
      </c>
      <c r="D7004" s="1">
        <f>hyperlink("http://www.binnenstadskrant.nl/bsk/_static/pdf/2009-5.pdf","Leegstand winkels dreigt Kees van Oosten 11 2009")</f>
        <v>0</v>
      </c>
    </row>
    <row r="7005" spans="2:4">
      <c r="B7005">
        <v>100</v>
      </c>
      <c r="C7005" s="1">
        <f>hyperlink("https://hetutrechtsarchief.nl/collectie/DED7D2CE0C455E1AAE829CF069BFD5A0","Bus nog steeds grooote vervuiler Inge Keizer 6 2009")</f>
        <v>0</v>
      </c>
      <c r="D7005" s="1">
        <f>hyperlink("http://www.binnenstadskrant.nl/bsk/_static/pdf/2009-5.pdf","Bus nog steeds grooote vervuiler Inge Keizer 6 2009")</f>
        <v>0</v>
      </c>
    </row>
    <row r="7006" spans="2:4">
      <c r="B7006">
        <v>100</v>
      </c>
      <c r="C7006" s="1">
        <f>hyperlink("https://hetutrechtsarchief.nl/collectie/79109C29DA9B5EC48B937E52E1B09A75","Utrecht rekent de lucht schoner Ben Nijssen 4-5 2009")</f>
        <v>0</v>
      </c>
      <c r="D7006" s="1">
        <f>hyperlink("http://www.binnenstadskrant.nl/bsk/_static/pdf/2009-5.pdf","Utrecht rekent de lucht schoner Ben Nijssen 4-5 2009")</f>
        <v>0</v>
      </c>
    </row>
    <row r="7007" spans="2:4">
      <c r="B7007">
        <v>100</v>
      </c>
      <c r="C7007" s="1">
        <f>hyperlink("https://hetutrechtsarchief.nl/collectie/17AEA3D7EFE85AED9F9ECD4A7A47DD6C","Willen is kunnen soms Dick Franssen 3 2009")</f>
        <v>0</v>
      </c>
      <c r="D7007" s="1">
        <f>hyperlink("http://www.binnenstadskrant.nl/bsk/_static/pdf/2009-5.pdf","Willen is kunnen soms Dick Franssen 3 2009")</f>
        <v>0</v>
      </c>
    </row>
    <row r="7008" spans="2:4">
      <c r="B7008">
        <v>100</v>
      </c>
      <c r="C7008" s="1">
        <f>hyperlink("https://hetutrechtsarchief.nl/collectie/68872631F6E550EABB13EA8DDFB19B6B","Doorgaan en niet versagen Dick Franssen 6 2010")</f>
        <v>0</v>
      </c>
      <c r="D7008" s="1">
        <f>hyperlink("http://www.binnenstadskrant.nl/bsk/_static/pdf/2010-1.pdf","Doorgaan en niet versagen Dick Franssen 6 2010")</f>
        <v>0</v>
      </c>
    </row>
    <row r="7009" spans="2:4">
      <c r="B7009">
        <v>100</v>
      </c>
      <c r="C7009" s="1">
        <f>hyperlink("https://hetutrechtsarchief.nl/collectie/E646F7F799D55655B346739157BA6D99","Ons Huis in de Wijk An Dammerman 21 2010")</f>
        <v>0</v>
      </c>
      <c r="D7009" s="1">
        <f>hyperlink("http://www.binnenstadskrant.nl/bsk/_static/pdf/2010-1.pdf","Ons Huis in de Wijk An Dammerman 21 2010")</f>
        <v>0</v>
      </c>
    </row>
    <row r="7010" spans="2:4">
      <c r="B7010">
        <v>100</v>
      </c>
      <c r="C7010" s="1">
        <f>hyperlink("https://hetutrechtsarchief.nl/collectie/440D53FEED9E54E4BA1D15F6E8C4E55E","Wethouder uitkijken voor eenzijdigheid Dick Franssen 11 2010")</f>
        <v>0</v>
      </c>
      <c r="D7010" s="1">
        <f>hyperlink("http://www.binnenstadskrant.nl/bsk/_static/pdf/2010-1.pdf","Wethouder uitkijken voor eenzijdigheid Dick Franssen 11 2010")</f>
        <v>0</v>
      </c>
    </row>
    <row r="7011" spans="2:4">
      <c r="B7011">
        <v>100</v>
      </c>
      <c r="C7011" s="1">
        <f>hyperlink("https://hetutrechtsarchief.nl/collectie/D00139F27542553983E269C06D894551","Leegstand winkels dreigt helemaal niet Gert Sjoerd Kuperus 15 2010")</f>
        <v>0</v>
      </c>
      <c r="D7011" s="1">
        <f>hyperlink("http://www.binnenstadskrant.nl/bsk/_static/pdf/2010-1.pdf","Leegstand winkels dreigt helemaal niet Gert Sjoerd Kuperus 15 2010")</f>
        <v>0</v>
      </c>
    </row>
    <row r="7012" spans="2:4">
      <c r="B7012">
        <v>100</v>
      </c>
      <c r="C7012" s="1">
        <f>hyperlink("https://hetutrechtsarchief.nl/collectie/34190FEDA31450FE806D4687180444B5","Lekker oud worden op je eigen stekkie Ben Nijssen 9 2010")</f>
        <v>0</v>
      </c>
      <c r="D7012" s="1">
        <f>hyperlink("http://www.binnenstadskrant.nl/bsk/_static/pdf/2010-1.pdf","Lekker oud worden op je eigen stekkie Ben Nijssen 9 2010")</f>
        <v>0</v>
      </c>
    </row>
    <row r="7013" spans="2:4">
      <c r="B7013">
        <v>100</v>
      </c>
      <c r="C7013" s="1">
        <f>hyperlink("https://hetutrechtsarchief.nl/collectie/E351099829F05E14A9C8E6DAD0FE5875","Persoonlijke contacten daarom gaat het Marijke Brunt 7 2010")</f>
        <v>0</v>
      </c>
      <c r="D7013" s="1">
        <f>hyperlink("http://www.binnenstadskrant.nl/bsk/_static/pdf/2010-1.pdf","Persoonlijke contacten daarom gaat het Marijke Brunt 7 2010")</f>
        <v>0</v>
      </c>
    </row>
    <row r="7014" spans="2:4">
      <c r="B7014">
        <v>100</v>
      </c>
      <c r="C7014" s="1">
        <f>hyperlink("https://hetutrechtsarchief.nl/collectie/9928D3BEDEFF5F4088AC8F9640C73773","Groningen-Utrecht-Groningen-Utrecht Peter Smids 4-5 2010")</f>
        <v>0</v>
      </c>
      <c r="D7014" s="1">
        <f>hyperlink("http://www.binnenstadskrant.nl/bsk/_static/pdf/2010-1.pdf","Groningen-Utrecht-Groningen-Utrecht Peter Smids 4-5 2010")</f>
        <v>0</v>
      </c>
    </row>
    <row r="7015" spans="2:4">
      <c r="B7015">
        <v>100</v>
      </c>
      <c r="C7015" s="1">
        <f>hyperlink("https://hetutrechtsarchief.nl/collectie/45FB1DA407A95062AA39CEC2187A5AEF","Einde dreigt voor 67 bomen op werven Ben Nijssen 3 2010")</f>
        <v>0</v>
      </c>
      <c r="D7015" s="1">
        <f>hyperlink("http://www.binnenstadskrant.nl/bsk/_static/pdf/2010-1.pdf","Einde dreigt voor 67 bomen op werven Ben Nijssen 3 2010")</f>
        <v>0</v>
      </c>
    </row>
    <row r="7016" spans="2:4">
      <c r="B7016">
        <v>90</v>
      </c>
      <c r="C7016" s="1">
        <f>hyperlink("https://hetutrechtsarchief.nl/collectie/8A230043085E5AEE83CD350568FB0402","Voorbereid zijn op het ergste Ben Nijssen en Dick Franssen 3 2010")</f>
        <v>0</v>
      </c>
      <c r="D7016" s="1">
        <f>hyperlink("http://www.binnenstadskrant.nl/bsk/_static/pdf/2010-2.pdf","Voorbereid zijn op het ergste Dick Nijssen Ben Franssen 3 2010")</f>
        <v>0</v>
      </c>
    </row>
    <row r="7017" spans="2:4">
      <c r="B7017">
        <v>100</v>
      </c>
      <c r="C7017" s="1">
        <f>hyperlink("https://hetutrechtsarchief.nl/collectie/2A20B136046952538B9EB5EF0A8D7EFA","De ordeningen van Otto Hamer alias Mijnheer I Kaa Eliane Vis 14 2010")</f>
        <v>0</v>
      </c>
      <c r="D7017" s="1">
        <f>hyperlink("http://www.binnenstadskrant.nl/bsk/_static/pdf/2010-2.pdf","De ordeningen van Otto Hamer alias Mijnheer I Kaa Eliane Vis 14 2010")</f>
        <v>0</v>
      </c>
    </row>
    <row r="7018" spans="2:4">
      <c r="B7018">
        <v>100</v>
      </c>
      <c r="C7018" s="1">
        <f>hyperlink("https://hetutrechtsarchief.nl/collectie/A0B706B573B257BD85D6A5FEDC45E5E7","Ronald Trum inspirator achter Utrecht tuinen Ben Nijssen 11 2010")</f>
        <v>0</v>
      </c>
      <c r="D7018" s="1">
        <f>hyperlink("http://www.binnenstadskrant.nl/bsk/_static/pdf/2010-2.pdf","Ronald Trum inspirator achter Utrecht tuinen Ben Nijssen 11 2010")</f>
        <v>0</v>
      </c>
    </row>
    <row r="7019" spans="2:4">
      <c r="B7019">
        <v>100</v>
      </c>
      <c r="C7019" s="1">
        <f>hyperlink("https://hetutrechtsarchief.nl/collectie/66B61ED6563C524CB25E8851E5711517","Bomen speelden vanouds rol in grachtbeeld Ben Nijssen 8-9 2010")</f>
        <v>0</v>
      </c>
      <c r="D7019" s="1">
        <f>hyperlink("http://www.binnenstadskrant.nl/bsk/_static/pdf/2010-2.pdf","Bomen speelden vanouds rol in grachtbeeld Ben Nijssen 8-9 2010")</f>
        <v>0</v>
      </c>
    </row>
    <row r="7020" spans="2:4">
      <c r="B7020">
        <v>100</v>
      </c>
      <c r="C7020" s="1">
        <f>hyperlink("https://hetutrechtsarchief.nl/collectie/72A035A419565FD28508F537E8E050E1","Bomencomit maakt een vuist Ben Nijssen 8 2010")</f>
        <v>0</v>
      </c>
      <c r="D7020" s="1">
        <f>hyperlink("http://www.binnenstadskrant.nl/bsk/_static/pdf/2010-2.pdf","Bomencomit maakt een vuist Ben Nijssen 8 2010")</f>
        <v>0</v>
      </c>
    </row>
    <row r="7021" spans="2:4">
      <c r="B7021">
        <v>100</v>
      </c>
      <c r="C7021" s="1">
        <f>hyperlink("https://hetutrechtsarchief.nl/collectie/248ED7DACE9152CAB376688788A79B25","Tweetakt ademt creativiteit Jacqueline van Eimeren 5 2010")</f>
        <v>0</v>
      </c>
      <c r="D7021" s="1">
        <f>hyperlink("http://www.binnenstadskrant.nl/bsk/_static/pdf/2010-2.pdf","Tweetakt ademt creativiteit Jacqueline van Eimeren 5 2010")</f>
        <v>0</v>
      </c>
    </row>
    <row r="7022" spans="2:4">
      <c r="B7022">
        <v>100</v>
      </c>
      <c r="C7022" s="1">
        <f>hyperlink("https://hetutrechtsarchief.nl/collectie/A97327C0F08A530487D319700EA82D06","Muziek op en over het water Marijke Brunt 4 2010")</f>
        <v>0</v>
      </c>
      <c r="D7022" s="1">
        <f>hyperlink("http://www.binnenstadskrant.nl/bsk/_static/pdf/2010-2.pdf","Muziek op en over het water Marijke Brunt 4 2010")</f>
        <v>0</v>
      </c>
    </row>
    <row r="7023" spans="2:4">
      <c r="B7023">
        <v>100</v>
      </c>
      <c r="C7023" s="1">
        <f>hyperlink("https://hetutrechtsarchief.nl/collectie/ED94BF735BA35B35BA555A7BB3B96375","Licht maakt de stad nieuw Eliane Vis 8 2010")</f>
        <v>0</v>
      </c>
      <c r="D7023" s="1">
        <f>hyperlink("http://www.binnenstadskrant.nl/bsk/_static/pdf/2010-3.pdf","Licht maakt de stad nieuw Eliane Vis 8 2010")</f>
        <v>0</v>
      </c>
    </row>
    <row r="7024" spans="2:4">
      <c r="B7024">
        <v>100</v>
      </c>
      <c r="C7024" s="1">
        <f>hyperlink("https://hetutrechtsarchief.nl/collectie/54A011ADF23D5DA6AF1AA5B8FAD2804F","De Binnenstad trilt Inge Keizer 4-5 2010")</f>
        <v>0</v>
      </c>
      <c r="D7024" s="1">
        <f>hyperlink("http://www.binnenstadskrant.nl/bsk/_static/pdf/2010-3.pdf","De Binnenstad trilt Inge Keizer 4-5 2010")</f>
        <v>0</v>
      </c>
    </row>
    <row r="7025" spans="2:4">
      <c r="B7025">
        <v>100</v>
      </c>
      <c r="C7025" s="1">
        <f>hyperlink("https://hetutrechtsarchief.nl/collectie/012667AB6A385DE6B0812A7DC633EC09","Steden met trams zijn groot en internationaal Gert Sjoerd Kuperus 14-15 2010")</f>
        <v>0</v>
      </c>
      <c r="D7025" s="1">
        <f>hyperlink("http://www.binnenstadskrant.nl/bsk/_static/pdf/2010-4.pdf","Steden met trams zijn groot en internationaal Gert Sjoerd Kuperus 14-15 2010")</f>
        <v>0</v>
      </c>
    </row>
    <row r="7026" spans="2:4">
      <c r="B7026">
        <v>79</v>
      </c>
      <c r="C7026" s="1">
        <f>hyperlink("https://hetutrechtsarchief.nl/collectie/61C2BD40F26D5C7195D76BA1726D620C","Stromend water fotogr Patrick van der Sande 12-13 2010")</f>
        <v>0</v>
      </c>
      <c r="D7026" s="1">
        <f>hyperlink("http://www.binnenstadskrant.nl/bsk/_static/pdf/2010-4.pdf","Stromend water fotografie Patrick van der Sande Patrick van der Sande 12 - 13 2010")</f>
        <v>0</v>
      </c>
    </row>
    <row r="7027" spans="2:4">
      <c r="B7027">
        <v>100</v>
      </c>
      <c r="C7027" s="1">
        <f>hyperlink("https://hetutrechtsarchief.nl/collectie/AA34BE19B0F15986BD08CF10316A3F69","Afdalen naar oud Utrecht Dick Franssen 9 2010")</f>
        <v>0</v>
      </c>
      <c r="D7027" s="1">
        <f>hyperlink("http://www.binnenstadskrant.nl/bsk/_static/pdf/2010-4.pdf","Afdalen naar oud Utrecht Dick Franssen 9 2010")</f>
        <v>0</v>
      </c>
    </row>
    <row r="7028" spans="2:4">
      <c r="B7028">
        <v>100</v>
      </c>
      <c r="C7028" s="1">
        <f>hyperlink("https://hetutrechtsarchief.nl/collectie/635E972880DE5320A0C897C2E2ED00A3","Havenmeester stelt veiligheid voorop Ben Nijssen 10-11 2010")</f>
        <v>0</v>
      </c>
      <c r="D7028" s="1">
        <f>hyperlink("http://www.binnenstadskrant.nl/bsk/_static/pdf/2010-4.pdf","Havenmeester stelt veiligheid voorop Ben Nijssen 10-11 2010")</f>
        <v>0</v>
      </c>
    </row>
    <row r="7029" spans="2:4">
      <c r="B7029">
        <v>85</v>
      </c>
      <c r="C7029" s="1">
        <f>hyperlink("https://hetutrechtsarchief.nl/collectie/5EE6A7F9BAD851ECB44C3626BE8701F8","Wortels gekapte bomen onder de loep Ben Nijssen 14 2010")</f>
        <v>0</v>
      </c>
      <c r="D7029" s="1">
        <f>hyperlink("http://www.binnenstadskrant.nl/bsk/_static/pdf/2010-5.pdf","Wortels gekapte bomen onder de loep Sander Griffioen 14 2010")</f>
        <v>0</v>
      </c>
    </row>
    <row r="7030" spans="2:4">
      <c r="B7030">
        <v>100</v>
      </c>
      <c r="C7030" s="1">
        <f>hyperlink("https://hetutrechtsarchief.nl/collectie/24F3EA90A3C75BC8A3CEB53521C93D0F","Taxiplatform wordt expeditiehof Dick Franssen 11 2010")</f>
        <v>0</v>
      </c>
      <c r="D7030" s="1">
        <f>hyperlink("http://www.binnenstadskrant.nl/bsk/_static/pdf/2010-5.pdf","Taxiplatform wordt expeditiehof Dick Franssen 11 2010")</f>
        <v>0</v>
      </c>
    </row>
    <row r="7031" spans="2:4">
      <c r="B7031">
        <v>100</v>
      </c>
      <c r="C7031" s="1">
        <f>hyperlink("https://hetutrechtsarchief.nl/collectie/8E39EF08A08D5F62BD65F27CF7009CB6","Qbuzz belooft schonere bussen Ben Nijssen 8 2010")</f>
        <v>0</v>
      </c>
      <c r="D7031" s="1">
        <f>hyperlink("http://www.binnenstadskrant.nl/bsk/_static/pdf/2010-5.pdf","Qbuzz belooft schonere bussen Ben Nijssen 8 2010")</f>
        <v>0</v>
      </c>
    </row>
    <row r="7032" spans="2:4">
      <c r="B7032">
        <v>71</v>
      </c>
      <c r="C7032" s="1">
        <f>hyperlink("https://hetutrechtsarchief.nl/collectie/17AEA3D7EFE85AED9F9ECD4A7A47DD6C","Willen is kunnen soms Dick Franssen 3 2009")</f>
        <v>0</v>
      </c>
      <c r="D7032" s="1">
        <f>hyperlink("http://www.binnenstadskrant.nl/bsk/_static/pdf/2010-5.pdf","Gaming is big business Dick Franssen 5 2010")</f>
        <v>0</v>
      </c>
    </row>
    <row r="7033" spans="2:4">
      <c r="B7033">
        <v>66</v>
      </c>
      <c r="C7033" s="1">
        <f>hyperlink("https://hetutrechtsarchief.nl/collectie/56ECECA168DC504BAC9D3CDEDF2F9127","Hoe dan ook naar de overkant Onder red van Dick Franssen 3-9 2016")</f>
        <v>0</v>
      </c>
      <c r="D7033" s="1">
        <f>hyperlink("http://www.binnenstadskrant.nl/bsk/_static/pdf/2010-5.pdf","Toegangspoort naar virtuele wereld Dick Franssen 4-5 2010")</f>
        <v>0</v>
      </c>
    </row>
    <row r="7034" spans="2:4">
      <c r="B7034">
        <v>100</v>
      </c>
      <c r="C7034" s="1">
        <f>hyperlink("https://hetutrechtsarchief.nl/collectie/C9B562D54A6D52E8958FCAD85B682FA8","Kerkje kijken je eigen waarheid zoeken Marijke Brunt 15 2011")</f>
        <v>0</v>
      </c>
      <c r="D7034" s="1">
        <f>hyperlink("http://www.binnenstadskrant.nl/bsk/_static/pdf/2011-2.pdf","Kerkje kijken je eigen waarheid zoeken Marijke Brunt 15 2011")</f>
        <v>0</v>
      </c>
    </row>
    <row r="7035" spans="2:4">
      <c r="B7035">
        <v>100</v>
      </c>
      <c r="C7035" s="1">
        <f>hyperlink("https://hetutrechtsarchief.nl/collectie/E3CD473DF71B5E8F9DDBEE57584FCE7E","Grachtenwater komt uit drie kranen Gert Sjoerd Kuperus 14 2011")</f>
        <v>0</v>
      </c>
      <c r="D7035" s="1">
        <f>hyperlink("http://www.binnenstadskrant.nl/bsk/_static/pdf/2011-3.pdf","Grachtenwater komt uit drie kranen Gert Sjoerd Kuperus 14 2011")</f>
        <v>0</v>
      </c>
    </row>
    <row r="7036" spans="2:4">
      <c r="B7036">
        <v>95</v>
      </c>
      <c r="C7036" s="1">
        <f>hyperlink("https://hetutrechtsarchief.nl/collectie/14D00D2A58365AF8A795A11F633DC5B6","Thuis tussen linkse boeken Eliane Vos 4 2011")</f>
        <v>0</v>
      </c>
      <c r="D7036" s="1">
        <f>hyperlink("http://www.binnenstadskrant.nl/bsk/_static/pdf/2011-5.pdf","Thuis tussen linkse boeken Elaine Vis 4 2011")</f>
        <v>0</v>
      </c>
    </row>
    <row r="7037" spans="2:4">
      <c r="B7037">
        <v>100</v>
      </c>
      <c r="C7037" s="1">
        <f>hyperlink("https://hetutrechtsarchief.nl/collectie/C0499D9A9A2E57738035D39171D009F4","Een echte sterrenlucht zie je hier niet Marijke Brunt 6 2011")</f>
        <v>0</v>
      </c>
      <c r="D7037" s="1">
        <f>hyperlink("http://www.binnenstadskrant.nl/bsk/_static/pdf/2011-5.pdf","Een echte sterrenlucht zie je hier niet Marijke Brunt 6 2011")</f>
        <v>0</v>
      </c>
    </row>
    <row r="7038" spans="2:4">
      <c r="B7038">
        <v>100</v>
      </c>
      <c r="C7038" s="1">
        <f>hyperlink("https://hetutrechtsarchief.nl/collectie/B6FF0CC18C565581BC6AB5806B3E5A67","Muziekpaleis draait in september 2014 Ben Nijssen 9 2011")</f>
        <v>0</v>
      </c>
      <c r="D7038" s="1">
        <f>hyperlink("http://www.binnenstadskrant.nl/bsk/_static/pdf/2011-5.pdf","Muziekpaleis draait in september 2014 Ben Nijssen 9 2011")</f>
        <v>0</v>
      </c>
    </row>
    <row r="7039" spans="2:4">
      <c r="B7039">
        <v>87</v>
      </c>
      <c r="C7039" s="1">
        <f>hyperlink("https://hetutrechtsarchief.nl/collectie/1DF020FFD24D52BBB9225F38C929E496","Andere onmisbaren fotografie Sjaak Ramakers 12-13 2011")</f>
        <v>0</v>
      </c>
      <c r="D7039" s="1">
        <f>hyperlink("http://www.binnenstadskrant.nl/bsk/_static/pdf/2011-5.pdf","Andere onmisbaren Sjaak Ramakers 12 - 13 2011")</f>
        <v>0</v>
      </c>
    </row>
    <row r="7040" spans="2:4">
      <c r="B7040">
        <v>61</v>
      </c>
      <c r="C7040" s="1">
        <f>hyperlink("https://hetutrechtsarchief.nl/collectie/ED94BF735BA35B35BA555A7BB3B96375","Licht maakt de stad nieuw Eliane Vis 8 2010")</f>
        <v>0</v>
      </c>
      <c r="D7040" s="1">
        <f>hyperlink("http://www.binnenstadskrant.nl/bsk/_static/pdf/2011-5.pdf","Je kunt gemakkelijk op straat belanden Eliane Vis 8 2011")</f>
        <v>0</v>
      </c>
    </row>
    <row r="7041" spans="2:4">
      <c r="B7041">
        <v>53</v>
      </c>
      <c r="C7041" s="1">
        <f>hyperlink("https://hetutrechtsarchief.nl/collectie/F4AD47C61032594087BE86721739BC63","Emigrante naar Suriname Evert Jan van Beek 81 2014")</f>
        <v>0</v>
      </c>
      <c r="D7041" s="1">
        <f>hyperlink("http://www.binnenstadskrant.nl/bsk/_static/pdf/2012-1.pdf","Ganzenmarkt blijft nog bezet Nynke Kok 8 2012")</f>
        <v>0</v>
      </c>
    </row>
    <row r="7042" spans="2:4">
      <c r="B7042">
        <v>66</v>
      </c>
      <c r="C7042" s="1">
        <f>hyperlink("https://hetutrechtsarchief.nl/collectie/1DF020FFD24D52BBB9225F38C929E496","Andere onmisbaren fotografie Sjaak Ramakers 12-13 2011")</f>
        <v>0</v>
      </c>
      <c r="D7042" s="1">
        <f>hyperlink("http://www.binnenstadskrant.nl/bsk/_static/pdf/2012-1.pdf","Alles wordt anders in 2012 fotofgrafie Sjaak Ramakers Sjaak Ramakers 12-13 2012")</f>
        <v>0</v>
      </c>
    </row>
    <row r="7043" spans="2:4">
      <c r="B7043">
        <v>76</v>
      </c>
      <c r="C7043" s="1">
        <f>hyperlink("https://hetutrechtsarchief.nl/collectie/5DC7BCB638AD58B6A8F1E4452C21379B","Domplein met stoffertje afgraven fotografie Sjaak Ramakers en Patrick van der Sande 12-13 2012")</f>
        <v>0</v>
      </c>
      <c r="D7043" s="1">
        <f>hyperlink("http://www.binnenstadskrant.nl/bsk/_static/pdf/2012-2.pdf","Domplein met stoffertje afgraven Patrick van der Ramakers Sjaak Sande 12 - 13 2012")</f>
        <v>0</v>
      </c>
    </row>
    <row r="7044" spans="2:4">
      <c r="B7044">
        <v>99</v>
      </c>
      <c r="C7044" s="1">
        <f>hyperlink("https://hetutrechtsarchief.nl/collectie/5C6516F476635CDD820818B3AAF66E9D","Voorstraat tusen hoop en vrees Dick Franssen 7 2012")</f>
        <v>0</v>
      </c>
      <c r="D7044" s="1">
        <f>hyperlink("http://www.binnenstadskrant.nl/bsk/_static/pdf/2012-2.pdf","Voorstraat tussen hoop en vrees Dick Franssen 7 2012")</f>
        <v>0</v>
      </c>
    </row>
    <row r="7045" spans="2:4">
      <c r="B7045">
        <v>100</v>
      </c>
      <c r="C7045" s="1">
        <f>hyperlink("https://hetutrechtsarchief.nl/collectie/2AB5EA9478EB50B9A9A183056CB733F8","Watertoren staat alleen maar mooi te zijn Jacqueline van Eimeren 4-5 2012")</f>
        <v>0</v>
      </c>
      <c r="D7045" s="1">
        <f>hyperlink("http://www.binnenstadskrant.nl/bsk/_static/pdf/2012-3.pdf","Watertoren staat alleen maar mooi te zijn Jacqueline van Eimeren 4-5 2012")</f>
        <v>0</v>
      </c>
    </row>
    <row r="7046" spans="2:4">
      <c r="B7046">
        <v>100</v>
      </c>
      <c r="C7046" s="1">
        <f>hyperlink("https://hetutrechtsarchief.nl/collectie/42444A8D527B5352AEB15238C64BE767","Pistachegroene en mangogele verkoeling Eliane Vis 8 2012")</f>
        <v>0</v>
      </c>
      <c r="D7046" s="1">
        <f>hyperlink("http://www.binnenstadskrant.nl/bsk/_static/pdf/2012-3.pdf","Pistachegroene en mangogele verkoeling Eliane Vis 8 2012")</f>
        <v>0</v>
      </c>
    </row>
    <row r="7047" spans="2:4">
      <c r="B7047">
        <v>100</v>
      </c>
      <c r="C7047" s="1">
        <f>hyperlink("https://hetutrechtsarchief.nl/collectie/94774E737AED51CB9F804DF2D6710CB1","Tuintovenaars Gerard Arnickhof 12-13 2012")</f>
        <v>0</v>
      </c>
      <c r="D7047" s="1">
        <f>hyperlink("http://www.binnenstadskrant.nl/bsk/_static/pdf/2012-3.pdf","Tuintovenaars Gerard Arnickhof 12-13 2012")</f>
        <v>0</v>
      </c>
    </row>
    <row r="7048" spans="2:4">
      <c r="B7048">
        <v>91</v>
      </c>
      <c r="C7048" s="1">
        <f>hyperlink("https://hetutrechtsarchief.nl/collectie/4F30DDC48BF85BBB9127AA4D611FC310","Halte Universiteit studeren in stadshart Marijke Brunt et al 3-13 2012")</f>
        <v>0</v>
      </c>
      <c r="D7048" s="1">
        <f>hyperlink("http://www.binnenstadskrant.nl/bsk/_static/pdf/2012-4.pdf","Halte Universiteit studeren in stadshart Marijke Brunt et al Marijke Brunt 3-13 2012")</f>
        <v>0</v>
      </c>
    </row>
    <row r="7049" spans="2:4">
      <c r="B7049">
        <v>100</v>
      </c>
      <c r="C7049" s="1">
        <f>hyperlink("https://hetutrechtsarchief.nl/collectie/E50670565D22567681A9B67770600C48","Onuitroeibare verhalen over geheime gangen Jacqueline van Eimeren 8 2012")</f>
        <v>0</v>
      </c>
      <c r="D7049" s="1">
        <f>hyperlink("http://www.binnenstadskrant.nl/bsk/_static/pdf/2012-5.pdf","Onuitroeibare verhalen over geheime gangen Jacqueline van Eimeren 8 2012")</f>
        <v>0</v>
      </c>
    </row>
    <row r="7050" spans="2:4">
      <c r="B7050">
        <v>91</v>
      </c>
      <c r="C7050" s="1">
        <f>hyperlink("https://hetutrechtsarchief.nl/collectie/D95BD511844A5A36A27189DF42056D00","Kijk omlaag Sammy foto s Gerard Arninkhof 12-13 2013")</f>
        <v>0</v>
      </c>
      <c r="D7050" s="1">
        <f>hyperlink("http://www.binnenstadskrant.nl/bsk/_static/pdf/2013-1.pdf","Kijk omlaag Sammy Gerard Arninkhof 12 - 13 2013")</f>
        <v>0</v>
      </c>
    </row>
    <row r="7051" spans="2:4">
      <c r="B7051">
        <v>100</v>
      </c>
      <c r="C7051" s="1">
        <f>hyperlink("https://hetutrechtsarchief.nl/collectie/68938C185AF8543CAF186D69E0B785E5","Verkenningen in de bouwput Dick Franssen 14-15 2013")</f>
        <v>0</v>
      </c>
      <c r="D7051" s="1">
        <f>hyperlink("http://www.binnenstadskrant.nl/bsk/_static/pdf/2013-1.pdf","Verkenningen in de bouwput Dick Franssen 14-15 2013")</f>
        <v>0</v>
      </c>
    </row>
    <row r="7052" spans="2:4">
      <c r="B7052">
        <v>100</v>
      </c>
      <c r="C7052" s="1">
        <f>hyperlink("https://hetutrechtsarchief.nl/collectie/DA38A9ABB425522FBD405E3CB82DEED6","2013 tussenjaar voor het Stationsgebied Ineke Inklaar 16 2013")</f>
        <v>0</v>
      </c>
      <c r="D7052" s="1">
        <f>hyperlink("http://www.binnenstadskrant.nl/bsk/_static/pdf/2013-1.pdf","2013 tussenjaar voor het Stationsgebied Ineke Inklaar 16 2013")</f>
        <v>0</v>
      </c>
    </row>
    <row r="7053" spans="2:4">
      <c r="B7053">
        <v>77</v>
      </c>
      <c r="C7053" s="1">
        <f>hyperlink("https://hetutrechtsarchief.nl/collectie/77514A4E1B8D5F0390E0444334312BDB","Standhoudende familiebedrijven tekst Ineke Inklaar fotografie Saar Rypkema 12-13 2013")</f>
        <v>0</v>
      </c>
      <c r="D7053" s="1">
        <f>hyperlink("http://www.binnenstadskrant.nl/bsk/_static/pdf/2013-2.pdf","Standhoudende familiebedrijven Ineke Inklaar 12 - 13 2013")</f>
        <v>0</v>
      </c>
    </row>
    <row r="7054" spans="2:4">
      <c r="B7054">
        <v>85</v>
      </c>
      <c r="C7054" s="1">
        <f>hyperlink("https://hetutrechtsarchief.nl/collectie/8D87D0071D0751979E524A0892F043A1","Wonen boven winkels komt langzaam terug Marijke Brunt fotografie Saar Rypkema 6 2013")</f>
        <v>0</v>
      </c>
      <c r="D7054" s="1">
        <f>hyperlink("http://www.binnenstadskrant.nl/bsk/_static/pdf/2013-2.pdf","Wonen boven winkels komt langzaam terug Saar Brunt Marijke Rypkema 6 2013")</f>
        <v>0</v>
      </c>
    </row>
    <row r="7055" spans="2:4">
      <c r="B7055">
        <v>100</v>
      </c>
      <c r="C7055" s="1">
        <f>hyperlink("https://hetutrechtsarchief.nl/collectie/6908FCE7411153C8AFA381E16785F42F","Auto bron van inkomsten fiets uitgavenpost Ben Nijssen 14 2013")</f>
        <v>0</v>
      </c>
      <c r="D7055" s="1">
        <f>hyperlink("http://www.binnenstadskrant.nl/bsk/_static/pdf/2013-2.pdf","Auto bron van inkomsten fiets uitgavenpost Ben Nijssen 14 2013")</f>
        <v>0</v>
      </c>
    </row>
    <row r="7056" spans="2:4">
      <c r="B7056">
        <v>99</v>
      </c>
      <c r="C7056" s="1">
        <f>hyperlink("https://hetutrechtsarchief.nl/collectie/63CEA4C7F37553B58221A2276EF260CF","Gelukkig walmt het wereldberoemde stinkschip weer Ineke Inklaar 4 2013")</f>
        <v>0</v>
      </c>
      <c r="D7056" s="1">
        <f>hyperlink("http://www.binnenstadskrant.nl/bsk/_static/pdf/2013-3.pdf","Gelukkig walmt het wereldberoemde stinkschip weer Ineke Inklaar 3 2013")</f>
        <v>0</v>
      </c>
    </row>
    <row r="7057" spans="2:4">
      <c r="B7057">
        <v>79</v>
      </c>
      <c r="C7057" s="1">
        <f>hyperlink("https://hetutrechtsarchief.nl/collectie/83F5F50EB7675CCD85B31AE4011A12E5","De bomen- en planten Top Drie Marijke Brunt fotogr Patrick van der Sande 14-15 2013")</f>
        <v>0</v>
      </c>
      <c r="D7057" s="1">
        <f>hyperlink("http://www.binnenstadskrant.nl/bsk/_static/pdf/2013-3.pdf","De bomen- en planten Top Drie Marijke Brunt 14-15 2013")</f>
        <v>0</v>
      </c>
    </row>
    <row r="7058" spans="2:4">
      <c r="B7058">
        <v>100</v>
      </c>
      <c r="C7058" s="1">
        <f>hyperlink("https://hetutrechtsarchief.nl/collectie/4E25B9167536595EB96A5E747BD93197","Tien keer hetzelfde verhaal speeddate in Leeuwenbergh Dick Franssen 11 16 2006")</f>
        <v>0</v>
      </c>
      <c r="D7058" s="1">
        <f>hyperlink("http://www.binnenstadskrant.nl/bsk/article?id=286","Tien keer hetzelfde verhaal speeddate in Leeuwenbergh Dick Franssen 11 16 2006")</f>
        <v>0</v>
      </c>
    </row>
    <row r="7059" spans="2:4">
      <c r="B7059">
        <v>100</v>
      </c>
      <c r="C7059" s="1">
        <f>hyperlink("https://hetutrechtsarchief.nl/collectie/DEA69FBE4EB357D78AC9F4DD04E06501","Water in de singel Hoe nu verder Ben Nijssen 2001")</f>
        <v>0</v>
      </c>
      <c r="D7059" s="1">
        <f>hyperlink("http://www.binnenstadskrant.nl/bsk/article?id=37","Water in de singel Hoe nu verder Ben Nijssen 2001")</f>
        <v>0</v>
      </c>
    </row>
    <row r="7060" spans="2:4">
      <c r="B7060">
        <v>99</v>
      </c>
      <c r="C7060" s="1">
        <f>hyperlink("https://hetutrechtsarchief.nl/collectie/8A78E86E5C8F5D67AFCBCAAB8705885B","Sterrrenhof van bejaardenhofje naar yuppentuin Josina Heuvelsland 5 2001")</f>
        <v>0</v>
      </c>
      <c r="D7060" s="1">
        <f>hyperlink("http://www.binnenstadskrant.nl/bsk/article?id=38","Sterrenhof van bejaardenhofje naar yuppentuin Josina Heuvelsland 5 2001")</f>
        <v>0</v>
      </c>
    </row>
    <row r="7061" spans="2:4">
      <c r="B7061">
        <v>100</v>
      </c>
      <c r="C7061" s="1">
        <f>hyperlink("https://hetutrechtsarchief.nl/collectie/E5995795719B57D883D21A94E1216D94","Joods cultureel centrum in Nieuwegracht 92 18 2001")</f>
        <v>0</v>
      </c>
      <c r="D7061" s="1">
        <f>hyperlink("http://www.binnenstadskrant.nl/bsk/article?id=40","Joods cultureel centrum in Nieuwegracht 92 18 2001")</f>
        <v>0</v>
      </c>
    </row>
    <row r="7062" spans="2:4">
      <c r="B7062">
        <v>100</v>
      </c>
      <c r="C7062" s="1">
        <f>hyperlink("https://hetutrechtsarchief.nl/collectie/EC3B06D68DEA57D996AC1AC2F7B085E0","Duitsche Orde beheert miljoenen Marijke Brunt 12 2009")</f>
        <v>0</v>
      </c>
      <c r="D7062" s="1">
        <f>hyperlink("http://www.binnenstadskrant.nl/bsk/article?id=482","Duitsche Orde beheert miljoenen Marijke Brunt 12 2009")</f>
        <v>0</v>
      </c>
    </row>
    <row r="7063" spans="2:4">
      <c r="B7063">
        <v>100</v>
      </c>
      <c r="C7063" s="1">
        <f>hyperlink("https://hetutrechtsarchief.nl/collectie/6D38B1DF70E45801B22C1DBDD6930361","Ridders van de goede werken Dick Franssen 13 2009")</f>
        <v>0</v>
      </c>
      <c r="D7063" s="1">
        <f>hyperlink("http://www.binnenstadskrant.nl/bsk/article?id=484","Ridders van de goede werken Dick Franssen 13 2009")</f>
        <v>0</v>
      </c>
    </row>
    <row r="7064" spans="2:4">
      <c r="B7064">
        <v>100</v>
      </c>
      <c r="C7064" s="1">
        <f>hyperlink("https://hetutrechtsarchief.nl/collectie/4015BF3A36E85E51A829AE26011A152A","Fietsen voor je leven Jacqueline van Eimeren 4-5 2012")</f>
        <v>0</v>
      </c>
      <c r="D7064" s="1">
        <f>hyperlink("http://www.binnenstadskrant.nl/bsk/article?id=646","Fietsen voor je leven Jacqueline van Eimeren 4-5 2012")</f>
        <v>0</v>
      </c>
    </row>
    <row r="7065" spans="2:4">
      <c r="B7065">
        <v>96</v>
      </c>
      <c r="C7065" s="1">
        <f>hyperlink("https://hetutrechtsarchief.nl/collectie/7F1199F09A515751B59BD13531EEBB6B","Ondernemen in de stadsjungle Eliane Vis 6-7 2012")</f>
        <v>0</v>
      </c>
      <c r="D7065" s="1">
        <f>hyperlink("http://www.binnenstadskrant.nl/bsk/article?id=650","Ondernemen in de stadsjungle Eliane Vis 4-5 2012")</f>
        <v>0</v>
      </c>
    </row>
    <row r="7066" spans="2:4">
      <c r="B7066">
        <v>81</v>
      </c>
      <c r="C7066" s="1">
        <f>hyperlink("https://hetutrechtsarchief.nl/collectie/1CC63CC186F057A8BEA0CD4E5A76EB73","Aftellen in stationsgebied met bijdr van Arend Ode et al 3-23 2007")</f>
        <v>0</v>
      </c>
      <c r="D7066" s="1">
        <f>hyperlink("http://www.binnenstadskrant.nl/bsk/content/pdf/2007-2.pdf","Aftellen in stationsgebied Arend Od et al Arend Od 3-23 2007")</f>
        <v>0</v>
      </c>
    </row>
    <row r="7067" spans="2:4">
      <c r="B7067">
        <v>100</v>
      </c>
      <c r="C7067" s="1">
        <f>hyperlink("https://hetutrechtsarchief.nl/collectie/35A8ED7D5CB15284964FE9EF06EE0971","Kijk daar 13 de Sinte Marie Frank Kaiser 11 2007")</f>
        <v>0</v>
      </c>
      <c r="D7067" s="1">
        <f>hyperlink("http://www.binnenstadskrant.nl/bsk/content/pdf/2007-3.pdf","Kijk daar 13 de Sinte Marie Frank Kaiser 11 2007")</f>
        <v>0</v>
      </c>
    </row>
    <row r="7068" spans="2:4">
      <c r="B7068">
        <v>100</v>
      </c>
      <c r="C7068" s="1">
        <f>hyperlink("https://hetutrechtsarchief.nl/collectie/5C1CD7854F655EB693A25F414F6460B0","Kijk daar 14 Vollersbrug Frank Kaiser 14 2007")</f>
        <v>0</v>
      </c>
      <c r="D7068" s="1">
        <f>hyperlink("http://www.binnenstadskrant.nl/bsk/content/pdf/2007-4.pdf","Kijk daar 14 Vollersbrug Frank Kaiser 14 2007")</f>
        <v>0</v>
      </c>
    </row>
    <row r="7069" spans="2:4">
      <c r="B7069">
        <v>100</v>
      </c>
      <c r="C7069" s="1">
        <f>hyperlink("https://hetutrechtsarchief.nl/collectie/464DC89BBD5D5EAC83647025A9FFEBC5","Veranderde tijden in Meisjesstad Jacqueline van Eimeren 8 2007")</f>
        <v>0</v>
      </c>
      <c r="D7069" s="1">
        <f>hyperlink("http://www.binnenstadskrant.nl/bsk/content/pdf/2007-4.pdf","Veranderde tijden in Meisjesstad Jacqueline van Eimeren 8 2007")</f>
        <v>0</v>
      </c>
    </row>
    <row r="7070" spans="2:4">
      <c r="B7070">
        <v>100</v>
      </c>
      <c r="C7070" s="1">
        <f>hyperlink("https://hetutrechtsarchief.nl/collectie/6BE1202B464552FDA96675F996F7E4CC","Een bed in de Binnenstad voor passant en behoeftige over fundaties cameren en gasthuizen Ben Nijssen 4-5 2007")</f>
        <v>0</v>
      </c>
      <c r="D7070" s="1">
        <f>hyperlink("http://www.binnenstadskrant.nl/bsk/content/pdf/2007-4.pdf","Een bed in de Binnenstad voor passant en behoeftige over fundaties cameren en gasthuizen Ben Nijssen 4-5 2007")</f>
        <v>0</v>
      </c>
    </row>
    <row r="7071" spans="2:4">
      <c r="B7071">
        <v>100</v>
      </c>
      <c r="C7071" s="1">
        <f>hyperlink("https://hetutrechtsarchief.nl/collectie/6479311496275594910F8279F738CE48","Kijk daar 15 gedoe rond Minderbroeder klooster Frank Kaiser 15 2007")</f>
        <v>0</v>
      </c>
      <c r="D7071" s="1">
        <f>hyperlink("http://www.binnenstadskrant.nl/bsk/content/pdf/2007-5.pdf","Kijk daar 15 gedoe rond Minderbroeder klooster Frank Kaiser 15 2007")</f>
        <v>0</v>
      </c>
    </row>
    <row r="7072" spans="2:4">
      <c r="B7072">
        <v>100</v>
      </c>
      <c r="C7072" s="1">
        <f>hyperlink("https://hetutrechtsarchief.nl/collectie/854CCF44115D57789694AE86A6A9C4FA","Projectmanager Stationsgebied Publieke opinie verandert Dick Franssen 11 2007")</f>
        <v>0</v>
      </c>
      <c r="D7072" s="1">
        <f>hyperlink("http://www.binnenstadskrant.nl/bsk/content/pdf/2007-5.pdf","Projectmanager Stationsgebied Publieke opinie verandert Dick Franssen 11 2007")</f>
        <v>0</v>
      </c>
    </row>
    <row r="7073" spans="2:4">
      <c r="B7073">
        <v>100</v>
      </c>
      <c r="C7073" s="1">
        <f>hyperlink("https://hetutrechtsarchief.nl/collectie/D94326E8CA5D50A49D25459D1676E82F","Geen Engelse toestanden Utrechtse riolen in goede conditie Ben Nijssen 10 2007")</f>
        <v>0</v>
      </c>
      <c r="D7073" s="1">
        <f>hyperlink("http://www.binnenstadskrant.nl/bsk/content/pdf/2007-5.pdf","Geen Engelse toestanden Utrechtse riolen in goede conditie Ben Nijssen 10 2007")</f>
        <v>0</v>
      </c>
    </row>
    <row r="7074" spans="2:4">
      <c r="B7074">
        <v>100</v>
      </c>
      <c r="C7074" s="1">
        <f>hyperlink("https://hetutrechtsarchief.nl/collectie/AAB90EAB4F2C514A9D9B507FB38E057B","Veel smerigheid in de grond Jesse Pouw 9 2007")</f>
        <v>0</v>
      </c>
      <c r="D7074" s="1">
        <f>hyperlink("http://www.binnenstadskrant.nl/bsk/content/pdf/2007-5.pdf","Veel smerigheid in de grond Jesse Pouw 9 2007")</f>
        <v>0</v>
      </c>
    </row>
    <row r="7075" spans="2:4">
      <c r="B7075">
        <v>100</v>
      </c>
      <c r="C7075" s="1">
        <f>hyperlink("https://hetutrechtsarchief.nl/collectie/E4D0114700CA5F8281BDAD8104F9474F","Een vernietigende bezigheid Tarq Hoekstra 68 en zijn passie voor archeologie Jesse Pouw 6 2007")</f>
        <v>0</v>
      </c>
      <c r="D7075" s="1">
        <f>hyperlink("http://www.binnenstadskrant.nl/bsk/content/pdf/2007-5.pdf","Een vernietigende bezigheid Tarq Hoekstra 68 en zijn passie voor archeologie Jesse Pouw 6 2007")</f>
        <v>0</v>
      </c>
    </row>
    <row r="7076" spans="2:4">
      <c r="B7076">
        <v>100</v>
      </c>
      <c r="C7076" s="1">
        <f>hyperlink("https://hetutrechtsarchief.nl/collectie/61E9BC8227DF54C98F9DDB154205CFB1","Het domein van de doden Stinkende dampen en vuile uitwasemingen Marijke Brunt 3 14 2007")</f>
        <v>0</v>
      </c>
      <c r="D7076" s="1">
        <f>hyperlink("http://www.binnenstadskrant.nl/bsk/content/pdf/2007-5.pdf","Het domein van de doden stinkende dampen en vuile uitwasemingen Marijke Brunt 3 14 2007")</f>
        <v>0</v>
      </c>
    </row>
    <row r="7077" spans="2:4">
      <c r="B7077">
        <v>100</v>
      </c>
      <c r="C7077" s="1">
        <f>hyperlink("https://hetutrechtsarchief.nl/collectie/A80BA382F5AC5945B8A9EA5D520D5FE7","Kijk daar 16 kozakkendag Frank Kaiser 14 2007")</f>
        <v>0</v>
      </c>
      <c r="D7077" s="1">
        <f>hyperlink("http://www.binnenstadskrant.nl/bsk/content/pdf/2007-6.pdf","Kijk daar 16 kozakkendag Frank Kaiser 14 2007")</f>
        <v>0</v>
      </c>
    </row>
    <row r="7078" spans="2:4">
      <c r="B7078">
        <v>94</v>
      </c>
      <c r="C7078" s="1">
        <f>hyperlink("https://hetutrechtsarchief.nl/collectie/BF7249BA91FE5E548FF10B8A22337506","Horeca de lusten en de lasten Ben Nijssen et al 3-20 2007")</f>
        <v>0</v>
      </c>
      <c r="D7078" s="1">
        <f>hyperlink("http://www.binnenstadskrant.nl/bsk/content/pdf/2007-6.pdf","Horeca de lusten en de lasten ben Nijssen 3-20 2007")</f>
        <v>0</v>
      </c>
    </row>
    <row r="7079" spans="2:4">
      <c r="B7079">
        <v>100</v>
      </c>
      <c r="C7079" s="1">
        <f>hyperlink("https://hetutrechtsarchief.nl/collectie/5D022E0EBA555184A619C81DE85CD2EF","Straatverlichting sober en doelmatig Marijke Brunt 7 2008")</f>
        <v>0</v>
      </c>
      <c r="D7079" s="1">
        <f>hyperlink("http://www.binnenstadskrant.nl/bsk/content/pdf/2008-1.pdf","Straatverlichting sober en doelmatig Marijke Brunt 7 2008")</f>
        <v>0</v>
      </c>
    </row>
    <row r="7080" spans="2:4">
      <c r="B7080">
        <v>55</v>
      </c>
      <c r="C7080" s="1">
        <f>hyperlink("https://hetutrechtsarchief.nl/collectie/3AF6BEB9654C5E66A3260C7C3CA58BE3","Bijzonder belicht Hennie Henzen 18-20 2008")</f>
        <v>0</v>
      </c>
      <c r="D7080" s="1">
        <f>hyperlink("http://www.binnenstadskrant.nl/bsk/content/pdf/2008-1.pdf","Bewoners Nieuwegracht Vernieuwing trappen onnodig 10 2008")</f>
        <v>0</v>
      </c>
    </row>
    <row r="7081" spans="2:4">
      <c r="B7081">
        <v>100</v>
      </c>
      <c r="C7081" s="1">
        <f>hyperlink("https://hetutrechtsarchief.nl/collectie/D6C4F73B223257F89B395E3A876C3910","Nieuwe bibliotheek moet ontlezing stoppen cultuurhuis op Smakkelaarsveld Dick Franssen 11 2008")</f>
        <v>0</v>
      </c>
      <c r="D7081" s="1">
        <f>hyperlink("http://www.binnenstadskrant.nl/bsk/content/pdf/2008-1.pdf","Nieuwe bibliotheek moet ontlezing stoppen cultuurhuis op Smakkelaarsveld Dick Franssen 11 2008")</f>
        <v>0</v>
      </c>
    </row>
    <row r="7082" spans="2:4">
      <c r="B7082">
        <v>76</v>
      </c>
      <c r="C7082" s="1">
        <f>hyperlink("https://hetutrechtsarchief.nl/collectie/9C83CD3A7B9052FFAA5F6214A9B0A071","Wat een puinhoop Dick Franssen 3 2008")</f>
        <v>0</v>
      </c>
      <c r="D7082" s="1">
        <f>hyperlink("http://www.binnenstadskrant.nl/bsk/content/pdf/2008-2.pdf","Wat een puinhoop Tymon de Franssen Dick Weger 3 2008")</f>
        <v>0</v>
      </c>
    </row>
    <row r="7083" spans="2:4">
      <c r="B7083">
        <v>100</v>
      </c>
      <c r="C7083" s="1">
        <f>hyperlink("https://hetutrechtsarchief.nl/collectie/D213EF67D9975F249507D3A062747D51","Echte fietsenmakers Marijke Brunt 7 2008")</f>
        <v>0</v>
      </c>
      <c r="D7083" s="1">
        <f>hyperlink("http://www.binnenstadskrant.nl/bsk/content/pdf/2008-2.pdf","Echte fietsenmakers Marijke Brunt 7 2008")</f>
        <v>0</v>
      </c>
    </row>
    <row r="7084" spans="2:4">
      <c r="B7084">
        <v>100</v>
      </c>
      <c r="C7084" s="1">
        <f>hyperlink("https://hetutrechtsarchief.nl/collectie/25370D34B640555AA3CA4136D05A5B13","Pleinen straks aantrekkelijker Arend Ode 4-5 2008")</f>
        <v>0</v>
      </c>
      <c r="D7084" s="1">
        <f>hyperlink("http://www.binnenstadskrant.nl/bsk/content/pdf/2008-3.pdf","Pleinen straks aantrekkelijker Arend Ode 4-5 2008")</f>
        <v>0</v>
      </c>
    </row>
    <row r="7085" spans="2:4">
      <c r="B7085">
        <v>88</v>
      </c>
      <c r="C7085" s="1">
        <f>hyperlink("https://hetutrechtsarchief.nl/collectie/E46572DB8A7C5645AE5DE822212A33EA","Foute boel op Smakkelaarsveld Inge Keizer en Jesse Pouw 4-5 2008")</f>
        <v>0</v>
      </c>
      <c r="D7085" s="1">
        <f>hyperlink("http://www.binnenstadskrant.nl/bsk/content/pdf/2008-4.pdf","Foute boel op Smakkelaarsveld Jesse Keizer Inge Pouw 4-5 2008")</f>
        <v>0</v>
      </c>
    </row>
    <row r="7086" spans="2:4">
      <c r="B7086">
        <v>100</v>
      </c>
      <c r="C7086" s="1">
        <f>hyperlink("https://hetutrechtsarchief.nl/collectie/D7029650DBD15A059685D4E929E694A4","Beijers voor de echte verzamelaar Marijke Brunt 6 2008")</f>
        <v>0</v>
      </c>
      <c r="D7086" s="1">
        <f>hyperlink("http://www.binnenstadskrant.nl/bsk/content/pdf/2008-4.pdf","Beijers voor de echte verzamelaar Marijke Brunt 6 2008")</f>
        <v>0</v>
      </c>
    </row>
    <row r="7087" spans="2:4">
      <c r="B7087">
        <v>100</v>
      </c>
      <c r="C7087" s="1">
        <f>hyperlink("https://hetutrechtsarchief.nl/collectie/5B6B9CD4F6AA53079B372E6769B14EF1","Het Utrechts Archief bij je thuis Ben Nijssen 7 2008")</f>
        <v>0</v>
      </c>
      <c r="D7087" s="1">
        <f>hyperlink("http://www.binnenstadskrant.nl/bsk/content/pdf/2008-4.pdf","Het Utrechts Archief bij je thuis Ben Nijssen 7 2008")</f>
        <v>0</v>
      </c>
    </row>
    <row r="7088" spans="2:4">
      <c r="B7088">
        <v>100</v>
      </c>
      <c r="C7088" s="1">
        <f>hyperlink("https://hetutrechtsarchief.nl/collectie/603B50DE036A56499844871354D2D73D","De SLAU is Ed van Eeden Dick Franssen 8 2008")</f>
        <v>0</v>
      </c>
      <c r="D7088" s="1">
        <f>hyperlink("http://www.binnenstadskrant.nl/bsk/content/pdf/2008-4.pdf","De SLAU is Ed van Eeden Dick Franssen 8 2008")</f>
        <v>0</v>
      </c>
    </row>
    <row r="7089" spans="2:4">
      <c r="B7089">
        <v>100</v>
      </c>
      <c r="C7089" s="1">
        <f>hyperlink("https://hetutrechtsarchief.nl/collectie/5EA89C4AB5D25F6EA34B3FF1E6748E5B","Buurtenstrijd tegen muurschrijvers Jesse Pouw 11 2008")</f>
        <v>0</v>
      </c>
      <c r="D7089" s="1">
        <f>hyperlink("http://www.binnenstadskrant.nl/bsk/content/pdf/2008-4.pdf","Buurtenstrijd tegen muurschrijvers Jesse Pouw 11 2008")</f>
        <v>0</v>
      </c>
    </row>
    <row r="7090" spans="2:4">
      <c r="B7090">
        <v>100</v>
      </c>
      <c r="C7090" s="1">
        <f>hyperlink("https://hetutrechtsarchief.nl/collectie/8AA7C6F87DF8528ABDF54346F1DB8344","De dichte boekwinkel Gwyon Hoogenraad 10 2008")</f>
        <v>0</v>
      </c>
      <c r="D7090" s="1">
        <f>hyperlink("http://www.binnenstadskrant.nl/bsk/content/pdf/2008-4.pdf","De dichte boekwinkel Gwyon Hoogenraad 10 2008")</f>
        <v>0</v>
      </c>
    </row>
    <row r="7091" spans="2:4">
      <c r="B7091">
        <v>100</v>
      </c>
      <c r="C7091" s="1">
        <f>hyperlink("https://hetutrechtsarchief.nl/collectie/A21C71B2126E5B6FB8399B62CDDDFC64","Jacobskerkhof verrijkt met kopie van oud pand Ben Nijssen 4 2003")</f>
        <v>0</v>
      </c>
      <c r="D7091" s="1">
        <f>hyperlink("http://www.binnenstadskrant.nl/index.html","Jacobskerkhof verrijkt met kopie van oud pand Ben Nijssen 4 2003")</f>
        <v>0</v>
      </c>
    </row>
    <row r="7092" spans="2:4">
      <c r="B7092">
        <v>99</v>
      </c>
      <c r="C7092" s="1">
        <f>hyperlink("https://hetutrechtsarchief.nl/collectie/DBE61AFB51805FB991638E05212EE41E","Stationsgebied valt uiteen in losse projecten Arend Ode 4 2002")</f>
        <v>0</v>
      </c>
      <c r="D7092" s="1">
        <f>hyperlink("http://www.binnenstadskrant.nl/index.html","Stationsgebied valt uiteen in losse projecten Arend Od 4 2002")</f>
        <v>0</v>
      </c>
    </row>
    <row r="7093" spans="2:4">
      <c r="B7093">
        <v>100</v>
      </c>
      <c r="C7093" s="1">
        <f>hyperlink("https://hetutrechtsarchief.nl/collectie/F77FB41BD2AF5BE98A1971C5E196F6B3","Stationsgebied verkeersproblematiek onderbelicht Stedelijke Verkeersgroep Utrecht 3 2002")</f>
        <v>0</v>
      </c>
      <c r="D7093" s="1">
        <f>hyperlink("http://www.binnenstadskrant.nl/index.html","Stationsgebied verkeersproblematiek onderbelicht Stedelijke Verkeersgroep Utrecht 3 2002")</f>
        <v>0</v>
      </c>
    </row>
    <row r="7094" spans="2:4">
      <c r="B7094">
        <v>84</v>
      </c>
      <c r="C7094" s="1">
        <f>hyperlink("https://hetutrechtsarchief.nl/collectie/BCA2D1B0EF925A778367A6D33F9AB072","Zocherplantsoen ontstaan en toekomst Ben Nijsen 3 2001")</f>
        <v>0</v>
      </c>
      <c r="D7094" s="1">
        <f>hyperlink("http://www.binnenstadskrant.nl/index.html","Zocherplantsoen ontstaan en toekomst Ben Nijsen 3 7 2002 nr 2 p 7 2001-2002")</f>
        <v>0</v>
      </c>
    </row>
    <row r="7095" spans="2:4">
      <c r="B7095">
        <v>51</v>
      </c>
      <c r="C7095" s="1">
        <f>hyperlink("https://hetutrechtsarchief.nl/collectie/8D343662668759D1A6D5D255EE7BF8E1","Jan Koelewijn Dzn 1906-1989 Klaas Kok 56-59 2006")</f>
        <v>0</v>
      </c>
      <c r="D7095" s="1">
        <f>hyperlink("http://www.biografischwoordenboekgelderland.nl/bio/3_Jannetje_Hootsen","Jannetje Hootsen 1860-1919 sekteleidster R Bisschop 67-69 2002")</f>
        <v>0</v>
      </c>
    </row>
    <row r="7096" spans="2:4">
      <c r="B7096">
        <v>52</v>
      </c>
      <c r="C7096" s="1">
        <f>hyperlink("https://hetutrechtsarchief.nl/collectie/B9388B5D89D0599E837B6373136E0FD7","Op weg naar de laatste universiteitsbibliotheek bibliothecaris Bas Savenije en het einde van het boek Erik Hardeman 14 2001")</f>
        <v>0</v>
      </c>
      <c r="D7096" s="1">
        <f>hyperlink("http://www.biscutrecht.nl/Werkplan_SUB-BiSC.pdf?sselect=Werkplan_SUB-BiSC=6","De basis voor grote stappen vooruit werkplan Samenwerkende Utrechtse Bibliotheken Bibliotheek Service Centrum 2011 eindred Marieke Heuvelman Marieke Heuvelman 2011")</f>
        <v>0</v>
      </c>
    </row>
    <row r="7097" spans="2:4">
      <c r="B7097">
        <v>63</v>
      </c>
      <c r="C7097" s="1">
        <f>hyperlink("https://hetutrechtsarchief.nl/collectie/BB6B8C56743C585EB8D153FD2E3EF621","Het Huis hardenbroek in de zeventiende en achttiende eeuw Arien Heering 31-36 2008")</f>
        <v>0</v>
      </c>
      <c r="D7097" s="1">
        <f>hyperlink("http://www.bmgn-lchr.nl/index.php/bmgn/article/view/1985/2039","Het basisonderwijs in de zeventiende en achttiende eeuw de Stichtse dorpsscholen E P de Booy 208-222 1977")</f>
        <v>0</v>
      </c>
    </row>
    <row r="7098" spans="2:4">
      <c r="B7098">
        <v>55</v>
      </c>
      <c r="C7098" s="1">
        <f>hyperlink("https://hetutrechtsarchief.nl/collectie/63F3294AA5FC5849A4702B61CBAA6C67","Het college van hoofdingelanden de vertegenwoordiging van de ingelanden in Rijnland en Schieland in de vroegmoderne tijd Milja van Tielhof 22-51 2016")</f>
        <v>0</v>
      </c>
      <c r="D7098" s="1">
        <f>hyperlink("http://www.bmgn-lchr.nl/index.php/bmgn/article/view/3020/3074","Met een vijand als bondgenoot de rol van het water bij de verdediging van het Nederlandse grondgebied tegen een aanval over land J P C M van Hoof 622-651 1988")</f>
        <v>0</v>
      </c>
    </row>
    <row r="7099" spans="2:4">
      <c r="B7099">
        <v>99</v>
      </c>
      <c r="C7099" s="1">
        <f>hyperlink("https://hetutrechtsarchief.nl/collectie/D1810CB040B65F0FB53D68FB9342C6F1","Geleund over de onderdeur doorkijkjes in het Utrechtse buurtleven van de vroege Middeleeuwen tot in de zeventiende eeuw Llewellyn Bogaers 336-363 ill 1997")</f>
        <v>0</v>
      </c>
      <c r="D7099" s="1">
        <f>hyperlink("http://www.bmgn-lchr.nl/index.php/bmgn/article/view/4507/4561","Geleund over de onderdeur doorkijkjes in het Utrechtse buurtleven van de vroege Middeleeuwen tot in de zeventiende eeuw Llewellyn Bogaers 336-363 1997")</f>
        <v>0</v>
      </c>
    </row>
    <row r="7100" spans="2:4">
      <c r="B7100">
        <v>100</v>
      </c>
      <c r="C7100" s="1">
        <f>hyperlink("https://hetutrechtsarchief.nl/collectie/E6123141B41B511A90AF468F0F24C68B","Vrome daden en gedachten een revisionistische kijk op het katholieke verleden van Nederland Anne-Laure Van Bruaene 57-64 2009")</f>
        <v>0</v>
      </c>
      <c r="D7100" s="1">
        <f>hyperlink("http://www.bmgn-lchr.nl/index.php/bmgn/article/view/6894/6948","Vrome daden en gedachten een revisionistische kijk op het katholieke verleden van Nederland Anne-Laure Van Bruaene 57-64 2009")</f>
        <v>0</v>
      </c>
    </row>
    <row r="7101" spans="2:4">
      <c r="B7101">
        <v>55</v>
      </c>
      <c r="C7101" s="1">
        <f>hyperlink("https://hetutrechtsarchief.nl/collectie/697EC7AEC1EC5C708C4A648F50C533A9","Hoe Kolland een landgoed werd Peter van Oosten de Boer en Wim Brocken 2-10 2007")</f>
        <v>0</v>
      </c>
      <c r="D7101" s="1">
        <f>hyperlink("http://www.bmgn-lchr.nl/index.php/bmgn/article/view/URN%3ANBN%3ANL%3AUI%3A10-1-107473","Hoe ons Nederland een groen hart kreeg en het ook weer verloor Pim Kooij 753-770 2006")</f>
        <v>0</v>
      </c>
    </row>
    <row r="7102" spans="2:4">
      <c r="B7102">
        <v>52</v>
      </c>
      <c r="C7102" s="1">
        <f>hyperlink("https://hetutrechtsarchief.nl/collectie/9BAB42D0F6315C21969C8279B2B041EE","Een groot verlies voor Maarssen 75 jaar geleden Arie de Zwart 42-45 2014")</f>
        <v>0</v>
      </c>
      <c r="D7102" s="1">
        <f>hyperlink("http://www.bng.nl/bng/pdf/200602Jutte_12-14.pdf","Amersfoort legt solide basis voor risicomanagement Annemieke Jutte 12-14 2006")</f>
        <v>0</v>
      </c>
    </row>
    <row r="7103" spans="2:4">
      <c r="B7103">
        <v>58</v>
      </c>
      <c r="C7103" s="1">
        <f>hyperlink("https://hetutrechtsarchief.nl/collectie/29C33C9C51F3567FBAEF490A1BF16CC1","Herdenkingsstenen in Amersfoort Jan-Willem van Lieshout 6-7 2016")</f>
        <v>0</v>
      </c>
      <c r="D7103" s="1">
        <f>hyperlink("http://www.bng.nl/bng/pdf/200803_Jutte_34-37.pdf","Risicomanagement in Amersfoort twee jaar later Annemieke Jutte 34-37 2008")</f>
        <v>0</v>
      </c>
    </row>
    <row r="7104" spans="2:4">
      <c r="B7104">
        <v>58</v>
      </c>
      <c r="C7104" s="1">
        <f>hyperlink("https://hetutrechtsarchief.nl/collectie/A598DA5766DA5784E0534701000A32D2","Technische Unie Utrecht een ontwikkelingsproces met uitdagingen Liliane Verwoolde 91-93 2020")</f>
        <v>0</v>
      </c>
      <c r="D7104" s="1">
        <f>hyperlink("http://www.breedbandamersfoort.nl/docs/internet/_wonen_en_leven/_wijken/plannen%20en%20projecten%202008/Technische%20natuurontwikkeling.pdf","Technische natuurontwikkeling ecologische Verbindingszone Valleikanaal Amersfoort Richard Trenning 14-19 2008")</f>
        <v>0</v>
      </c>
    </row>
    <row r="7105" spans="2:4">
      <c r="B7105">
        <v>52</v>
      </c>
      <c r="C7105" s="1">
        <f>hyperlink("https://hetutrechtsarchief.nl/collectie/4F810D29FF7A5EC796F9042478843D59","De beteekenis van den Middeleeuwschen heiligenkalender en de kalenders van Utrecht Toulouse en van de Karmelieten Slot B Kruitwagen 81 -112 ill 1938")</f>
        <v>0</v>
      </c>
      <c r="D7105" s="1">
        <f>hyperlink("http://www.broerendebruijn.nl/Van%20tempeltje%20tot%20kathedraal.PDF","Van tempeltje tot kathedraal Romeinse en vroeg-middeleeuwse bebouwing onder het verdwenen schip van de Utrechtse Domkerk Martin W J de Broer Charlotte J C Bruijn 1-10 1997")</f>
        <v>0</v>
      </c>
    </row>
    <row r="7106" spans="2:4">
      <c r="B7106">
        <v>62</v>
      </c>
      <c r="C7106" s="1">
        <f>hyperlink("https://hetutrechtsarchief.nl/collectie/96FC5FC1CC755303AD03B2FE0DAE2352","De God van Nederland Peter van der Ros 1-3 2006")</f>
        <v>0</v>
      </c>
      <c r="D7106" s="1">
        <f>hyperlink("http://www.caert-thresoor.nl/pdfs/CT02/CT02-1.pdf","Een globe als zonnewijzer Peter van der Krogt 13-14 1983")</f>
        <v>0</v>
      </c>
    </row>
    <row r="7107" spans="2:4">
      <c r="B7107">
        <v>56</v>
      </c>
      <c r="C7107" s="1">
        <f>hyperlink("https://hetutrechtsarchief.nl/collectie/F31A3E0DFB0557C080C13F32312815C6","Oude kaarten welke zijn er van het Kromme Rijngebied en waar zijn ze te vinden Y M Donkersloot-de Vrij 10-27 1990")</f>
        <v>0</v>
      </c>
      <c r="D7107" s="1">
        <f>hyperlink("http://www.caert-thresoor.nl/pdfs/CT06/CT06-3.pdf","Militaire karteringen in Utrecht tijdens het patriotse bewind 1787 Marijke Bruin Renger de Donkersloot-de Vrij 33-38 1987")</f>
        <v>0</v>
      </c>
    </row>
    <row r="7108" spans="2:4">
      <c r="B7108">
        <v>53</v>
      </c>
      <c r="C7108" s="1">
        <f>hyperlink("https://hetutrechtsarchief.nl/collectie/45A057282BB0504A972DDD2ABFC0EC6B","Oudaen het enige middeleeuwse stadskasteel van Nederland 14-15 ill 1986")</f>
        <v>0</v>
      </c>
      <c r="D7108" s="1">
        <f>hyperlink("http://www.caert-thresoor.nl/pdfs/CT16/CT16-1.pdf","Renswoude 1832 recent voorbeeld uit de reeks kadastrale atlassen van Nederland Lida Ruitinga 19-22 1997")</f>
        <v>0</v>
      </c>
    </row>
    <row r="7109" spans="2:4">
      <c r="B7109">
        <v>54</v>
      </c>
      <c r="C7109" s="1">
        <f>hyperlink("https://hetutrechtsarchief.nl/collectie/047C7D01125A5F3C9C8CF67FA604E347","Op orgelpad door de stad Utrecht I Peter van Dijk 33-37 ill 1991")</f>
        <v>0</v>
      </c>
      <c r="D7109" s="1">
        <f>hyperlink("http://www.caert-thresoor.nl/pdfs/CT30/CT30-3.pdf","De Carte du camp d Utrecht uit 1805 Peter van der Freriks Harald Krogt 78-86 2011")</f>
        <v>0</v>
      </c>
    </row>
    <row r="7110" spans="2:4">
      <c r="B7110">
        <v>55</v>
      </c>
      <c r="C7110" s="1">
        <f>hyperlink("https://hetutrechtsarchief.nl/collectie/90135FBAE4F35478BDC19BF182710AB1","Statistische gegevens van de Utrechtsche Universiteitsbibliotheek over de laatste 25 jaren To van Rije 182 -183 1914")</f>
        <v>0</v>
      </c>
      <c r="D7110" s="1">
        <f>hyperlink("http://www.carienoverdijk.nl/werk/utrechtsarchief.doc.html","Drie historische lagen in n pand Het Utrechts Archief verrast bezoekers met levend veleden Carien Overdijk 30-33 2011")</f>
        <v>0</v>
      </c>
    </row>
    <row r="7111" spans="2:4">
      <c r="B7111">
        <v>66</v>
      </c>
      <c r="C7111" s="1">
        <f>hyperlink("https://hetutrechtsarchief.nl/collectie/057F46A6639650C6A6D3A3AC72725528","Levendige herinneringen aan de Nieuwe Hollandse Waterlinie Jos Wassink 20-24 2009")</f>
        <v>0</v>
      </c>
      <c r="D7111" s="1">
        <f>hyperlink("http://www.coehoorn.nl/documentatie/artikel.asp?ID=64","C R T Kraijenhoff en de genese van de Nieuwe Hollandse Waterlinie Chris Will 7-13 2008")</f>
        <v>0</v>
      </c>
    </row>
    <row r="7112" spans="2:4">
      <c r="B7112">
        <v>52</v>
      </c>
      <c r="C7112" s="1">
        <f>hyperlink("https://hetutrechtsarchief.nl/collectie/D82C4E073C185D1B80EFB39D72C87992","De Bovenweg en Benedenweg als onderdeel van de Via Regia Oude hoofdwegen in Elst Nees van den Oosterkamp 2-9 2017")</f>
        <v>0</v>
      </c>
      <c r="D7112" s="1">
        <f>hyperlink("http://www.complex4047.nl/Rapport_Tuinwijk_monumentenzorg.pdf","De Tuinwijk een buitengewoon aangename aanblik teksten Marijke van den Heuvel Ren de Kam eindred Ren de Heuvel Marijke van den Kam 2007")</f>
        <v>0</v>
      </c>
    </row>
    <row r="7113" spans="2:4">
      <c r="B7113">
        <v>54</v>
      </c>
      <c r="C7113" s="1">
        <f>hyperlink("https://hetutrechtsarchief.nl/collectie/766DF9C78D7C5039AB23925B9B2D89D6","De Karrenman van Utrecht Cora Dietl 87-88 2006")</f>
        <v>0</v>
      </c>
      <c r="D7113" s="1">
        <f>hyperlink("http://www.cu2030.nl/assets/Image/CONT/B/bouwkrant_1_november2009.pdf","Bouwkrant OV-terminal Utrecht Centraal 2009-")</f>
        <v>0</v>
      </c>
    </row>
    <row r="7114" spans="2:4">
      <c r="B7114">
        <v>86</v>
      </c>
      <c r="C7114" s="1">
        <f>hyperlink("https://hetutrechtsarchief.nl/collectie/BEFE1E60AD015DA0946EF84AB1135430","Hoefslagpalen langs het Zandpad van de Vecht Steven de Clercq en Hans van Bemmel 138-139 2010")</f>
        <v>0</v>
      </c>
      <c r="D7114" s="1">
        <f>hyperlink("http://www.cultuurplatformvechtstreek.nl/pdf/Hoefslag-Paal-verhaal%20No%203.pdf","Hoefslagpalen langs het Zandpad van de Vecht Hans van Clercq Steven de Bemmel 138-139 2010")</f>
        <v>0</v>
      </c>
    </row>
    <row r="7115" spans="2:4">
      <c r="B7115">
        <v>62</v>
      </c>
      <c r="C7115" s="1">
        <f>hyperlink("https://hetutrechtsarchief.nl/collectie/865862C5EE5B5892A64CF098A6F89148","Belle van Zuylen en haar betekenis Pierre H Dubois 2-15 1995")</f>
        <v>0</v>
      </c>
      <c r="D7115" s="1">
        <f>hyperlink("http://www.dbnl.org/tekst/_gid001190901_01/_gid001190901_01_0099.php","Belle van Zuylen en Constant d Hermenches W H de Beaufort 226-239 1909")</f>
        <v>0</v>
      </c>
    </row>
    <row r="7116" spans="2:4">
      <c r="B7116">
        <v>52</v>
      </c>
      <c r="C7116" s="1">
        <f>hyperlink("https://hetutrechtsarchief.nl/collectie/EE906AAFD839543C9F3B0B09A7FB50B3","Bolwerck-gedaghten Absyrtus in memoriam J G 288 1926")</f>
        <v>0</v>
      </c>
      <c r="D7116" s="1">
        <f>hyperlink("http://www.dbnl.org/tekst/_jaa003191301_01/_jaa003191301_01_0013.php","Oliver Goldsmith en Justus van Effen A J Barnouw 81-96 1912")</f>
        <v>0</v>
      </c>
    </row>
    <row r="7117" spans="2:4">
      <c r="B7117">
        <v>66</v>
      </c>
      <c r="C7117" s="1">
        <f>hyperlink("https://hetutrechtsarchief.nl/collectie/09BB846B9A475FC782FB7B2627F7F211","Levensbericht van M S Pols S Muller Fz 1-35 14 1897")</f>
        <v>0</v>
      </c>
      <c r="D7117" s="1">
        <f>hyperlink("http://www.dbnl.org/tekst/_jaa003191501_01/_jaa003191501_01_0016.php","Levensbericht van G Brom P J Blok 152-181 1915")</f>
        <v>0</v>
      </c>
    </row>
    <row r="7118" spans="2:4">
      <c r="B7118">
        <v>98</v>
      </c>
      <c r="C7118" s="1">
        <f>hyperlink("https://hetutrechtsarchief.nl/collectie/A41ECE2384EF50259D7C650B903A2BCC","Jan van den Dom kanttekeningen bij een middeleeuwse kunstenaarslegende uit de twintigste eeuw Aart Mekking 158-166 ill 1992")</f>
        <v>0</v>
      </c>
      <c r="D7118" s="1">
        <f>hyperlink("http://www.dbnl.org/tekst/_mad001199201_01/_mad001199201_01_0036.php#38","Jan van den Dom kanttekeningen bij een middeleeuwse kunstenaarslegende uit de twintigste eeuw Aart Mekking 158-166 1992")</f>
        <v>0</v>
      </c>
    </row>
    <row r="7119" spans="2:4">
      <c r="B7119">
        <v>96</v>
      </c>
      <c r="C7119" s="1">
        <f>hyperlink("https://hetutrechtsarchief.nl/collectie/011539BBDE955198921220A48B9EF8E2","Een laat-middeleeuws Odulphusbeeld te Utrecht Jan W Klinckaert 2-11 ill 1994")</f>
        <v>0</v>
      </c>
      <c r="D7119" s="1">
        <f>hyperlink("http://www.dbnl.org/tekst/_mad001199401_01/_mad001199401_01_0001.php#1","Een laat-middeleeuws Odulphusbeeld te Utrecht Jan W Klinckaert 2-11 1998")</f>
        <v>0</v>
      </c>
    </row>
    <row r="7120" spans="2:4">
      <c r="B7120">
        <v>94</v>
      </c>
      <c r="C7120" s="1">
        <f>hyperlink("https://hetutrechtsarchief.nl/collectie/2FBFF3D4EFFF5010BC62713507002CA3","Gerardus Wilhelmus van Heukelum de Utrechtse neogoticus Casper H Staal 166-174 ill portr 1994")</f>
        <v>0</v>
      </c>
      <c r="D7120" s="1">
        <f>hyperlink("http://www.dbnl.org/tekst/_mad001199401_01/_mad001199401_01_0042.php#46","Gerardus Wilhelmus van Heukelum de Utrechtse neogoticus Casper H Staal 166-174 1994")</f>
        <v>0</v>
      </c>
    </row>
    <row r="7121" spans="2:4">
      <c r="B7121">
        <v>55</v>
      </c>
      <c r="C7121" s="1">
        <f>hyperlink("https://hetutrechtsarchief.nl/collectie/4CC47C1BD52554A08693D02731E3705A","Interview met Jan Nuchelmans Marian Rappoldt en Kaj van Vliet 79-88 ill 1990")</f>
        <v>0</v>
      </c>
      <c r="D7121" s="1">
        <f>hyperlink("http://www.dbnl.org/tekst/_mad001199401_01/_mad001199401_01_0053.php#59","Relieken in lood interview met kanunnik J N van Ditmarsch Kaj van Vliet 220-227 1994")</f>
        <v>0</v>
      </c>
    </row>
    <row r="7122" spans="2:4">
      <c r="B7122">
        <v>90</v>
      </c>
      <c r="C7122" s="1">
        <f>hyperlink("https://hetutrechtsarchief.nl/collectie/B6EB34EBA8305567A90BD22A0BD68A41","Enkele kanttekeningen bij De eerste kerken in Utrecht T J Hoekstra 36-43 ill plgr 1996")</f>
        <v>0</v>
      </c>
      <c r="D7122" s="1">
        <f>hyperlink("http://www.dbnl.org/tekst/_mad001199601_01/_mad001199601_01_0042.php","Enkele kanttekeningen bij De eerste kerken in Utrecht T J Hoekstra 36-43 nr 3 p 181-182 1996")</f>
        <v>0</v>
      </c>
    </row>
    <row r="7123" spans="2:4">
      <c r="B7123">
        <v>98</v>
      </c>
      <c r="C7123" s="1">
        <f>hyperlink("https://hetutrechtsarchief.nl/collectie/9A66AB800E7F549C8CD9105D5E668309","Nieuwe steden in de Stichten over de stedenbouw van Vollenhove Hardenberg en Bunschoten Reinout Rutte 14-24 krt 1998")</f>
        <v>0</v>
      </c>
      <c r="D7123" s="1">
        <f>hyperlink("http://www.dbnl.org/tekst/_mad001199801_01/_mad001199801_01_0002.php#3","Nieuwe steden in de Stichten over de stedenbouw van Vollenhove Hardenberg en Bunschoten Reinout Rutte 14-24 1998")</f>
        <v>0</v>
      </c>
    </row>
    <row r="7124" spans="2:4">
      <c r="B7124">
        <v>96</v>
      </c>
      <c r="C7124" s="1">
        <f>hyperlink("https://hetutrechtsarchief.nl/collectie/15CD1E1AA91A585DB092AA609BABEF9D","Bidden om verlossing funeraire kunst op een muur in de Dekenkapel van de Utrechtse Pieterskerk Jos van Aelst 90-105 ill plgr 1998")</f>
        <v>0</v>
      </c>
      <c r="D7124" s="1">
        <f>hyperlink("http://www.dbnl.org/tekst/_mad001199801_01/_mad001199801_01_0018.php#21","Bidden om verlossing funeraire kunst op een muur in de Dekenkapel van de Utrechtse Pieterskerk Jos van Aelst 90-105 1998")</f>
        <v>0</v>
      </c>
    </row>
    <row r="7125" spans="2:4">
      <c r="B7125">
        <v>98</v>
      </c>
      <c r="C7125" s="1">
        <f>hyperlink("https://hetutrechtsarchief.nl/collectie/1AED87F9793450F6A63D3B3223B3FB1D","De zalige nagedachtenis van deken Otto de annalen van St -Marie beschouwd in hun context Kaj van Vliet 202-211 ill 1998")</f>
        <v>0</v>
      </c>
      <c r="D7125" s="1">
        <f>hyperlink("http://www.dbnl.org/tekst/_mad001199801_01/_mad001199801_01_0045.php#51","De zalige nagedachtenis van deken Otto de annalen van St -Marie beschouwd in hun context Kaj van Vliet 202-211 1998")</f>
        <v>0</v>
      </c>
    </row>
    <row r="7126" spans="2:4">
      <c r="B7126">
        <v>96</v>
      </c>
      <c r="C7126" s="1">
        <f>hyperlink("https://hetutrechtsarchief.nl/collectie/7FC3072F4FAB523C981E14CED0B6C6EB","Van stof tot gewaad adviezen over kleding van Adriaan Boeyens en Nicolaas Everaerts Otto Vervaart 257-262 ill portr 1998")</f>
        <v>0</v>
      </c>
      <c r="D7126" s="1">
        <f>hyperlink("http://www.dbnl.org/tekst/_mad001199801_01/_mad001199801_01_0053.php#59","Van stof tot gewaad adviezen over kleding van Adriaan Boeyens en Nicolaas Everaerts Otto Vervaart 257-262 1998")</f>
        <v>0</v>
      </c>
    </row>
    <row r="7127" spans="2:4">
      <c r="B7127">
        <v>60</v>
      </c>
      <c r="C7127" s="1">
        <f>hyperlink("https://hetutrechtsarchief.nl/collectie/5D9E1551238256A28959B8F679ACA24C","De bouwer van de Rode Poort in Utrecht M W J de Bruijn 96-99 ill 1989")</f>
        <v>0</v>
      </c>
      <c r="D7127" s="1">
        <f>hyperlink("http://www.dbnl.org/tekst/_naa002197901_01/_naa002197901_01_0017.php","De Bilt en de Hoolbilt in Utrecht H T J Miedema 196-232 1979")</f>
        <v>0</v>
      </c>
    </row>
    <row r="7128" spans="2:4">
      <c r="B7128">
        <v>51</v>
      </c>
      <c r="C7128" s="1">
        <f>hyperlink("https://hetutrechtsarchief.nl/collectie/30B4BDCABA435711B15923FB7C984706","Gevaarlijke ontwikkelingen uit het verslag van de raadsvergadering van de Gemeente Utrecht van 30 juni 1887 J N van der Meulen 38 1979")</f>
        <v>0</v>
      </c>
      <c r="D7128" s="1">
        <f>hyperlink("http://www.dbnl.org/tekst/_ned017198301_01/_ned017198301_01_0011.php","De Bataafse omwenteling te Zeist aantekeningen uit het Gemeindiarium van de Evangelische Broedergemeente te Zeist 4 Januari - 5 februari 1795 H L Ph Leeuwenberg 147-195 1983")</f>
        <v>0</v>
      </c>
    </row>
    <row r="7129" spans="2:4">
      <c r="B7129">
        <v>63</v>
      </c>
      <c r="C7129" s="1">
        <f>hyperlink("https://hetutrechtsarchief.nl/collectie/9C60E80415655BDCB968BBD0E6E7B8E4","De ontwikkeling van de Uithof II W Spans 10-11 1970")</f>
        <v>0</v>
      </c>
      <c r="D7129" s="1">
        <f>hyperlink("http://www.dbnl.org/tekst/_taa008190701_01/_taa008190701_01_0018.php","De Gwy de Vlaming van Beets J Koopmans 106-118 1907")</f>
        <v>0</v>
      </c>
    </row>
    <row r="7130" spans="2:4">
      <c r="B7130">
        <v>56</v>
      </c>
      <c r="C7130" s="1">
        <f>hyperlink("https://hetutrechtsarchief.nl/collectie/15AC2B1F22FD524D943386677529EB16","Amsterdammers in het Gooi Henk Schmal 268-275 2011")</f>
        <v>0</v>
      </c>
      <c r="D7130" s="1">
        <f>hyperlink("http://www.dbnl.org/tekst/_taa008190701_01/_taa008190701_01_0044.php","Beets in het buitenland J Koopmans 268-275 1907")</f>
        <v>0</v>
      </c>
    </row>
    <row r="7131" spans="2:4">
      <c r="B7131">
        <v>60</v>
      </c>
      <c r="C7131" s="1">
        <f>hyperlink("https://hetutrechtsarchief.nl/collectie/37D647B3986E5F94A408F4E10623B53C","Suster Bertken kluizenares in Utrecht Jellie van der Meulen 7-9 1984")</f>
        <v>0</v>
      </c>
      <c r="D7131" s="1">
        <f>hyperlink("http://www.dbnl.org/tekst/_taa008194201_01/_taa008194201_01_0034.php","Suster Bertken een mystieke dichteres P N Dezaire 208-217 1942")</f>
        <v>0</v>
      </c>
    </row>
    <row r="7132" spans="2:4">
      <c r="B7132">
        <v>57</v>
      </c>
      <c r="C7132" s="1">
        <f>hyperlink("https://hetutrechtsarchief.nl/collectie/7F16429C476E81DCE0534701000A701A","Koude tijden warme tijden Het ontstaan van de Utrechtse Heuvelrug Bert Huiskes 28-29 2018")</f>
        <v>0</v>
      </c>
      <c r="D7132" s="1">
        <f>hyperlink("http://www.dbnl.org/tekst/_taa008195301_01/_taa008195301_01_0060.php","Oude woorden en uitdrukkingen bewaard in de volkstaal van de Utrechtse Vechtstreek Chr Stapelkamp 217-220 1953")</f>
        <v>0</v>
      </c>
    </row>
    <row r="7133" spans="2:4">
      <c r="B7133">
        <v>52</v>
      </c>
      <c r="C7133" s="1">
        <f>hyperlink("https://hetutrechtsarchief.nl/collectie/5E7C983802985DD78DD3EDCC4E47DF81","Het Utrechtsche praalbed in het Bourgondische Paleis te Brussel - E 89-91 1938")</f>
        <v>0</v>
      </c>
      <c r="D7133" s="1">
        <f>hyperlink("http://www.dbnl.org/tekst/_ver016196701_01/_ver016196701_01_0041.php","Het Utrechtse Kalendarium van 1253 met de Noordlimburgse gezondheidsregels M Braekman W Gysseling 575-635 1967")</f>
        <v>0</v>
      </c>
    </row>
    <row r="7134" spans="2:4">
      <c r="B7134">
        <v>51</v>
      </c>
      <c r="C7134" s="1">
        <f>hyperlink("https://hetutrechtsarchief.nl/collectie/EEA39FEA4289538A8B5D75B3303EC299","Utrechtse straatnamen 6 slot Ridderhofstad H Tigelaar Erik Tigelaar 176 2003")</f>
        <v>0</v>
      </c>
      <c r="D7134" s="1">
        <f>hyperlink("http://www.dbnl.org/tekst/_zev001200501_01/_zev001200501_01_0026.php","Utrecht s transformations claiming the Dom through representation iconoclasm and ritual Angela Vanhaelen 354-374 2005")</f>
        <v>0</v>
      </c>
    </row>
    <row r="7135" spans="2:4">
      <c r="B7135">
        <v>52</v>
      </c>
      <c r="C7135" s="1">
        <f>hyperlink("https://hetutrechtsarchief.nl/collectie/A70CC6A4E3445B65908D35492E8D640A","Amersfoorters en de Verenigde Oost-Indische Compagnie Ranjith Jayasena en Gerard Raven 5-6 2002")</f>
        <v>0</v>
      </c>
      <c r="D7135" s="1">
        <f>hyperlink("http://www.dbnl.org/tekst/boot009dien01_01/","Een dienaer der Oost-Indische Compagnie te London in 1629 journael van Abram Booth en zijn descriptie van Engelandt A Merens 1942")</f>
        <v>0</v>
      </c>
    </row>
    <row r="7136" spans="2:4">
      <c r="B7136">
        <v>56</v>
      </c>
      <c r="C7136" s="1">
        <f>hyperlink("https://hetutrechtsarchief.nl/collectie/DE32B7ABBA5954639EF16F618A675AD4","Utrechts waterhuishouding en de singeldemping M van der Lugt 7-12 ill krt 1969")</f>
        <v>0</v>
      </c>
      <c r="D7136" s="1">
        <f>hyperlink("http://www.dbnl.org/tekst/dolf001utre01_01/","Utrecht de huizen binnen de singels Jean Dolfin Marceline J Kylstra E M Penders 1989")</f>
        <v>0</v>
      </c>
    </row>
    <row r="7137" spans="2:4">
      <c r="B7137">
        <v>63</v>
      </c>
      <c r="C7137" s="1">
        <f>hyperlink("https://hetutrechtsarchief.nl/collectie/81A44968CEDC5D66AE08EDE5E6F8FF89","Het Walkartpark in Zeist Catharina L van Groningen 3-10 2013")</f>
        <v>0</v>
      </c>
      <c r="D7137" s="1">
        <f>hyperlink("http://www.dbnl.org/tekst/gron052utre01_01/downloads.php;http://www.dbnl.org/tekst/gron052utre02_01/downloads.php","De Utrechtse Heuvelrug Catharina L van Groningen 1999-2000")</f>
        <v>0</v>
      </c>
    </row>
    <row r="7138" spans="2:4">
      <c r="B7138">
        <v>61</v>
      </c>
      <c r="C7138" s="1">
        <f>hyperlink("https://hetutrechtsarchief.nl/collectie/06D75BC8A1DE53EC9068BC32FD0CCA5C","Herinneringen aan het Bosbad Jan Meijer 12-14 2015")</f>
        <v>0</v>
      </c>
      <c r="D7138" s="1">
        <f>hyperlink("http://www.dbnl.org/tekst/palm003rede03_01/palm003rede03_01_0027.php","Mijn herinneringen aan J Bellamij J H van der Palm 110-131 1854-1855")</f>
        <v>0</v>
      </c>
    </row>
    <row r="7139" spans="2:4">
      <c r="B7139">
        <v>56</v>
      </c>
      <c r="C7139" s="1">
        <f>hyperlink("https://hetutrechtsarchief.nl/collectie/508454F9CBB554EE98E5CF3E7EE6D4F6","De Utrechtsche afkomst van Pearl Buck - K 20-22 1936")</f>
        <v>0</v>
      </c>
      <c r="D7139" s="1">
        <f>hyperlink("http://www.dbnl.org/tekst/sten009monu01_01/","Utrecht Chris Kolman et al Chris Kolman 1996")</f>
        <v>0</v>
      </c>
    </row>
    <row r="7140" spans="2:4">
      <c r="B7140">
        <v>53</v>
      </c>
      <c r="C7140" s="1">
        <f>hyperlink("https://hetutrechtsarchief.nl/collectie/8606956EBE645D3AB4C96E179FDDC08F","Hoogste Europa Nostra prijs naar Utrecht Heemschut droeg vijf kerken-project in Utrecht voor Leo van der Meule 5 9-10 ill 1989")</f>
        <v>0</v>
      </c>
      <c r="D7140" s="1">
        <f>hyperlink("http://www.dbnl.org/titels/titel.php?id=_uit010uits01","Het uitstapje naar Utrecht of Vier verhalen op reis geschenk voor de jeugd met plaatjes 1837")</f>
        <v>0</v>
      </c>
    </row>
    <row r="7141" spans="2:4">
      <c r="B7141">
        <v>58</v>
      </c>
      <c r="C7141" s="1">
        <f>hyperlink("https://hetutrechtsarchief.nl/collectie/B072309A247057BDB7E2CB5311046CCD","Een oproer in Utrecht P D t Hart 115-116 1978")</f>
        <v>0</v>
      </c>
      <c r="D7141" s="1">
        <f>hyperlink("http://www.dbnl.org/titels/titel.php?id=feli004opro01","Het oproer te Utrecht in 1610 Dina Albertina Felix 1919")</f>
        <v>0</v>
      </c>
    </row>
    <row r="7142" spans="2:4">
      <c r="B7142">
        <v>60</v>
      </c>
      <c r="C7142" s="1">
        <f>hyperlink("https://hetutrechtsarchief.nl/collectie/81A44968CEDC5D66AE08EDE5E6F8FF89","Het Walkartpark in Zeist Catharina L van Groningen 3-10 2013")</f>
        <v>0</v>
      </c>
      <c r="D7142" s="1">
        <f>hyperlink("http://www.dbnl.org/titels/titel.php?id=gron052utre02","De Stichtse Lustwarande dorpen en landelijk gebied Catharina L van Groningen 2000")</f>
        <v>0</v>
      </c>
    </row>
    <row r="7143" spans="2:4">
      <c r="B7143">
        <v>66</v>
      </c>
      <c r="C7143" s="1">
        <f>hyperlink("https://hetutrechtsarchief.nl/collectie/53EF49143BBD58A48B37229AF5B73A56","Een bibliografies centrum voor Utrecht H J van Lummel 18-19 1928")</f>
        <v>0</v>
      </c>
      <c r="D7143" s="1">
        <f>hyperlink("http://www.dbnl.org/titels/titel.php?id=lumm001bijl03","De bijlhouwer van Utrecht H J van Lummel 1904")</f>
        <v>0</v>
      </c>
    </row>
    <row r="7144" spans="2:4">
      <c r="B7144">
        <v>62</v>
      </c>
      <c r="C7144" s="1">
        <f>hyperlink("https://hetutrechtsarchief.nl/collectie/FEFA36885C2855588938527D7991355E","De dom van Utrecht - H de J 109-113 ill 1965")</f>
        <v>0</v>
      </c>
      <c r="D7144" s="1">
        <f>hyperlink("http://www.dbnl.org/titels/titel.php?id=lumm001hopm01","De hopmansvrouw van Utrecht - 5de dr H J van Lummel 1904")</f>
        <v>0</v>
      </c>
    </row>
    <row r="7145" spans="2:4">
      <c r="B7145">
        <v>62</v>
      </c>
      <c r="C7145" s="1">
        <f>hyperlink("https://hetutrechtsarchief.nl/collectie/53EF49143BBD58A48B37229AF5B73A56","Een bibliografies centrum voor Utrecht H J van Lummel 18-19 1928")</f>
        <v>0</v>
      </c>
      <c r="D7145" s="1">
        <f>hyperlink("http://www.dbnl.org/titels/titel.php?id=lumm001smid02","De smidsgezel van Utrecht H J van Lummel 1904")</f>
        <v>0</v>
      </c>
    </row>
    <row r="7146" spans="2:4">
      <c r="B7146">
        <v>61</v>
      </c>
      <c r="C7146" s="1">
        <f>hyperlink("https://hetutrechtsarchief.nl/collectie/6C62F9F9F7E757EF87F8F978EDAD7258","Boerderijen in Amersfoort 3-49 2003")</f>
        <v>0</v>
      </c>
      <c r="D7146" s="1">
        <f>hyperlink("http://www.defoer.nl/Kunstgeschiedenis/beelden%20in%20de%20domkerk%20in%20utrecht.pdf","Beelden in de Dom Henri L M Defoer 3-24 2003")</f>
        <v>0</v>
      </c>
    </row>
    <row r="7147" spans="2:4">
      <c r="B7147">
        <v>51</v>
      </c>
      <c r="C7147" s="1">
        <f>hyperlink("https://hetutrechtsarchief.nl/collectie/600D569A0A075D67B232479AB1C76A56","De afstamming van het tot den Nederlandschen adel behoorend geslacht van Weede W A Beelaerts van Blokland 301-308 1928")</f>
        <v>0</v>
      </c>
      <c r="D7147" s="1">
        <f>hyperlink("http://www.delpher.nl/nl/boeken/view?coll=boeken&amp;identifier=dpo%3A2568%3Ampeg21%3A0001&amp;pres%5Bmaxperpage%5D=36&amp;pres%5Bpage%5D=1&amp;pres%5Bnobuffer%5D=bottom","Copie van het Testament in dato 20 September 1579 en alle verdere stukken daartoe behoorende van Huybert Edmont van Buchell Huybert van Buchell 1795")</f>
        <v>0</v>
      </c>
    </row>
    <row r="7148" spans="2:4">
      <c r="B7148">
        <v>51</v>
      </c>
      <c r="C7148" s="1">
        <f>hyperlink("https://hetutrechtsarchief.nl/collectie/ECF3D5BAE2815562A95587B171AFC48A","Woelingen binnen Utrecht in october 1588 Door een ooggetuige R Visscher 709-714")</f>
        <v>0</v>
      </c>
      <c r="D7148" s="1">
        <f>hyperlink("http://www.delpher.nl/nl/boeken1/gview?query=utrecht&amp;page=1&amp;coll=boeken1&amp;identifier=m0dSAAAAcAAJ","Koning Willem III binnen Utrecht 14-17 September 1853 verslag der feestelijkheden J G A Bosch 1853")</f>
        <v>0</v>
      </c>
    </row>
    <row r="7149" spans="2:4">
      <c r="B7149">
        <v>61</v>
      </c>
      <c r="C7149" s="1">
        <f>hyperlink("https://hetutrechtsarchief.nl/collectie/97AF5935402A5230913B166D5A824BC3","De Dom van Utrecht bij Jan Baptist Stalpart van der Wiele C H Staal 140 - 146 1982")</f>
        <v>0</v>
      </c>
      <c r="D7149" s="1">
        <f>hyperlink("http://www.delpher.nl/nl/boeken1/gview?query=utrecht&amp;page=1&amp;coll=boeken1&amp;identifier=qk5NAAAAcAAJ","Adelbold bisschop van Utrecht Pieter Jan Baptist Karel Simon van der Aa 1862")</f>
        <v>0</v>
      </c>
    </row>
    <row r="7150" spans="2:4">
      <c r="B7150">
        <v>58</v>
      </c>
      <c r="C7150" s="1">
        <f>hyperlink("https://hetutrechtsarchief.nl/collectie/5195AF0C193C50F8B3BB3F02DFC26FDF","De Dutch Game Garden te Utrecht Dick Franssen 4-5 2010")</f>
        <v>0</v>
      </c>
      <c r="D7150" s="1">
        <f>hyperlink("http://www.deoud-utrechter.nl/","De Oud-Utrechter d gratis krant voor de echte Utrechter 2010-")</f>
        <v>0</v>
      </c>
    </row>
    <row r="7151" spans="2:4">
      <c r="B7151">
        <v>92</v>
      </c>
      <c r="C7151" s="1">
        <f>hyperlink("https://hetutrechtsarchief.nl/collectie/7910C54B4D0E50758ED34AFDF83A0BFA","De vroeg-romaanse kerken van Utrecht C L Temminck Groll 35-50 ill 1959")</f>
        <v>0</v>
      </c>
      <c r="D7151" s="1">
        <f>hyperlink("http://www.derode3d.nl/mariakerk/temminckgroll1959.pdf","De vroeg-Romaanse kerken van Utrecht C L Temminck Groll 1959")</f>
        <v>0</v>
      </c>
    </row>
    <row r="7152" spans="2:4">
      <c r="B7152">
        <v>89</v>
      </c>
      <c r="C7152" s="1">
        <f>hyperlink("https://hetutrechtsarchief.nl/collectie/71F2AF94EA39585E8E115EE9FCC422AF","De kerken van bisschop Bernold E H ter Kuile 145-164 ill 1959")</f>
        <v>0</v>
      </c>
      <c r="D7152" s="1">
        <f>hyperlink("http://www.derode3d.nl/mariakerk/TerKuileKNOB1959.pdf","De kerken van bisschop Bernold E H ter Kuile 1959")</f>
        <v>0</v>
      </c>
    </row>
    <row r="7153" spans="2:4">
      <c r="B7153">
        <v>51</v>
      </c>
      <c r="C7153" s="1">
        <f>hyperlink("https://hetutrechtsarchief.nl/collectie/77C82EA915FB9E37E0534701000A0A92","De strijd om de Utrechtse kiezer Verkiezingscampagnes onder een nieuw kiesstelsel en algemeen kiesrecht Kaz Gommans Ron de Jong 132-137 2018")</f>
        <v>0</v>
      </c>
      <c r="D7153" s="1">
        <f>hyperlink("http://www.dewerkhoven.nl/boeken/Bedrijvigheid_2ED.pdf","Bedrijvigheid op de Utrechtse Heuvelrug OKD ondernemers over vroeger en nu tekst Annet Werkhoven eindred Margot Lantinga Margot Werkhoven Annet Lantinga 2008 - 2010")</f>
        <v>0</v>
      </c>
    </row>
    <row r="7154" spans="2:4">
      <c r="B7154">
        <v>58</v>
      </c>
      <c r="C7154" s="1">
        <f>hyperlink("https://hetutrechtsarchief.nl/collectie/F22E84C8148B5ACFBBFABC6B74FFD1AE","Lof van Utrecht gedicht Ad den Besten 81 1980")</f>
        <v>0</v>
      </c>
      <c r="D7154" s="1">
        <f>hyperlink("http://www.digizeitschriften.de/dms/img/?PPN=PPN523137710_0055&amp;DMDID=DMDLOG_0049","Jacob van Utrecht Ludwig Baldass 241-247 1920")</f>
        <v>0</v>
      </c>
    </row>
    <row r="7155" spans="2:4">
      <c r="B7155">
        <v>57</v>
      </c>
      <c r="C7155" s="1">
        <f>hyperlink("https://hetutrechtsarchief.nl/collectie/98F39313AD5E567694829D4A464342D1","De opgravingen op het Domplein - E 49-54 1934")</f>
        <v>0</v>
      </c>
      <c r="D7155" s="1">
        <f>hyperlink("http://www.dodenakkers.nl/begraafplaatsen/utrecht/490-zeist-koop.html","Dertien koopgraven voor het halve tarief R P M Rhoen 58-59 1999")</f>
        <v>0</v>
      </c>
    </row>
    <row r="7156" spans="2:4">
      <c r="B7156">
        <v>50</v>
      </c>
      <c r="C7156" s="1">
        <f>hyperlink("https://hetutrechtsarchief.nl/collectie/22F93C10A030552BB4C7AB09DADF4A9B","Martinus met de draak de geschiedenis van een oorlogsmonument aan de Oudegracht Ton H M van Schaik 124-129 2006")</f>
        <v>0</v>
      </c>
      <c r="D7156" s="1">
        <f>hyperlink("http://www.dominicusparochie.nl/Kerkgeschiedenis.pdf","Oog in Al wijk en parochie kleine geschiedenis bij het gouden feest van de St Dominicuskerk 1951-2001 Otto Schaik Ton H M van Vervaart 2001")</f>
        <v>0</v>
      </c>
    </row>
    <row r="7157" spans="2:4">
      <c r="B7157">
        <v>55</v>
      </c>
      <c r="C7157" s="1">
        <f>hyperlink("https://hetutrechtsarchief.nl/collectie/019DB20781DB5CB59CE677EBB439F1D4","Koningin opent vernieuwd Ooglijders-gasthuis M A C Erkens 1 ill 1971")</f>
        <v>0</v>
      </c>
      <c r="D7157" s="1">
        <f>hyperlink("http://www.donderswatmooi.nl/","Donders wat mooi Ooglijdersgasthuis Driestar B V 2012")</f>
        <v>0</v>
      </c>
    </row>
    <row r="7158" spans="2:4">
      <c r="B7158">
        <v>51</v>
      </c>
      <c r="C7158" s="1">
        <f>hyperlink("https://hetutrechtsarchief.nl/collectie/184D1CC9106F5412976D11CB16FF1193","Namen en wapenen van de edele schouten der Stadt Utrecht van den jaere 1300 beginnende C A d K 277 -281 1899")</f>
        <v>0</v>
      </c>
      <c r="D7158" s="1">
        <f>hyperlink("http://www.earlydutchbooksonline.nl/nl/view/image/id/dpo:2960:mpeg21","Naamwyzer van haar Ed Groot-Achtb de Heeren Regeerders der stad Utrecht over den jare 1787 Mitsgaders van eenige verdere collegien en bedienden 1787")</f>
        <v>0</v>
      </c>
    </row>
    <row r="7159" spans="2:4">
      <c r="B7159">
        <v>57</v>
      </c>
      <c r="C7159" s="1">
        <f>hyperlink("https://hetutrechtsarchief.nl/collectie/9928D3BEDEFF5F4088AC8F9640C73773","Groningen-Utrecht-Groningen-Utrecht Peter Smids 4-5 2010")</f>
        <v>0</v>
      </c>
      <c r="D7159" s="1">
        <f>hyperlink("http://www.eddystevens.be/files/krant.pdf","Galerie Utrecht Journaal Galerie Utrecht 2008-")</f>
        <v>0</v>
      </c>
    </row>
    <row r="7160" spans="2:4">
      <c r="B7160">
        <v>98</v>
      </c>
      <c r="C7160" s="1">
        <f>hyperlink("https://hetutrechtsarchief.nl/collectie/63FEAE1227E65D88B2D98317AFA8F329","Vergeten vliegtuigen luchtvaartarcheologie tussen Vecht en Eem Anton T E Cruysheer 88-97 2008")</f>
        <v>0</v>
      </c>
      <c r="D7160" s="1">
        <f>hyperlink("http://www.ehhv.nl/files/page/vergeten-vliegtuigen-tussen-vecht-en-eem-door-anton-cruysheer.pdf","Vergeten vliegtuigen luchtvaartarcheologie tussen Vecht en Eem Anton Cruysheer 88-97 2008")</f>
        <v>0</v>
      </c>
    </row>
    <row r="7161" spans="2:4">
      <c r="B7161">
        <v>61</v>
      </c>
      <c r="C7161" s="1">
        <f>hyperlink("https://hetutrechtsarchief.nl/collectie/93C28206B4ABBE8AE0534701000A681E","De echo van Huis ter Haar Door Veronique Voorn-Verkleij 38-39 2019")</f>
        <v>0</v>
      </c>
      <c r="D7161" s="1">
        <f>hyperlink("http://www.elseviermaandschrift.nl/page.do;jsessionid=213862C42EB8E460D5B1A87A1902DE7D?code=EGM&amp;date=19020101&amp;id=EGM-19020101-0088","Over den herbouw van het Huis Ter Haar P H van Moerkerken 84-93 1902")</f>
        <v>0</v>
      </c>
    </row>
    <row r="7162" spans="2:4">
      <c r="B7162">
        <v>52</v>
      </c>
      <c r="C7162" s="1">
        <f>hyperlink("https://hetutrechtsarchief.nl/collectie/BF93B56A84315F278163154B5B4343C7","De oprichting van het Centraal Isra litisch Weeshuis te Utrecht Henk Langenberg en Mieke van Zeben 121-128 2000")</f>
        <v>0</v>
      </c>
      <c r="D7162" s="1">
        <f>hyperlink("http://www.emeraldinsight.com/journals.htm?articleid=1529228","Evolution in city centre retailing the case of Utrecht 1974-2003 Koen Weltevreden Jesse Atzema Oedzge Frenken 824-841 2005")</f>
        <v>0</v>
      </c>
    </row>
    <row r="7163" spans="2:4">
      <c r="B7163">
        <v>57</v>
      </c>
      <c r="C7163" s="1">
        <f>hyperlink("https://hetutrechtsarchief.nl/collectie/AFD1430D16D2E4C0E0534701000ACA1E","Leermonumenten in Amersfoort open monumentendag 2020 Jojanneke Clarijs 8-9 2020")</f>
        <v>0</v>
      </c>
      <c r="D7163" s="1">
        <f>hyperlink("http://www.ententeflorale.nl/files/Stadswerk_Wat_te_doen_na_de_roem.pdf","Entente Florale in Amersfoort wat te doen na de roem Marika Kerstens 28-29 2008")</f>
        <v>0</v>
      </c>
    </row>
    <row r="7164" spans="2:4">
      <c r="B7164">
        <v>98</v>
      </c>
      <c r="C7164" s="1">
        <f>hyperlink("https://hetutrechtsarchief.nl/collectie/898B01A162C2DBEFE0534701000A8470","De buitenplaats Oostboek een aangenaam oord Fred Vogelzang 26-27 2012")</f>
        <v>0</v>
      </c>
      <c r="D7164" s="1">
        <f>hyperlink("http://www.erfgoed-utrecht.nl/publicaties/GM_lente_2012_web.pdf","De buitenplaats Oostbroek een aangenaam oord Fred Vogelzang 26-29 2012")</f>
        <v>0</v>
      </c>
    </row>
    <row r="7165" spans="2:4">
      <c r="B7165">
        <v>82</v>
      </c>
      <c r="C7165" s="1">
        <f>hyperlink("https://hetutrechtsarchief.nl/collectie/898B01A162BDDBEFE0534701000A8470","Een slot wordt ontsloten Loenersloot Roland Blijdenstijn 10-14 2012")</f>
        <v>0</v>
      </c>
      <c r="D7165" s="1">
        <f>hyperlink("http://www.erfgoed-utrecht.nl/publicaties/GM_lente_2012_web.pdf","Loenersloot een slot wordt ontsloten Roland Blijdenstijn 10-14 2012")</f>
        <v>0</v>
      </c>
    </row>
    <row r="7166" spans="2:4">
      <c r="B7166">
        <v>100</v>
      </c>
      <c r="C7166" s="1">
        <f>hyperlink("https://hetutrechtsarchief.nl/collectie/898B01A162BEDBEFE0534701000A8470","Buitenplaatsen in Utrecht Alexander Roos 20-23 2012")</f>
        <v>0</v>
      </c>
      <c r="D7166" s="1">
        <f>hyperlink("http://www.erfgoed-utrecht.nl/publicaties/GM_lente_2012_web.pdf","Buitenplaatsen in Utrecht Alexander Roos 20-23 2012")</f>
        <v>0</v>
      </c>
    </row>
    <row r="7167" spans="2:4">
      <c r="B7167">
        <v>57</v>
      </c>
      <c r="C7167" s="1">
        <f>hyperlink("https://hetutrechtsarchief.nl/collectie/F3BCCF9C62835EE094B41FE3F666FE60","Fort Vechten Wichert van Dijk en Jacquelien vroeman 10-11 2010")</f>
        <v>0</v>
      </c>
      <c r="D7167" s="1">
        <f>hyperlink("http://www.erfgoed-utrecht.nl/publicaties/GM_lente_2012_web.pdf","Monumentenwacht als partner Jacquelien Dijk Wichert van Vroemen 30-31 2012")</f>
        <v>0</v>
      </c>
    </row>
    <row r="7168" spans="2:4">
      <c r="B7168">
        <v>78</v>
      </c>
      <c r="C7168" s="1">
        <f>hyperlink("https://hetutrechtsarchief.nl/collectie/898B01A162C1DBEFE0534701000A8470","Zicht op de Vechtstreek Op ontdekkingstocht door een museum zonder muren Eefje Smit Steven de Clerq 24-25 2012")</f>
        <v>0</v>
      </c>
      <c r="D7168" s="1">
        <f>hyperlink("http://www.erfgoed-utrecht.nl/publicaties/GM_lente_2012_web.pdf","Op ontdekkingstocht door een museum zonder muren Eefje Smit 24-25 2012")</f>
        <v>0</v>
      </c>
    </row>
    <row r="7169" spans="2:4">
      <c r="B7169">
        <v>100</v>
      </c>
      <c r="C7169" s="1">
        <f>hyperlink("https://hetutrechtsarchief.nl/collectie/A9A1280813A251DCBCA39187A40769B2","Wonen langs de Rijn ten tijde van Willibrord Ren de Kam 17 2011")</f>
        <v>0</v>
      </c>
      <c r="D7169" s="1">
        <f>hyperlink("http://www.erfgoed-utrecht.nl/publicaties/GM_lente2%20011_def.pdf","Wonen langs de Rijn ten tijde van Willibrord Ren de Kam 17 2011")</f>
        <v>0</v>
      </c>
    </row>
    <row r="7170" spans="2:4">
      <c r="B7170">
        <v>83</v>
      </c>
      <c r="C7170" s="1">
        <f>hyperlink("https://hetutrechtsarchief.nl/collectie/0B47CC7E542E5D4B9D5AC79860CD1E45","Hekken in het landschap Wendy van der Torre en Johan Lagerweij 12-14 2011")</f>
        <v>0</v>
      </c>
      <c r="D7170" s="1">
        <f>hyperlink("http://www.erfgoed-utrecht.nl/publicaties/GM_lente2%20011_def.pdf","Hekken in het landschap Johan Torre Wendy van der Lagerweij 12-14 2011")</f>
        <v>0</v>
      </c>
    </row>
    <row r="7171" spans="2:4">
      <c r="B7171">
        <v>100</v>
      </c>
      <c r="C7171" s="1">
        <f>hyperlink("https://hetutrechtsarchief.nl/collectie/8F6EDE71C48C5DE39F169834B97C5C12","U vraagt wij draaien de archiefbank van het Utrechts Archief Kaj van Vliet 26-27 2011")</f>
        <v>0</v>
      </c>
      <c r="D7171" s="1">
        <f>hyperlink("http://www.erfgoed-utrecht.nl/publicaties/GM_lente2%20011_def.pdf","U vraagt wij draaien de archiefbank van het Utrechts Archief Kaj van Vliet 26-27 2011")</f>
        <v>0</v>
      </c>
    </row>
    <row r="7172" spans="2:4">
      <c r="B7172">
        <v>91</v>
      </c>
      <c r="C7172" s="1">
        <f>hyperlink("https://hetutrechtsarchief.nl/collectie/1747FBCAE3E656329507F76EF7F80D02","Utrechtse hoveniers C W M Rasch 217-221 2011")</f>
        <v>0</v>
      </c>
      <c r="D7172" s="1">
        <f>hyperlink("http://www.erfgoed-utrecht.nl/publicaties/GM_lente2%20011_def.pdf","Utrechtse hoveniers C W M Rasch 30-31 2011")</f>
        <v>0</v>
      </c>
    </row>
    <row r="7173" spans="2:4">
      <c r="B7173">
        <v>100</v>
      </c>
      <c r="C7173" s="1">
        <f>hyperlink("https://hetutrechtsarchief.nl/collectie/CA127F343D245DC0A3CC846F2005C7B1","Stichter van de Paulusabdij even thuis Nusch Romijn 28-29 2011")</f>
        <v>0</v>
      </c>
      <c r="D7173" s="1">
        <f>hyperlink("http://www.erfgoed-utrecht.nl/publicaties/GM_lente2%20011_def.pdf","Stichter van de Paulusabdij even thuis Nusch Romijn 28-29 2011")</f>
        <v>0</v>
      </c>
    </row>
    <row r="7174" spans="2:4">
      <c r="B7174">
        <v>100</v>
      </c>
      <c r="C7174" s="1">
        <f>hyperlink("https://hetutrechtsarchief.nl/collectie/9D90BF3313355A09B37D3847293631F2","De Amelisweerden en Rhijnauwen buitenplaatsenparel langs de Kromme Rijn Roland Blijdestijn 22-25 2011")</f>
        <v>0</v>
      </c>
      <c r="D7174" s="1">
        <f>hyperlink("http://www.erfgoed-utrecht.nl/publicaties/GM_lente2%20011_def.pdf","De Amelisweerden en Rhijnauwen buitenplaatsenparel langs de Kromme Rijn Roland Blijdenstijn 22-25 2011")</f>
        <v>0</v>
      </c>
    </row>
    <row r="7175" spans="2:4">
      <c r="B7175">
        <v>100</v>
      </c>
      <c r="C7175" s="1">
        <f>hyperlink("https://hetutrechtsarchief.nl/collectie/006814A64FAD56B890C5FC49418806BA","Herbestemming watertoren Overvecht Bettina van Santen 18-19 2011")</f>
        <v>0</v>
      </c>
      <c r="D7175" s="1">
        <f>hyperlink("http://www.erfgoed-utrecht.nl/publicaties/GM_lente2%20011_def.pdf","Herbestemming watertoren Overvecht Bettina van Santen 18-19 2011")</f>
        <v>0</v>
      </c>
    </row>
    <row r="7176" spans="2:4">
      <c r="B7176">
        <v>100</v>
      </c>
      <c r="C7176" s="1">
        <f>hyperlink("https://hetutrechtsarchief.nl/collectie/DBF235F387CE5522B0E35802CCE89681","Het Zeisterbos een recreatiebos met een bijzondere historie Hans Zijlstra 4-7 2011")</f>
        <v>0</v>
      </c>
      <c r="D7176" s="1">
        <f>hyperlink("http://www.erfgoed-utrecht.nl/publicaties/GM_lente2%20011_def.pdf","Het Zeisterbos een recreatiebos met een bijzondere historie Hans Zijlstra 4-7 2011")</f>
        <v>0</v>
      </c>
    </row>
    <row r="7177" spans="2:4">
      <c r="B7177">
        <v>100</v>
      </c>
      <c r="C7177" s="1">
        <f>hyperlink("https://hetutrechtsarchief.nl/collectie/7C23467AC8265C0889DF9ED85AADC42A","Restauratie van kasteel De Haar Alice Gut 20-21 2011")</f>
        <v>0</v>
      </c>
      <c r="D7177" s="1">
        <f>hyperlink("http://www.erfgoed-utrecht.nl/publicaties/GM_winter%202011%20def.pdf","Restauratie van kasteel de Haar Alice Gut 20-21 2011")</f>
        <v>0</v>
      </c>
    </row>
    <row r="7178" spans="2:4">
      <c r="B7178">
        <v>100</v>
      </c>
      <c r="C7178" s="1">
        <f>hyperlink("https://hetutrechtsarchief.nl/collectie/BA2BF18AD0355B3895C280D4B43B6EBC","Van boswal tot bunker een inventarisatie van landschapselementen op de Utrechtse Heuvelrug Michiel Purmer 4-6 2011")</f>
        <v>0</v>
      </c>
      <c r="D7178" s="1">
        <f>hyperlink("http://www.erfgoed-utrecht.nl/publicaties/GM_winter%202011%20def.pdf","Van boswal tot bunker een inventarisatie van landschapselementen op de Utrechtse Heuvelrug Michiel Purmer 4-6 2011")</f>
        <v>0</v>
      </c>
    </row>
    <row r="7179" spans="2:4">
      <c r="B7179">
        <v>54</v>
      </c>
      <c r="C7179" s="1">
        <f>hyperlink("https://hetutrechtsarchief.nl/collectie/A889257292E854B3B230C40EA5472431","Sabine d r zit wat in provinciale online bibliografie wordt volwassen Willemke Landman 9 2009")</f>
        <v>0</v>
      </c>
      <c r="D7179" s="1">
        <f>hyperlink("http://www.erfgoed-utrecht.nl/publicaties/GM_winter%202011%20def.pdf","Wie zou daar zonder ons nog iets van weten Ruim 3 000 bronnen van regionale historie door Sabine ontsloten Willemke Landman 7-9 2011")</f>
        <v>0</v>
      </c>
    </row>
    <row r="7180" spans="2:4">
      <c r="B7180">
        <v>64</v>
      </c>
      <c r="C7180" s="1">
        <f>hyperlink("https://hetutrechtsarchief.nl/collectie/F234AA9D46AC59D1949679FA14D6F4C8","De geschiedenis van de Utrechtse City Bioscoop Herman de Wit 130-135 2015")</f>
        <v>0</v>
      </c>
      <c r="D7180" s="1">
        <f>hyperlink("http://www.erfgoed-utrecht.nl/publicaties/GM_winter%202011%20def.pdf","Schatten van De Utrechtse Schatkamer Jos Wassink 10-13 2011")</f>
        <v>0</v>
      </c>
    </row>
    <row r="7181" spans="2:4">
      <c r="B7181">
        <v>100</v>
      </c>
      <c r="C7181" s="1">
        <f>hyperlink("https://hetutrechtsarchief.nl/collectie/D379C339FA365AD7A546B51235240B17","Uitvoeringsagenda historische buitenplaatsen 2012-2013 Roland Blijdenstijn 16-19 2011")</f>
        <v>0</v>
      </c>
      <c r="D7181" s="1">
        <f>hyperlink("http://www.erfgoed-utrecht.nl/publicaties/GM_winter%202011%20def.pdf","Uitvoeringsagenda Historische Buitenplaatsen 2012-2013 Roland Blijdenstijn 16-19 2011")</f>
        <v>0</v>
      </c>
    </row>
    <row r="7182" spans="2:4">
      <c r="B7182">
        <v>61</v>
      </c>
      <c r="C7182" s="1">
        <f>hyperlink("https://hetutrechtsarchief.nl/collectie/8A6B72EF7645778DE0534701000A4384","Liever niets doen dan verkeerd isoleren monumentenwacht en duurzaamheid Wichert van Dijk en Jacquelien Vroemen 18-19 2012")</f>
        <v>0</v>
      </c>
      <c r="D7182" s="1">
        <f>hyperlink("http://www.erfgoed-utrecht.nl/publicaties/GM_winter%202011%20def.pdf","Zesendertig jaar Monumentenwacht Utrecht Wichert van Vroemen Jacquelien Dijk 30-31 2011")</f>
        <v>0</v>
      </c>
    </row>
    <row r="7183" spans="2:4">
      <c r="B7183">
        <v>65</v>
      </c>
      <c r="C7183" s="1">
        <f>hyperlink("https://hetutrechtsarchief.nl/collectie/65C9A00C9902F0F9E0534701000AB66E","Prehistorisch tafelen in Utrecht Linda Dielemans 9-14 2017")</f>
        <v>0</v>
      </c>
      <c r="D7183" s="1">
        <f>hyperlink("http://www.erfgoed-utrecht.nl/publicaties/GM_winter%202011%20def.pdf","Vlechtwerk van duizenden jaren oud in Utrecht Linda Dielemans 23 2011")</f>
        <v>0</v>
      </c>
    </row>
    <row r="7184" spans="2:4">
      <c r="B7184">
        <v>54</v>
      </c>
      <c r="C7184" s="1">
        <f>hyperlink("https://hetutrechtsarchief.nl/collectie/93D6F393E634F7E5E0534701000A75DF","Utrecht begint hier Het Utrechts Archief 28-29 2019")</f>
        <v>0</v>
      </c>
      <c r="D7184" s="1">
        <f>hyperlink("http://www.erfgoed-utrecht.nl/publicaties/GM_winter%202011%20def.pdf","Utrecht in 3D historische stereofoto s Utrechts Archief eindelijk in 3 D te zien Yvonne Lansink 26- 29 2011")</f>
        <v>0</v>
      </c>
    </row>
    <row r="7185" spans="2:4">
      <c r="B7185">
        <v>100</v>
      </c>
      <c r="C7185" s="1">
        <f>hyperlink("https://hetutrechtsarchief.nl/collectie/8CF86DC674C95A42AD85C8AFF73435A4","Religiositeit in laatmiddeleeuws Utrecht Llewellyn Bogaers 22-26 2008")</f>
        <v>0</v>
      </c>
      <c r="D7185" s="1">
        <f>hyperlink("http://www.erfgoed-utrecht.nl/publicaties/GM_zomer%202008_def.pdf","Religiositeit in laatmiddeleeuws Utrecht Llewellyn Bogaers 22-26 2008")</f>
        <v>0</v>
      </c>
    </row>
    <row r="7186" spans="2:4">
      <c r="B7186">
        <v>100</v>
      </c>
      <c r="C7186" s="1">
        <f>hyperlink("https://hetutrechtsarchief.nl/collectie/D8803C4C57DA53338F47F9AE462E722B","Rituele maaltijden op een rivieroever Jeroen van der Kamp 8-9 2011")</f>
        <v>0</v>
      </c>
      <c r="D7186" s="1">
        <f>hyperlink("http://www.erfgoed-utrecht.nl/publicaties/GM_zomer%202011.pdf","Rituele maaltijden op een rivieroever Jeroen van der Kamp 8-9 2011")</f>
        <v>0</v>
      </c>
    </row>
    <row r="7187" spans="2:4">
      <c r="B7187">
        <v>55</v>
      </c>
      <c r="C7187" s="1">
        <f>hyperlink("https://hetutrechtsarchief.nl/collectie/275351CB5C74532C9332785F3B0952D0","De vroegere veevoederindustrie in IJsselstein Hans Ellenbroek 1-18 2011")</f>
        <v>0</v>
      </c>
      <c r="D7187" s="1">
        <f>hyperlink("http://www.erfgoed-utrecht.nl/publicaties/GM_zomer%202011.pdf","On vergelijkbare Oranje-heerlijkheden IJsselstein en Soest Jos Wassink 30-31 2011")</f>
        <v>0</v>
      </c>
    </row>
    <row r="7188" spans="2:4">
      <c r="B7188">
        <v>99</v>
      </c>
      <c r="C7188" s="1">
        <f>hyperlink("https://hetutrechtsarchief.nl/collectie/2BCB619C0D7C5603B5C0AA49EE6194AD","Vliegbasis Soesterberg erfgoed van de angst ontsluierd Roland Blijdestijn 14-17 2011")</f>
        <v>0</v>
      </c>
      <c r="D7188" s="1">
        <f>hyperlink("http://www.erfgoed-utrecht.nl/publicaties/GM_zomer%202011.pdf","Vliegbasis Soesterberg erfgoed van de angst ontsluierd Roland Blijdenstijn 14-17 2011")</f>
        <v>0</v>
      </c>
    </row>
    <row r="7189" spans="2:4">
      <c r="B7189">
        <v>57</v>
      </c>
      <c r="C7189" s="1">
        <f>hyperlink("https://hetutrechtsarchief.nl/collectie/5F45DACDA6E951588C50CC22A0FDDD76","Wouter Kotte en de kunst in Utrecht 1 Roman Koot 29-31 2004")</f>
        <v>0</v>
      </c>
      <c r="D7189" s="1">
        <f>hyperlink("http://www.erfgoed-utrecht.nl/publicaties/GM_zomer%202011.pdf","Ouwe koeien tentoonstelling over dieren in Utrecht Nusch Romijn 22-25 2011")</f>
        <v>0</v>
      </c>
    </row>
    <row r="7190" spans="2:4">
      <c r="B7190">
        <v>85</v>
      </c>
      <c r="C7190" s="1">
        <f>hyperlink("https://hetutrechtsarchief.nl/collectie/247A0FCFCB425200B6FCB0C789E9FD4F","Volkstuinen modelinge geschiedenisprojecten over de Tweede Wereldoorlog Gerhard van den Berg Tico Koopmans en Iris van Meer 26-28 2011")</f>
        <v>0</v>
      </c>
      <c r="D7190" s="1">
        <f>hyperlink("http://www.erfgoed-utrecht.nl/publicaties/GM_zomer%202011.pdf","Volkstuinen mondelinge geschiedenisprojecten over de Tweede Wereldoorlog Iris van Berg Gerhard van den Koopmans Tico Meer 26- 29 2011")</f>
        <v>0</v>
      </c>
    </row>
    <row r="7191" spans="2:4">
      <c r="B7191">
        <v>93</v>
      </c>
      <c r="C7191" s="1">
        <f>hyperlink("https://hetutrechtsarchief.nl/collectie/E1EDB841FC1F57989546C6628DF6A9CF","Breekbare sporen 2008")</f>
        <v>0</v>
      </c>
      <c r="D7191" s="1">
        <f>hyperlink("http://www.erfgoed-utrecht.nl/publicaties/gm%20herfst%202008.pdf","Breekbare sporen 23 2008")</f>
        <v>0</v>
      </c>
    </row>
    <row r="7192" spans="2:4">
      <c r="B7192">
        <v>84</v>
      </c>
      <c r="C7192" s="1">
        <f>hyperlink("https://hetutrechtsarchief.nl/collectie/66F3FF1973CC5B45ACB808DF7C050741","Multiculturele natuur Floor Haalboom en Siera Wiersma 4-7 2008")</f>
        <v>0</v>
      </c>
      <c r="D7192" s="1">
        <f>hyperlink("http://www.erfgoed-utrecht.nl/publicaties/gm%20herfst%202008.pdf","Multiculturele natuur Siera Haalboom Floor Wiersma 4-7 2008")</f>
        <v>0</v>
      </c>
    </row>
    <row r="7193" spans="2:4">
      <c r="B7193">
        <v>100</v>
      </c>
      <c r="C7193" s="1">
        <f>hyperlink("https://hetutrechtsarchief.nl/collectie/2323394F96C751CE8E8D26A286AFC43F","Tastbare tijd historische geografie in de klas Eefje Smit 12-13 2008")</f>
        <v>0</v>
      </c>
      <c r="D7193" s="1">
        <f>hyperlink("http://www.erfgoed-utrecht.nl/publicaties/gm%20herfst%202008.pdf","Tastbare tijd historische geografie in de klas Eefje Smit 12-13 2008")</f>
        <v>0</v>
      </c>
    </row>
    <row r="7194" spans="2:4">
      <c r="B7194">
        <v>100</v>
      </c>
      <c r="C7194" s="1">
        <f>hyperlink("https://hetutrechtsarchief.nl/collectie/CFF9003856CE5FE38929824EBB5FC018","Nostalgie vervoering illusie cinema in Utrecht van 1896 tot nu Floortje Tuinstra 17-18 2008")</f>
        <v>0</v>
      </c>
      <c r="D7194" s="1">
        <f>hyperlink("http://www.erfgoed-utrecht.nl/publicaties/gm%20herfst%202008.pdf","Nostalgie vervoering illusie cinema in Utrecht van 1896 tot nu Floortje Tuinstra 17-18 2008")</f>
        <v>0</v>
      </c>
    </row>
    <row r="7195" spans="2:4">
      <c r="B7195">
        <v>100</v>
      </c>
      <c r="C7195" s="1">
        <f>hyperlink("https://hetutrechtsarchief.nl/collectie/4C41598774625AD2A689351420E8BDEC","Sporen van het spoor Marijke van den Heuvel 20-21 2008")</f>
        <v>0</v>
      </c>
      <c r="D7195" s="1">
        <f>hyperlink("http://www.erfgoed-utrecht.nl/publicaties/gm%20herfst%202008.pdf","Sporen van het spoor Marijke van den Heuvel 20-21 2008")</f>
        <v>0</v>
      </c>
    </row>
    <row r="7196" spans="2:4">
      <c r="B7196">
        <v>100</v>
      </c>
      <c r="C7196" s="1">
        <f>hyperlink("https://hetutrechtsarchief.nl/collectie/8BDE4A782DA05C5BB845025924021C0F","Staalgieterij Demka smeltkroes van Utrecht Floortje Tuinstra 14-16 2008")</f>
        <v>0</v>
      </c>
      <c r="D7196" s="1">
        <f>hyperlink("http://www.erfgoed-utrecht.nl/publicaties/gm%20herfst%202008.pdf","Staalgieterij Demka smeltkroes van Utrecht Floortje Tuinstra 14-16 2008")</f>
        <v>0</v>
      </c>
    </row>
    <row r="7197" spans="2:4">
      <c r="B7197">
        <v>92</v>
      </c>
      <c r="C7197" s="1">
        <f>hyperlink("https://hetutrechtsarchief.nl/collectie/8BF9CE9E38C65FC2B9CE948A56BFA9C6","Speuren naar sporen boerderij-onderzoek voor wetenschapper en liefhebber 22-24 2010")</f>
        <v>0</v>
      </c>
      <c r="D7197" s="1">
        <f>hyperlink("http://www.erfgoed-utrecht.nl/publicaties/gm%20herfst%202010.pdf","Speuren naar sporen boerderij-onderzoek voor wetenschapper en liefhebber Judith Toebast 22-24 2010")</f>
        <v>0</v>
      </c>
    </row>
    <row r="7198" spans="2:4">
      <c r="B7198">
        <v>100</v>
      </c>
      <c r="C7198" s="1">
        <f>hyperlink("https://hetutrechtsarchief.nl/collectie/87D59A21D3575624ACA2465AC45E333A","Baarnse Bos een vorstelijk wandelpark Roland Blijdenstijn 14-17 2010")</f>
        <v>0</v>
      </c>
      <c r="D7198" s="1">
        <f>hyperlink("http://www.erfgoed-utrecht.nl/publicaties/gm%20herfst%202010.pdf","Baarnse Bos een vorstelijk wandelpark Roland Blijdenstijn 14-17 2010")</f>
        <v>0</v>
      </c>
    </row>
    <row r="7199" spans="2:4">
      <c r="B7199">
        <v>62</v>
      </c>
      <c r="C7199" s="1">
        <f>hyperlink("https://hetutrechtsarchief.nl/collectie/7EC27DF8FA0957A89349E60836626D75","Inspectie reparatie Wichert van Dijk en Jacquelien Vroemen 8-9 2010")</f>
        <v>0</v>
      </c>
      <c r="D7199" s="1">
        <f>hyperlink("http://www.erfgoed-utrecht.nl/publicaties/gm%20herfst%202010.pdf","Inspectie reparatie behoud monumentenwacht Utrecht houdt kosten beheersbaar Jacquelien Dijk Wichert van Vroemen 8-9 2010")</f>
        <v>0</v>
      </c>
    </row>
    <row r="7200" spans="2:4">
      <c r="B7200">
        <v>100</v>
      </c>
      <c r="C7200" s="1">
        <f>hyperlink("https://hetutrechtsarchief.nl/collectie/5C126C76C9DE5CE0A1DF3FB636D5E4E3","Kanunniken te paard Jeroen van der Kamp 18-19 2010")</f>
        <v>0</v>
      </c>
      <c r="D7200" s="1">
        <f>hyperlink("http://www.erfgoed-utrecht.nl/publicaties/gm%20herfst%202010.pdf","Kanunniken te paard Jeroen van der Kamp 18-19 2010")</f>
        <v>0</v>
      </c>
    </row>
    <row r="7201" spans="2:4">
      <c r="B7201">
        <v>100</v>
      </c>
      <c r="C7201" s="1">
        <f>hyperlink("https://hetutrechtsarchief.nl/collectie/7BC82BE0F2CA55F087760909060F22A7","Vierde lustrum boerderij van het jaar Arien Heering 5-7 2010")</f>
        <v>0</v>
      </c>
      <c r="D7201" s="1">
        <f>hyperlink("http://www.erfgoed-utrecht.nl/publicaties/gm%20herfst%202010.pdf","Vierde lustrum boerderij van het jaar Arien Heering 5-7 2010")</f>
        <v>0</v>
      </c>
    </row>
    <row r="7202" spans="2:4">
      <c r="B7202">
        <v>100</v>
      </c>
      <c r="C7202" s="1">
        <f>hyperlink("https://hetutrechtsarchief.nl/collectie/CF1B6760B8E152D6B2B3216DFF3A96B2","De Utrechtse jaren van Mr P J Troelstra Hans L gers 21 2010")</f>
        <v>0</v>
      </c>
      <c r="D7202" s="1">
        <f>hyperlink("http://www.erfgoed-utrecht.nl/publicaties/gm%20herfst%202010.pdf","De Utrechtse jaren van Mr P J Troelstra Hans L gers 21 2010")</f>
        <v>0</v>
      </c>
    </row>
    <row r="7203" spans="2:4">
      <c r="B7203">
        <v>100</v>
      </c>
      <c r="C7203" s="1">
        <f>hyperlink("https://hetutrechtsarchief.nl/collectie/35DFA6637F955A32BCF1E08B2530AB4C","Letters op deksel sarcofaag Bernold Frank Moed 20 2010")</f>
        <v>0</v>
      </c>
      <c r="D7203" s="1">
        <f>hyperlink("http://www.erfgoed-utrecht.nl/publicaties/gm%20herfst%202010.pdf","Letters op deksel sarcofaag Bernold Frank Moed 20 2010")</f>
        <v>0</v>
      </c>
    </row>
    <row r="7204" spans="2:4">
      <c r="B7204">
        <v>100</v>
      </c>
      <c r="C7204" s="1">
        <f>hyperlink("https://hetutrechtsarchief.nl/collectie/70B4E6370993516CAC95167ABF15D353","Langs Utrechtse werven Maarten Lemmens 10-13 2010")</f>
        <v>0</v>
      </c>
      <c r="D7204" s="1">
        <f>hyperlink("http://www.erfgoed-utrecht.nl/publicaties/gm%20herfst%202010.pdf","Langs Utrechtse werven Maarten Lemmens 10-13 2010")</f>
        <v>0</v>
      </c>
    </row>
    <row r="7205" spans="2:4">
      <c r="B7205">
        <v>78</v>
      </c>
      <c r="C7205" s="1">
        <f>hyperlink("https://hetutrechtsarchief.nl/collectie/A7E57D709443581684A7CAB591F5AAB9","De schatten van Nathalie Joosten 25 2010")</f>
        <v>0</v>
      </c>
      <c r="D7205" s="1">
        <f>hyperlink("http://www.erfgoed-utrecht.nl/publicaties/gm%20herfst%202010.pdf","De schatten van Luko van t Hoenderdaal Nathalie Joosten 25 2010")</f>
        <v>0</v>
      </c>
    </row>
    <row r="7206" spans="2:4">
      <c r="B7206">
        <v>100</v>
      </c>
      <c r="C7206" s="1">
        <f>hyperlink("https://hetutrechtsarchief.nl/collectie/89DC074ED8D3B10DE0534701000A1030","Landgoed Wickenburgh Otto Wttewaall 12-13 2012")</f>
        <v>0</v>
      </c>
      <c r="D7206" s="1">
        <f>hyperlink("http://www.erfgoed-utrecht.nl/publicaties/GM%20herfst%20def%202012.pdf","Landgoed Wickenburgh Otto Wttewaall 12-13 2012")</f>
        <v>0</v>
      </c>
    </row>
    <row r="7207" spans="2:4">
      <c r="B7207">
        <v>71</v>
      </c>
      <c r="C7207" s="1">
        <f>hyperlink("https://hetutrechtsarchief.nl/collectie/89DC074ED8D6B10DE0534701000A1030","Once in a lifetime de restauratie van Oud-Amelisweerd Andrea Klerks 16-17 2012")</f>
        <v>0</v>
      </c>
      <c r="D7207" s="1">
        <f>hyperlink("http://www.erfgoed-utrecht.nl/publicaties/GM%20herfst%20def%202012.pdf","Once in a lifetime Andrea Klerks 16-17 2012")</f>
        <v>0</v>
      </c>
    </row>
    <row r="7208" spans="2:4">
      <c r="B7208">
        <v>67</v>
      </c>
      <c r="C7208" s="1">
        <f>hyperlink("https://hetutrechtsarchief.nl/collectie/8A6B72EF7640778DE0534701000A4384","Iedereen zijn eigen bordje Jacquelien Vroemen 30-31 2012")</f>
        <v>0</v>
      </c>
      <c r="D7208" s="1">
        <f>hyperlink("http://www.erfgoed-utrecht.nl/publicaties/GM%20herfst%20def%202012.pdf","Iedereen zijn eigen bordje http shoudio com collection 65 hollandsche-rading html Jacquelien Vroemen 30-31 2012")</f>
        <v>0</v>
      </c>
    </row>
    <row r="7209" spans="2:4">
      <c r="B7209">
        <v>100</v>
      </c>
      <c r="C7209" s="1">
        <f>hyperlink("https://hetutrechtsarchief.nl/collectie/89DC074ED8D4B10DE0534701000A1030","Gooi open die buitenplaatspoorten Ellen Roosjen 14-15 2012")</f>
        <v>0</v>
      </c>
      <c r="D7209" s="1">
        <f>hyperlink("http://www.erfgoed-utrecht.nl/publicaties/GM%20herfst%20def%202012.pdf","Gooi open die buitenplaatspoorten Ellen Roosjen 14-15 2012")</f>
        <v>0</v>
      </c>
    </row>
    <row r="7210" spans="2:4">
      <c r="B7210">
        <v>94</v>
      </c>
      <c r="C7210" s="1">
        <f>hyperlink("https://hetutrechtsarchief.nl/collectie/F8786AA73DB459D8AF4932CAF40A1F06","Rituelen in Rijnvliet Linda Dielemans 14-17 2013")</f>
        <v>0</v>
      </c>
      <c r="D7210" s="1">
        <f>hyperlink("http://www.erfgoed-utrecht.nl/publicaties/GM%20herfst%20def%202012.pdf","Rituelen in Rijnvliet Linda Dielemans 18-19 2012")</f>
        <v>0</v>
      </c>
    </row>
    <row r="7211" spans="2:4">
      <c r="B7211">
        <v>100</v>
      </c>
      <c r="C7211" s="1">
        <f>hyperlink("https://hetutrechtsarchief.nl/collectie/89DC074ED8D2B10DE0534701000A1030","Zichtlijn als basis van de buitenplaats Roland Blijdenstijn 8-11 2012")</f>
        <v>0</v>
      </c>
      <c r="D7211" s="1">
        <f>hyperlink("http://www.erfgoed-utrecht.nl/publicaties/GM%20herfst%20def%202012.pdf","Zichtlijn als basis van de buitenplaats Roland Blijdenstijn 8-11 2012")</f>
        <v>0</v>
      </c>
    </row>
    <row r="7212" spans="2:4">
      <c r="B7212">
        <v>87</v>
      </c>
      <c r="C7212" s="1">
        <f>hyperlink("https://hetutrechtsarchief.nl/collectie/89DC074ED8D9B10DE0534701000A1030","Het Gregoriushuis monumentenwacht begeleidt uitvoering onderhoudswerk Wichert van Dijk 24-25 2012")</f>
        <v>0</v>
      </c>
      <c r="D7212" s="1">
        <f>hyperlink("http://www.erfgoed-utrecht.nl/publicaties/GM%20herfst%20def%202012.pdf","Het Gregoriushuis Monumentenwacht begeleidt uitvoering onderhoudswerk Jacquelien Dijk Wichert van Vroemen 24-25 2012")</f>
        <v>0</v>
      </c>
    </row>
    <row r="7213" spans="2:4">
      <c r="B7213">
        <v>99</v>
      </c>
      <c r="C7213" s="1">
        <f>hyperlink("https://hetutrechtsarchief.nl/collectie/89DC074ED8DAB10DE0534701000A1030","Rechtspraak in Utrecht Nettie Stoppelenburg 26-29 2012")</f>
        <v>0</v>
      </c>
      <c r="D7213" s="1">
        <f>hyperlink("http://www.erfgoed-utrecht.nl/publicaties/GM%20herfst%20def%202012.pdf","Rechtspraak in Utrecht Nettie Stoppelenburg 26- 29 2012")</f>
        <v>0</v>
      </c>
    </row>
    <row r="7214" spans="2:4">
      <c r="B7214">
        <v>58</v>
      </c>
      <c r="C7214" s="1">
        <f>hyperlink("https://hetutrechtsarchief.nl/collectie/6F0F13A34E82C71FE0534701000A16E0","Dichtersgilde op de bres voor de stad Marijke Brunt 5 2018")</f>
        <v>0</v>
      </c>
      <c r="D7214" s="1">
        <f>hyperlink("http://www.erfgoed-utrecht.nl/publicaties/GM%20herfst2011.pdf","Decennialang op de bres voor behoud industrieel erfgoed Martha de Wit 24-25 2011")</f>
        <v>0</v>
      </c>
    </row>
    <row r="7215" spans="2:4">
      <c r="B7215">
        <v>100</v>
      </c>
      <c r="C7215" s="1">
        <f>hyperlink("https://hetutrechtsarchief.nl/collectie/06B7847F8B135F70A020E694D1996363","Thesaurus Fectio castellum Fectio wordt na 2000 jaar weer zichtbaar Marcel Eekhout 16-19 2011")</f>
        <v>0</v>
      </c>
      <c r="D7215" s="1">
        <f>hyperlink("http://www.erfgoed-utrecht.nl/publicaties/GM%20herfst2011.pdf","Thesaurus Fectio castellum Fectio wordt na 2000 jaar weer zichtbaar Marcel Eekhout 16-19 2011")</f>
        <v>0</v>
      </c>
    </row>
    <row r="7216" spans="2:4">
      <c r="B7216">
        <v>100</v>
      </c>
      <c r="C7216" s="1">
        <f>hyperlink("https://hetutrechtsarchief.nl/collectie/692EDE7C87E05CB5A912103DF56B1CEC","Middeleeuwse muizenissen Jeroen van der Kamp 20-21 2011")</f>
        <v>0</v>
      </c>
      <c r="D7216" s="1">
        <f>hyperlink("http://www.erfgoed-utrecht.nl/publicaties/GM%20herfst2011.pdf","Middeleeuwse muizenissen Jeroen van der Kamp 20-21 2011")</f>
        <v>0</v>
      </c>
    </row>
    <row r="7217" spans="2:4">
      <c r="B7217">
        <v>100</v>
      </c>
      <c r="C7217" s="1">
        <f>hyperlink("https://hetutrechtsarchief.nl/collectie/BB65184E68355E4AB6063AFA07BD1697","K lner Decke aan de Plompetorengracht Ren de Kam 22-23 2011")</f>
        <v>0</v>
      </c>
      <c r="D7217" s="1">
        <f>hyperlink("http://www.erfgoed-utrecht.nl/publicaties/GM%20herfst2011.pdf","K lner Decke aan de Plompetorengracht Ren de Kam 22-23 2011")</f>
        <v>0</v>
      </c>
    </row>
    <row r="7218" spans="2:4">
      <c r="B7218">
        <v>100</v>
      </c>
      <c r="C7218" s="1">
        <f>hyperlink("https://hetutrechtsarchief.nl/collectie/783AEBCB7BC350C0962B6868C90B4D73","Het Utrechts Archief waar de muren spreken Nusch Romijn 26-29 2011")</f>
        <v>0</v>
      </c>
      <c r="D7218" s="1">
        <f>hyperlink("http://www.erfgoed-utrecht.nl/publicaties/GM%20herfst2011.pdf","Het Utrechts Archief waar de muren spreken Nusch Romijn 26-29 2011")</f>
        <v>0</v>
      </c>
    </row>
    <row r="7219" spans="2:4">
      <c r="B7219">
        <v>60</v>
      </c>
      <c r="C7219" s="1">
        <f>hyperlink("https://hetutrechtsarchief.nl/collectie/01572195BE765F63BF5A226E866488DA","Het belang van gemeentelijke monumenten Wichert van Dijk en Jacquelien Vroemen 12-13 2010")</f>
        <v>0</v>
      </c>
      <c r="D7219" s="1">
        <f>hyperlink("http://www.erfgoed-utrecht.nl/publicaties/GM%20herfst2011.pdf","Nieuw leven voor nutteloze gebouwen Wichert van Vroemen Jacquelien Dijk 30-31 2011")</f>
        <v>0</v>
      </c>
    </row>
    <row r="7220" spans="2:4">
      <c r="B7220">
        <v>64</v>
      </c>
      <c r="C7220" s="1">
        <f>hyperlink("https://hetutrechtsarchief.nl/collectie/7BC82BE0F2CA55F087760909060F22A7","Vierde lustrum boerderij van het jaar Arien Heering 5-7 2010")</f>
        <v>0</v>
      </c>
      <c r="D7220" s="1">
        <f>hyperlink("http://www.erfgoed-utrecht.nl/publicaties/GM%20herfst2011.pdf","Hofstede De Hoge Ham boerderij van het jaar voorbeeldig herbestemd Arien Heering 14-15 2011")</f>
        <v>0</v>
      </c>
    </row>
    <row r="7221" spans="2:4">
      <c r="B7221">
        <v>100</v>
      </c>
      <c r="C7221" s="1">
        <f>hyperlink("https://hetutrechtsarchief.nl/collectie/C70BBA6FAB6C520081DEA01933C970F1","Passie voor ganzenflappen Dick A Jonkers 14-15 2010")</f>
        <v>0</v>
      </c>
      <c r="D7221" s="1">
        <f>hyperlink("http://www.erfgoed-utrecht.nl/publicaties/gm%20lente%202010.pdf","Passie voor ganzenflappen Dick A Jonkers 14-15 2010")</f>
        <v>0</v>
      </c>
    </row>
    <row r="7222" spans="2:4">
      <c r="B7222">
        <v>100</v>
      </c>
      <c r="C7222" s="1">
        <f>hyperlink("https://hetutrechtsarchief.nl/collectie/93739A8D4FEF5E32A83D20527F421B01","Panorama Heuvelrug Hans Zijlstra 22-25 2010")</f>
        <v>0</v>
      </c>
      <c r="D7222" s="1">
        <f>hyperlink("http://www.erfgoed-utrecht.nl/publicaties/gm%20lente%202010.pdf","Panorama Heuvelrug Hans Zijlstra 22-25 2010")</f>
        <v>0</v>
      </c>
    </row>
    <row r="7223" spans="2:4">
      <c r="B7223">
        <v>100</v>
      </c>
      <c r="C7223" s="1">
        <f>hyperlink("https://hetutrechtsarchief.nl/collectie/06B0A1E2D22E56A795C056D635B15B82","In Hollandsche Rading staat een huis Arien Heering 26-28 2010")</f>
        <v>0</v>
      </c>
      <c r="D7223" s="1">
        <f>hyperlink("http://www.erfgoed-utrecht.nl/publicaties/gm%20lente%202010.pdf","In Hollandsche Rading staat een huis Arien Heering 26-28 2010")</f>
        <v>0</v>
      </c>
    </row>
    <row r="7224" spans="2:4">
      <c r="B7224">
        <v>100</v>
      </c>
      <c r="C7224" s="1">
        <f>hyperlink("https://hetutrechtsarchief.nl/collectie/20015FF1CC615E198DED6D84F2CC7500","Het Stichtse lijntje ruim een eeuw spoor tussen Utrecht en Baarn Anne Houk de Jong 18-21 2010")</f>
        <v>0</v>
      </c>
      <c r="D7224" s="1">
        <f>hyperlink("http://www.erfgoed-utrecht.nl/publicaties/gm%20lente%202010.pdf","Het Stichtse lijntje ruim een eeuw spoor tussen Utrecht en Baarn Anne Houk de Jong 18-21 2010")</f>
        <v>0</v>
      </c>
    </row>
    <row r="7225" spans="2:4">
      <c r="B7225">
        <v>100</v>
      </c>
      <c r="C7225" s="1">
        <f>hyperlink("https://hetutrechtsarchief.nl/collectie/30F162401185535D9F0EA129676CE922","Voor elk wat wils 100 jaar sociale woningbouw in Utrecht Bettina van Santen 11 2010")</f>
        <v>0</v>
      </c>
      <c r="D7225" s="1">
        <f>hyperlink("http://www.erfgoed-utrecht.nl/publicaties/gm%20lente%202010.pdf","Voor elk wat wils 100 jaar sociale woningbouw in Utrecht Bettina van Santen 11 2010")</f>
        <v>0</v>
      </c>
    </row>
    <row r="7226" spans="2:4">
      <c r="B7226">
        <v>100</v>
      </c>
      <c r="C7226" s="1">
        <f>hyperlink("https://hetutrechtsarchief.nl/collectie/1A9302D8F29C5DBDA7AD16A61BA73DA5","Scherven bewaren of niet Ren de Kam 8-9 2010")</f>
        <v>0</v>
      </c>
      <c r="D7226" s="1">
        <f>hyperlink("http://www.erfgoed-utrecht.nl/publicaties/gm%20lente%202010.pdf","Scherven bewaren of niet Ren de Kam 8-9 2010")</f>
        <v>0</v>
      </c>
    </row>
    <row r="7227" spans="2:4">
      <c r="B7227">
        <v>100</v>
      </c>
      <c r="C7227" s="1">
        <f>hyperlink("https://hetutrechtsarchief.nl/collectie/F6789A47D5D45DA29124AB47C1F8E982","De Egh der Weegen een groots zeventiende-eeuws project wordt zichtbaar Roland Blijdenstijn 16-19 2010")</f>
        <v>0</v>
      </c>
      <c r="D7227" s="1">
        <f>hyperlink("http://www.erfgoed-utrecht.nl/publicaties/GM%20winter%202010.pdf","De Wegh der Weegen een groots zeventiende-eeuws project wordt zichtbaar Roland Blijdenstijn 16-19 2010")</f>
        <v>0</v>
      </c>
    </row>
    <row r="7228" spans="2:4">
      <c r="B7228">
        <v>100</v>
      </c>
      <c r="C7228" s="1">
        <f>hyperlink("https://hetutrechtsarchief.nl/collectie/617D4ADDBD7E52A88F78DEB87F99E8EB","Duitse bommenwerper na 70 jaar weer teruggevonden Jeroen van der Kamp 26-27 2010")</f>
        <v>0</v>
      </c>
      <c r="D7228" s="1">
        <f>hyperlink("http://www.erfgoed-utrecht.nl/publicaties/GM%20winter%202010.pdf","Duitse bommenwerper na 70 jaar weer teruggevonden Jeroen van der Kamp 26-27 2010")</f>
        <v>0</v>
      </c>
    </row>
    <row r="7229" spans="2:4">
      <c r="B7229">
        <v>100</v>
      </c>
      <c r="C7229" s="1">
        <f>hyperlink("https://hetutrechtsarchief.nl/collectie/E06E685B26E852878F4F3FAF7647AC69","Rood groen en grijs opknappen van begraafplaatsen Marja Zandberg 14-15 2010")</f>
        <v>0</v>
      </c>
      <c r="D7229" s="1">
        <f>hyperlink("http://www.erfgoed-utrecht.nl/publicaties/GM%20winter%202010.pdf","Rood groen en grijs opknappen van begraafplaatsen Marja Zandberg 14-15 2010")</f>
        <v>0</v>
      </c>
    </row>
    <row r="7230" spans="2:4">
      <c r="B7230">
        <v>82</v>
      </c>
      <c r="C7230" s="1">
        <f>hyperlink("https://hetutrechtsarchief.nl/collectie/01572195BE765F63BF5A226E866488DA","Het belang van gemeentelijke monumenten Wichert van Dijk en Jacquelien Vroemen 12-13 2010")</f>
        <v>0</v>
      </c>
      <c r="D7230" s="1">
        <f>hyperlink("http://www.erfgoed-utrecht.nl/publicaties/GM%20winter%202010.pdf","Het belang van gemeentelijke monumenten Jacquelien Dijk Wichert van Vroemen 12-13 2010")</f>
        <v>0</v>
      </c>
    </row>
    <row r="7231" spans="2:4">
      <c r="B7231">
        <v>100</v>
      </c>
      <c r="C7231" s="1">
        <f>hyperlink("https://hetutrechtsarchief.nl/collectie/D36385411BB75D3EB42265906E4477A4","Tot in de eeuwigheid schatten uit de Utrechtse Paulusabdij Anne Houk de Jong 4-7 2010")</f>
        <v>0</v>
      </c>
      <c r="D7231" s="1">
        <f>hyperlink("http://www.erfgoed-utrecht.nl/publicaties/GM%20winter%202010.pdf","Tot in de eeuwigheid schatten uit de Utrechtse Paulusabdij Anne Houk de Jong 4-7 2010")</f>
        <v>0</v>
      </c>
    </row>
    <row r="7232" spans="2:4">
      <c r="B7232">
        <v>100</v>
      </c>
      <c r="C7232" s="1">
        <f>hyperlink("https://hetutrechtsarchief.nl/collectie/D0F4434A52E951DB82F9372DA804A69D","Hoveniers een bijzondere beroeps- en geloofsgroep in Utrecht Coen van Kasteel 20-22 2010")</f>
        <v>0</v>
      </c>
      <c r="D7232" s="1">
        <f>hyperlink("http://www.erfgoed-utrecht.nl/publicaties/GM%20winter%202010.pdf","Hoveniers een bijzondere beroeps- en geloofsgroep in Utrecht Coen van Kasteel 20-22 2010")</f>
        <v>0</v>
      </c>
    </row>
    <row r="7233" spans="2:4">
      <c r="B7233">
        <v>99</v>
      </c>
      <c r="C7233" s="1">
        <f>hyperlink("https://hetutrechtsarchief.nl/collectie/ACF4D3960B4759D2B9FEA3895C27CD63","De Minstroom een Utrechts hoverniersgebied Bettina van Santen 24-25 2010")</f>
        <v>0</v>
      </c>
      <c r="D7233" s="1">
        <f>hyperlink("http://www.erfgoed-utrecht.nl/publicaties/GM%20winter%202010.pdf","De Minstroom een Utrechts hoveniersgebied Bettina van Santen 24-25 2010")</f>
        <v>0</v>
      </c>
    </row>
    <row r="7234" spans="2:4">
      <c r="B7234">
        <v>66</v>
      </c>
      <c r="C7234" s="1">
        <f>hyperlink("https://hetutrechtsarchief.nl/collectie/D8803C4C57DA53338F47F9AE462E722B","Rituele maaltijden op een rivieroever Jeroen van der Kamp 8-9 2011")</f>
        <v>0</v>
      </c>
      <c r="D7234" s="1">
        <f>hyperlink("http://www.erfgoed-utrecht.nl/publicaties/GM%20zomer%202012.pdf","Recycling op boerderij de Coehoorn Jeroen van der Kamp 14-15 2012")</f>
        <v>0</v>
      </c>
    </row>
    <row r="7235" spans="2:4">
      <c r="B7235">
        <v>58</v>
      </c>
      <c r="C7235" s="1">
        <f>hyperlink("https://hetutrechtsarchief.nl/collectie/D20A630AD38F5648B1EB44841D80B61F","Een foto met een bijzonder verhaal Arie de Kloet 169-172 2001")</f>
        <v>0</v>
      </c>
      <c r="D7235" s="1">
        <f>hyperlink("http://www.erfgoed-utrecht.nl/publicaties/GM%20zomer%202012.pdf","Exotische mest een Indianenverhaal uit Rhenen Bert Hulskes 13 2012")</f>
        <v>0</v>
      </c>
    </row>
    <row r="7236" spans="2:4">
      <c r="B7236">
        <v>57</v>
      </c>
      <c r="C7236" s="1">
        <f>hyperlink("https://hetutrechtsarchief.nl/collectie/898B01A162C5DBEFE0534701000A8470","Het PUB gaat de Utrechtse buitenplaatsen vitaal houden Arien Heering 24-25 2012")</f>
        <v>0</v>
      </c>
      <c r="D7236" s="1">
        <f>hyperlink("http://www.erfgoed-utrecht.nl/publicaties/GM%20zomer%202012.pdf","Digitaal genieten van buitens in het groen website Utrechtse buitenplaatsen online Karin Smokers 4-6 2012")</f>
        <v>0</v>
      </c>
    </row>
    <row r="7237" spans="2:4">
      <c r="B7237">
        <v>96</v>
      </c>
      <c r="C7237" s="1">
        <f>hyperlink("https://hetutrechtsarchief.nl/collectie/898B01A162C3DBEFE0534701000A8470","Follies stenen grappen en dwaze bouwsels Ronald Blijdenstijn 8-12 2012")</f>
        <v>0</v>
      </c>
      <c r="D7237" s="1">
        <f>hyperlink("http://www.erfgoed-utrecht.nl/publicaties/GM%20zomer%202012.pdf","Follies stenen grappen en dwaze bouwels Roland Blijdenstijn 8-12 2012")</f>
        <v>0</v>
      </c>
    </row>
    <row r="7238" spans="2:4">
      <c r="B7238">
        <v>63</v>
      </c>
      <c r="C7238" s="1">
        <f>hyperlink("https://hetutrechtsarchief.nl/collectie/8A6B72EF7640778DE0534701000A4384","Iedereen zijn eigen bordje Jacquelien Vroemen 30-31 2012")</f>
        <v>0</v>
      </c>
      <c r="D7238" s="1">
        <f>hyperlink("http://www.erfgoed-utrecht.nl/publicaties/GM%20zomer%202012.pdf","De Monumentenwacht ziet altijd meer dan ons lief is Jacquelien Vroemen 18-19 2012")</f>
        <v>0</v>
      </c>
    </row>
    <row r="7239" spans="2:4">
      <c r="B7239">
        <v>71</v>
      </c>
      <c r="C7239" s="1">
        <f>hyperlink("https://hetutrechtsarchief.nl/collectie/898B01A162C5DBEFE0534701000A8470","Het PUB gaat de Utrechtse buitenplaatsen vitaal houden Arien Heering 24-25 2012")</f>
        <v>0</v>
      </c>
      <c r="D7239" s="1">
        <f>hyperlink("http://www.erfgoed-utrecht.nl/publicaties/GM%20zomer%202012.pdf","Het PUB gaat de Utrechtse buitenplaatsen vitaal houden we moeten de Nederlandse natuur niet achter hekken willen zetten Arien Heering 24-25 2012")</f>
        <v>0</v>
      </c>
    </row>
    <row r="7240" spans="2:4">
      <c r="B7240">
        <v>100</v>
      </c>
      <c r="C7240" s="1">
        <f>hyperlink("https://hetutrechtsarchief.nl/collectie/898B01A162C6DBEFE0534701000A8470","Utrechtse voorouders tot 1579 terug te vinden via internet Joyce Pennings 26-28 2012")</f>
        <v>0</v>
      </c>
      <c r="D7240" s="1">
        <f>hyperlink("http://www.erfgoed-utrecht.nl/publicaties/GM%20zomer%202012.pdf","Utrechtse voorouders tot 1579 terug te vinden via Internet Joyce Pennings 26-28 2012")</f>
        <v>0</v>
      </c>
    </row>
    <row r="7241" spans="2:4">
      <c r="B7241">
        <v>100</v>
      </c>
      <c r="C7241" s="1">
        <f>hyperlink("https://hetutrechtsarchief.nl/collectie/898B01A162C8DBEFE0534701000A8470","Het Utrechtse militieregister Joyce Pennings 29 2012")</f>
        <v>0</v>
      </c>
      <c r="D7241" s="1">
        <f>hyperlink("http://www.erfgoed-utrecht.nl/publicaties/GM%20zomer%202012.pdf","Het Utrechtse militieregister Joyce Pennings 29 2012")</f>
        <v>0</v>
      </c>
    </row>
    <row r="7242" spans="2:4">
      <c r="B7242">
        <v>100</v>
      </c>
      <c r="C7242" s="1">
        <f>hyperlink("https://hetutrechtsarchief.nl/collectie/898B01A162C4DBEFE0534701000A8470","Jaffa van herberg tot buitenhuis Nettie Stoppelenburg 20-22 2012")</f>
        <v>0</v>
      </c>
      <c r="D7242" s="1">
        <f>hyperlink("http://www.erfgoed-utrecht.nl/publicaties/GM%20zomer%202012.pdf","Jaffa van herberg tot buitenhuis Nettie Stoppelenburg 20-22 2012")</f>
        <v>0</v>
      </c>
    </row>
    <row r="7243" spans="2:4">
      <c r="B7243">
        <v>52</v>
      </c>
      <c r="C7243" s="1">
        <f>hyperlink("https://hetutrechtsarchief.nl/collectie/94CC50E4FFE558629B17DE41A9EDEAE4","De buitenplaats Oud Veldheim in Zeist R P M Rhoen met medew van H de Lanoy Meyer 8-18 ill 1999")</f>
        <v>0</v>
      </c>
      <c r="D7243" s="1">
        <f>hyperlink("http://www.erfgoed-utrecht.nl/publicaties/GM%20zomer%202012.pdf","Raamwerk van buitenplaatsen zones in Zeist nog geen 10 on verklaarbaar bewoond Henk Dekker 30-31 2012")</f>
        <v>0</v>
      </c>
    </row>
    <row r="7244" spans="2:4">
      <c r="B7244">
        <v>98</v>
      </c>
      <c r="C7244" s="1">
        <f>hyperlink("https://hetutrechtsarchief.nl/collectie/073B8DEFB76E5AF79294BBFEF677451C","Streekeigen voedsel een nieuwe trend Jacquelien Vroemen 4-8 2007")</f>
        <v>0</v>
      </c>
      <c r="D7244" s="1">
        <f>hyperlink("http://www.erfgoed-utrecht.nl/publicaties/GM2_dec07.pdf","Streekeigen voedsel een nieuwe trend Jacquelien Vroemen 4-8 2008")</f>
        <v>0</v>
      </c>
    </row>
    <row r="7245" spans="2:4">
      <c r="B7245">
        <v>100</v>
      </c>
      <c r="C7245" s="1">
        <f>hyperlink("https://hetutrechtsarchief.nl/collectie/3D8901B79936531BBD0B4D997F385874","De Zuiderkapel in Bilthoven bedreigd erfgoed Jan van Doorn 20-21 2009")</f>
        <v>0</v>
      </c>
      <c r="D7245" s="1">
        <f>hyperlink("http://www.erfgoed-utrecht.nl/publicaties/GM2_herfst%202009.pdf","De Zuiderkapel in Bilthoven bedreigd erfgoed Jan van Doorn 20-21 2009")</f>
        <v>0</v>
      </c>
    </row>
    <row r="7246" spans="2:4">
      <c r="B7246">
        <v>100</v>
      </c>
      <c r="C7246" s="1">
        <f>hyperlink("https://hetutrechtsarchief.nl/collectie/34BE6BD8362A56DD98394E14972EB461","Soorten bescherming in de provincie Utrecht Ron Beenen 22-24 2009")</f>
        <v>0</v>
      </c>
      <c r="D7246" s="1">
        <f>hyperlink("http://www.erfgoed-utrecht.nl/publicaties/GM2_herfst%202009.pdf","Soorten bescherming in de provincie Utrecht Ron Beenen 22-24 2009")</f>
        <v>0</v>
      </c>
    </row>
    <row r="7247" spans="2:4">
      <c r="B7247">
        <v>97</v>
      </c>
      <c r="C7247" s="1">
        <f>hyperlink("https://hetutrechtsarchief.nl/collectie/D90F65660B4754F6AF006FBE5702A685","Kadastrale atlas provincie Utrecht op het web negentiende-eeuwse grondadministratie krijgt nieuw leven op internet Willemke Landman 9-12 2009")</f>
        <v>0</v>
      </c>
      <c r="D7247" s="1">
        <f>hyperlink("http://www.erfgoed-utrecht.nl/publicaties/GM2_herfst%202009.pdf","Kadastrale atlas provincie Utrecht op het web negentiende-eeuwse grondadministratie krijgt nieuw leven op internet Anneke Landman 9-12 2009")</f>
        <v>0</v>
      </c>
    </row>
    <row r="7248" spans="2:4">
      <c r="B7248">
        <v>100</v>
      </c>
      <c r="C7248" s="1">
        <f>hyperlink("https://hetutrechtsarchief.nl/collectie/DEC6E390CEF05993A644068586083931","Schijnwerper op bezoekers op de Neude Nettie Stoppelenburg 27 2009")</f>
        <v>0</v>
      </c>
      <c r="D7248" s="1">
        <f>hyperlink("http://www.erfgoed-utrecht.nl/publicaties/GM2_herfst%202009.pdf","Schijnwerper op bezoekers op de Neude Nettie Stoppelenburg 27 2009")</f>
        <v>0</v>
      </c>
    </row>
    <row r="7249" spans="2:4">
      <c r="B7249">
        <v>100</v>
      </c>
      <c r="C7249" s="1">
        <f>hyperlink("https://hetutrechtsarchief.nl/collectie/6594B75EF181520D8AC50F36D625828F","Verleden van Utrecht driedimensionaal Ren de Kam 16-18 2009")</f>
        <v>0</v>
      </c>
      <c r="D7249" s="1">
        <f>hyperlink("http://www.erfgoed-utrecht.nl/publicaties/GM2_herfst%202009.pdf","Verleden van Utrecht driedimensionaal Ren de Kam 16-18 2009")</f>
        <v>0</v>
      </c>
    </row>
    <row r="7250" spans="2:4">
      <c r="B7250">
        <v>100</v>
      </c>
      <c r="C7250" s="1">
        <f>hyperlink("https://hetutrechtsarchief.nl/collectie/EB29785355F053EF8506A764C717EF49","Het oudste openbaar vervoer de trekschuit Nettie Stoppelenburg 28-31 2009")</f>
        <v>0</v>
      </c>
      <c r="D7250" s="1">
        <f>hyperlink("http://www.erfgoed-utrecht.nl/publicaties/GM2_herfst%202009.pdf","Het oudste openbaar vervoer de trekschuit Nettie Stoppelenburg 28-31 2009")</f>
        <v>0</v>
      </c>
    </row>
    <row r="7251" spans="2:4">
      <c r="B7251">
        <v>100</v>
      </c>
      <c r="C7251" s="1">
        <f>hyperlink("https://hetutrechtsarchief.nl/collectie/B9F5436476C05D159360749D4D8B0DB1","De heerlijkheid Hoenkoop schijnwerper op moment 1296 Nettie Stoppelenburg 17 2009")</f>
        <v>0</v>
      </c>
      <c r="D7251" s="1">
        <f>hyperlink("http://www.erfgoed-utrecht.nl/publicaties/GM2_lente%202009.pdf","De heerlijkheid Hoenkoop schijnwerper op moment 1296 Nettie Stoppelenburg 17 2009")</f>
        <v>0</v>
      </c>
    </row>
    <row r="7252" spans="2:4">
      <c r="B7252">
        <v>100</v>
      </c>
      <c r="C7252" s="1">
        <f>hyperlink("https://hetutrechtsarchief.nl/collectie/A889257292E854B3B230C40EA5472431","Sabine d r zit wat in provinciale online bibliografie wordt volwassen Willemke Landman 9 2009")</f>
        <v>0</v>
      </c>
      <c r="D7252" s="1">
        <f>hyperlink("http://www.erfgoed-utrecht.nl/publicaties/GM2_lente%202009.pdf","Sabine d r zit wat in provinciale online bibliografie wordt volwassen Willemke Landman 9 2009")</f>
        <v>0</v>
      </c>
    </row>
    <row r="7253" spans="2:4">
      <c r="B7253">
        <v>100</v>
      </c>
      <c r="C7253" s="1">
        <f>hyperlink("https://hetutrechtsarchief.nl/collectie/30E66ECAA9785DF8B398F3C155031F7D","Verleidingstactieken laat u verleiden om binnen te komen Jacquelien Vroemen 4-8 2009")</f>
        <v>0</v>
      </c>
      <c r="D7253" s="1">
        <f>hyperlink("http://www.erfgoed-utrecht.nl/publicaties/GM2_lente%202009.pdf","Verleidingstactieken laat u verleiden om binnen te komen Jacquelien Vroemen 4-8 2009")</f>
        <v>0</v>
      </c>
    </row>
    <row r="7254" spans="2:4">
      <c r="B7254">
        <v>81</v>
      </c>
      <c r="C7254" s="1">
        <f>hyperlink("https://hetutrechtsarchief.nl/collectie/66F28F0E02875C049FDBD0C7B8A5B907","Restauratie Noorderkerk Constantijn Veder door Wim Kastelein 21 2009")</f>
        <v>0</v>
      </c>
      <c r="D7254" s="1">
        <f>hyperlink("http://www.erfgoed-utrecht.nl/publicaties/GM2_lente%202009.pdf","Restauratie Noorderkerk Wim Veder Constantijn Kastelein 21 2009")</f>
        <v>0</v>
      </c>
    </row>
    <row r="7255" spans="2:4">
      <c r="B7255">
        <v>100</v>
      </c>
      <c r="C7255" s="1">
        <f>hyperlink("https://hetutrechtsarchief.nl/collectie/DE76435893235928A3DC06323673C0BC","Poorten der Verbeelding Utrechtse stadspoorten herbouwd Lieuwe Wynia 12-16 2009")</f>
        <v>0</v>
      </c>
      <c r="D7255" s="1">
        <f>hyperlink("http://www.erfgoed-utrecht.nl/publicaties/GM2_lente%202009.pdf","Poorten der verbeelding Utrechtse stadspoorten herbouwd Lieuwe Wynia 12-16 2009")</f>
        <v>0</v>
      </c>
    </row>
    <row r="7256" spans="2:4">
      <c r="B7256">
        <v>93</v>
      </c>
      <c r="C7256" s="1">
        <f>hyperlink("https://hetutrechtsarchief.nl/collectie/F2B63DC18DD25BED9B4FC66C957188DF","Romeinse steen in Romaanse torens opmerkelijke zuilen in de Nicolaaskerk Ren de Kam en Frans Kipp 19 2009")</f>
        <v>0</v>
      </c>
      <c r="D7256" s="1">
        <f>hyperlink("http://www.erfgoed-utrecht.nl/publicaties/GM2_lente%202009.pdf","Romeinse steen in Romaanse torens opmerkelijke zuilen in de Nicolaaskerk Frans Kam Ren de Kipp 19 2009")</f>
        <v>0</v>
      </c>
    </row>
    <row r="7257" spans="2:4">
      <c r="B7257">
        <v>89</v>
      </c>
      <c r="C7257" s="1">
        <f>hyperlink("https://hetutrechtsarchief.nl/collectie/DDDB6FB9CC185D2E94121D5FEDE45C80","Joodse begraafplaatsen oases van rust en vrede in de drukke provincie Wendy van der Torre 26-30 2009")</f>
        <v>0</v>
      </c>
      <c r="D7257" s="1">
        <f>hyperlink("http://www.erfgoed-utrecht.nl/publicaties/GM2_lente%202009.pdf","Joodse begraafplaatsen oase van rust en vrede in de drukke provincie Marja Torre Wendy van der Zandberg 26-30 2009")</f>
        <v>0</v>
      </c>
    </row>
    <row r="7258" spans="2:4">
      <c r="B7258">
        <v>100</v>
      </c>
      <c r="C7258" s="1">
        <f>hyperlink("https://hetutrechtsarchief.nl/collectie/0354B20AFF0E573989467D0E59419905","Intrigerende vondst Bettina van Santen 23 2008")</f>
        <v>0</v>
      </c>
      <c r="D7258" s="1">
        <f>hyperlink("http://www.erfgoed-utrecht.nl/publicaties/GM2_lente2008.pdf","Intrigerende vondst Bettina van Santen 23 2008")</f>
        <v>0</v>
      </c>
    </row>
    <row r="7259" spans="2:4">
      <c r="B7259">
        <v>100</v>
      </c>
      <c r="C7259" s="1">
        <f>hyperlink("https://hetutrechtsarchief.nl/collectie/BD00BD8191F857B38061C1B5582DF318","Jules van Bylandt Mari lla Beukers 8-11 2009")</f>
        <v>0</v>
      </c>
      <c r="D7259" s="1">
        <f>hyperlink("http://www.erfgoed-utrecht.nl/publicaties/GM2_winter%202009%20corr.pdf","Jules van Bylandt Mari lla Beukers 8-11 2009")</f>
        <v>0</v>
      </c>
    </row>
    <row r="7260" spans="2:4">
      <c r="B7260">
        <v>100</v>
      </c>
      <c r="C7260" s="1">
        <f>hyperlink("https://hetutrechtsarchief.nl/collectie/6A0979F8AC6753F4AC155D79CC75F7FC","Stedelijke geschiedenis als inspiratiebron historisch congres in Amersfoort Martin Woestenburg 24-25 2009")</f>
        <v>0</v>
      </c>
      <c r="D7260" s="1">
        <f>hyperlink("http://www.erfgoed-utrecht.nl/publicaties/GM2_winter%202009%20corr.pdf","Stedelijke geschiedenis als inspiratiebron historisch congres in Amersfoort Martin Woestenburg 24-25 2009")</f>
        <v>0</v>
      </c>
    </row>
    <row r="7261" spans="2:4">
      <c r="B7261">
        <v>100</v>
      </c>
      <c r="C7261" s="1">
        <f>hyperlink("https://hetutrechtsarchief.nl/collectie/0828DBAA505755858850259EDBB8A8DC","Eigen gezicht voor Leidsche Rijn Peter van Dam 22-23 2009")</f>
        <v>0</v>
      </c>
      <c r="D7261" s="1">
        <f>hyperlink("http://www.erfgoed-utrecht.nl/publicaties/GM2_winter%202009%20corr.pdf","Eigen gezicht voor Leidsche Rijn Peter van Dam 22-23 2009")</f>
        <v>0</v>
      </c>
    </row>
    <row r="7262" spans="2:4">
      <c r="B7262">
        <v>100</v>
      </c>
      <c r="C7262" s="1">
        <f>hyperlink("https://hetutrechtsarchief.nl/collectie/8D3CEE0771FC51DCBBF45569E0D35AEC","Schijnwerper op Elisabeth Janssen Nettie Stoppelenburg 12 2009")</f>
        <v>0</v>
      </c>
      <c r="D7262" s="1">
        <f>hyperlink("http://www.erfgoed-utrecht.nl/publicaties/GM2_winter%202009%20corr.pdf","Schijnwerper op Elisabeth Janssen Nettie Stoppelenburg 12 2009")</f>
        <v>0</v>
      </c>
    </row>
    <row r="7263" spans="2:4">
      <c r="B7263">
        <v>100</v>
      </c>
      <c r="C7263" s="1">
        <f>hyperlink("https://hetutrechtsarchief.nl/collectie/D05EA85BEBA45C56BAE6E16DE74B7813","Bedevaart naar Rhenen Michel Hendriksen 17 2009")</f>
        <v>0</v>
      </c>
      <c r="D7263" s="1">
        <f>hyperlink("http://www.erfgoed-utrecht.nl/publicaties/GM2_winter%202009%20corr.pdf","Bedevaart naar Rhenen Michel Hendriksen 17 2009")</f>
        <v>0</v>
      </c>
    </row>
    <row r="7264" spans="2:4">
      <c r="B7264">
        <v>100</v>
      </c>
      <c r="C7264" s="1">
        <f>hyperlink("https://hetutrechtsarchief.nl/collectie/9D266F4A0CC950C0AADF16F3AAD1DE5E","Onderzoek en uitvoering gekoppeld Marja Zandberg 28-30 2009")</f>
        <v>0</v>
      </c>
      <c r="D7264" s="1">
        <f>hyperlink("http://www.erfgoed-utrecht.nl/publicaties/GM2_winter%202009%20corr.pdf","Onderzoek en uitvoering gekoppeld Marja Zandberg 28-30 2009")</f>
        <v>0</v>
      </c>
    </row>
    <row r="7265" spans="2:4">
      <c r="B7265">
        <v>100</v>
      </c>
      <c r="C7265" s="1">
        <f>hyperlink("https://hetutrechtsarchief.nl/collectie/474D19CA10AD53F1A8AE39416A3FAE52","Utrechtse regio canons gelanceerd regionaal verleden voor breed publiek toegankelijk Els van de Kam 20-21 2009")</f>
        <v>0</v>
      </c>
      <c r="D7265" s="1">
        <f>hyperlink("http://www.erfgoed-utrecht.nl/publicaties/GM2_winter%202009%20corr.pdf","Utrechtse regio canons gelanceerd regionaal verleden voor breed publiek toegankelijk Els van de Kam 20-21 2009")</f>
        <v>0</v>
      </c>
    </row>
    <row r="7266" spans="2:4">
      <c r="B7266">
        <v>100</v>
      </c>
      <c r="C7266" s="1">
        <f>hyperlink("https://hetutrechtsarchief.nl/collectie/52D6DFD9ABF554BD96EA1E182BC20AA4","Rivieren maken het land Eefje Smit 18-19 2009")</f>
        <v>0</v>
      </c>
      <c r="D7266" s="1">
        <f>hyperlink("http://www.erfgoed-utrecht.nl/publicaties/GM2_winter%202009%20corr.pdf","Rivieren maken het land Eefje Smit 18-19 2009")</f>
        <v>0</v>
      </c>
    </row>
    <row r="7267" spans="2:4">
      <c r="B7267">
        <v>100</v>
      </c>
      <c r="C7267" s="1">
        <f>hyperlink("https://hetutrechtsarchief.nl/collectie/79EA7B6BB9DD5D96A6468C1D66A8DAF8","Verscholen vogelvangers in Utrechtse polders D sir Karelse 4-6 2009")</f>
        <v>0</v>
      </c>
      <c r="D7267" s="1">
        <f>hyperlink("http://www.erfgoed-utrecht.nl/publicaties/GM2_winter%202009%20corr.pdf","Verscholen vogelvangers in Utrechtse polders D sir Karelse 4-6 2009")</f>
        <v>0</v>
      </c>
    </row>
    <row r="7268" spans="2:4">
      <c r="B7268">
        <v>100</v>
      </c>
      <c r="C7268" s="1">
        <f>hyperlink("https://hetutrechtsarchief.nl/collectie/29995650618652BA800A0E4F77EB3C47","Voortgezet leven voormalige huishoudschool Richard Rodenburg 14-15 2009")</f>
        <v>0</v>
      </c>
      <c r="D7268" s="1">
        <f>hyperlink("http://www.erfgoed-utrecht.nl/publicaties/GM2_winter%202009%20corr.pdf","Voortgezet leven voormalige huishoudschool Richard Rodenburg 14-15 2009")</f>
        <v>0</v>
      </c>
    </row>
    <row r="7269" spans="2:4">
      <c r="B7269">
        <v>100</v>
      </c>
      <c r="C7269" s="1">
        <f>hyperlink("https://hetutrechtsarchief.nl/collectie/30F6A79F75FD560792C309299AB05E86","Allemaal familie Fred Vogelzang 4-6 2009")</f>
        <v>0</v>
      </c>
      <c r="D7269" s="1">
        <f>hyperlink("http://www.erfgoed-utrecht.nl/publicaties/GM2_zomer%202009_def.pdf","Allemaal familie Fred Vogelzang 4-6 2009")</f>
        <v>0</v>
      </c>
    </row>
    <row r="7270" spans="2:4">
      <c r="B7270">
        <v>100</v>
      </c>
      <c r="C7270" s="1">
        <f>hyperlink("https://hetutrechtsarchief.nl/collectie/057F46A6639650C6A6D3A3AC72725528","Levendige herinneringen aan de Nieuwe Hollandse Waterlinie Jos Wassink 20-24 2009")</f>
        <v>0</v>
      </c>
      <c r="D7270" s="1">
        <f>hyperlink("http://www.erfgoed-utrecht.nl/publicaties/GM2_zomer%202009_def.pdf","Levendige herinneringen aan de Nieuwe Hollandse Waterlinie Jos Wassink 20-24 2009")</f>
        <v>0</v>
      </c>
    </row>
    <row r="7271" spans="2:4">
      <c r="B7271">
        <v>99</v>
      </c>
      <c r="C7271" s="1">
        <f>hyperlink("https://hetutrechtsarchief.nl/collectie/EB48792CA45E5901B96C139ACE31F902","De Tuindorp beweging historische sociale en stedenbouwkundige context Arien Heering 25-27 2009")</f>
        <v>0</v>
      </c>
      <c r="D7271" s="1">
        <f>hyperlink("http://www.erfgoed-utrecht.nl/publicaties/GM2_zomer%202009_def.pdf","De Tuindorpbeweging historische sociale en stedenbouwkundige context Arien Heering 25-27 2009")</f>
        <v>0</v>
      </c>
    </row>
    <row r="7272" spans="2:4">
      <c r="B7272">
        <v>90</v>
      </c>
      <c r="C7272" s="1">
        <f>hyperlink("https://hetutrechtsarchief.nl/collectie/2BFAFBF488B350ED95B2DAD62B172DE5","Welkom bij de Zomer van Utrecht you have a wonderful city in a beautiful garden Petra Orthel Radha Pleijsant en Jack Nouws 28-20 2009")</f>
        <v>0</v>
      </c>
      <c r="D7272" s="1">
        <f>hyperlink("http://www.erfgoed-utrecht.nl/publicaties/GM2_zomer%202009_def.pdf","Welkom bij de Zomer van Utrecht you have a wonderful city in a beautiful garden Jack Orthel Petra Pleijsant Radha Nouws 28-30 2009")</f>
        <v>0</v>
      </c>
    </row>
    <row r="7273" spans="2:4">
      <c r="B7273">
        <v>100</v>
      </c>
      <c r="C7273" s="1">
        <f>hyperlink("https://hetutrechtsarchief.nl/collectie/BCFA42E998F452DEB1A96CA3010CE643","De Daalsedijk een lange geschiedenis Bettina van Santen 16-17 2009")</f>
        <v>0</v>
      </c>
      <c r="D7273" s="1">
        <f>hyperlink("http://www.erfgoed-utrecht.nl/publicaties/GM2_zomer%202009_def.pdf","De Daalsedijk een lange geschiedenis Bettina van Santen 16-17 2009")</f>
        <v>0</v>
      </c>
    </row>
    <row r="7274" spans="2:4">
      <c r="B7274">
        <v>100</v>
      </c>
      <c r="C7274" s="1">
        <f>hyperlink("https://hetutrechtsarchief.nl/collectie/C78821FB26D35B73AD5A46F609DDF542","IJskelder Oud Amelisweerd hersteld Constantijn Veder 14 2009")</f>
        <v>0</v>
      </c>
      <c r="D7274" s="1">
        <f>hyperlink("http://www.erfgoed-utrecht.nl/publicaties/GM2_zomer%202009_def.pdf","IJskelder Oud Amelisweerd hersteld Constantijn Veder 14 2009")</f>
        <v>0</v>
      </c>
    </row>
    <row r="7275" spans="2:4">
      <c r="B7275">
        <v>89</v>
      </c>
      <c r="C7275" s="1">
        <f>hyperlink("https://hetutrechtsarchief.nl/collectie/DE7B39A395A452138197668E0F83113C","In de voetsporen van paus Adrianus VI Ren de Kam en Frans Kipp 15 2009")</f>
        <v>0</v>
      </c>
      <c r="D7275" s="1">
        <f>hyperlink("http://www.erfgoed-utrecht.nl/publicaties/GM2_zomer%202009_def.pdf","In de voetsporen van paus Adrianus VI Frans Kam Ren de Kipp 15 2009")</f>
        <v>0</v>
      </c>
    </row>
    <row r="7276" spans="2:4">
      <c r="B7276">
        <v>100</v>
      </c>
      <c r="C7276" s="1">
        <f>hyperlink("https://hetutrechtsarchief.nl/collectie/DD2DA2315E545181A1549929FFDE991F","Reizigers in Utrecht Nettie Stoppelenburg 10-12 2009")</f>
        <v>0</v>
      </c>
      <c r="D7276" s="1">
        <f>hyperlink("http://www.erfgoed-utrecht.nl/publicaties/GM2_zomer%202009_def.pdf","Reizigers in Utrecht Nettie Stoppelenburg 10-12 2009")</f>
        <v>0</v>
      </c>
    </row>
    <row r="7277" spans="2:4">
      <c r="B7277">
        <v>100</v>
      </c>
      <c r="C7277" s="1">
        <f>hyperlink("https://hetutrechtsarchief.nl/collectie/F2A484AAC8A4505CBD0613DF6F1B11DC","De poppen aan het dansen Samantha Hassink-Burbridge 8-9 2009")</f>
        <v>0</v>
      </c>
      <c r="D7277" s="1">
        <f>hyperlink("http://www.erfgoed-utrecht.nl/publicaties/GM2_zomer%202009_def.pdf","De poppen aan het dansen Samantha Hassink-Burbridge 8-9 2009")</f>
        <v>0</v>
      </c>
    </row>
    <row r="7278" spans="2:4">
      <c r="B7278">
        <v>100</v>
      </c>
      <c r="C7278" s="1">
        <f>hyperlink("https://hetutrechtsarchief.nl/collectie/F90A15169D0A5896A5CEAD22FB08CF7D","Sprengenbeken van de Utrechtse Heuvelrug Hans Renes 4-7 2008")</f>
        <v>0</v>
      </c>
      <c r="D7278" s="1">
        <f>hyperlink("http://www.erfgoed-utrecht.nl/publicaties/GMkwadraat%20winter%202008%20def.pdf","Sprengenbeken van de Utrechtse Heuvelrug Hans Renes 4-7 2008")</f>
        <v>0</v>
      </c>
    </row>
    <row r="7279" spans="2:4">
      <c r="B7279">
        <v>100</v>
      </c>
      <c r="C7279" s="1">
        <f>hyperlink("https://hetutrechtsarchief.nl/collectie/405F29502F7A5940B4AB5ECF1927FB99","Het landgoed Welgelegen Bettina van Santen 18-19 2008")</f>
        <v>0</v>
      </c>
      <c r="D7279" s="1">
        <f>hyperlink("http://www.erfgoed-utrecht.nl/publicaties/GMkwadraat%20winter%202008%20def.pdf","Het landgoed Welgelegen Bettina van Santen 18-19 2008")</f>
        <v>0</v>
      </c>
    </row>
    <row r="7280" spans="2:4">
      <c r="B7280">
        <v>100</v>
      </c>
      <c r="C7280" s="1">
        <f>hyperlink("https://hetutrechtsarchief.nl/collectie/B783C489CA1954A99017921DD399D584","Bescherm nu het nog kan Martha de Wit 22-23 2008")</f>
        <v>0</v>
      </c>
      <c r="D7280" s="1">
        <f>hyperlink("http://www.erfgoed-utrecht.nl/publicaties/GMkwadraat%20winter%202008%20def.pdf","Bescherm nu het nog kan Martha de Wit 22-23 2008")</f>
        <v>0</v>
      </c>
    </row>
    <row r="7281" spans="2:4">
      <c r="B7281">
        <v>83</v>
      </c>
      <c r="C7281" s="1">
        <f>hyperlink("https://hetutrechtsarchief.nl/collectie/35B5F9D6E4495CFEA43AC077E789A37D","Wegwijs in oude kaarten Sophie Visser en Willemke Landman 24-28 2008")</f>
        <v>0</v>
      </c>
      <c r="D7281" s="1">
        <f>hyperlink("http://www.erfgoed-utrecht.nl/publicaties/GMkwadraat%20winter%202008%20def.pdf","Wegwijs in oude kaarten Willemke Visser Sophie Landman 24-28 2008")</f>
        <v>0</v>
      </c>
    </row>
    <row r="7282" spans="2:4">
      <c r="B7282">
        <v>100</v>
      </c>
      <c r="C7282" s="1">
        <f>hyperlink("https://hetutrechtsarchief.nl/collectie/E1E1D201A48B53D88D58D82A5EF20B14","Het Utrecht van Anthony Grolman Tolien Wilmer 12-15 2008")</f>
        <v>0</v>
      </c>
      <c r="D7282" s="1">
        <f>hyperlink("http://www.erfgoed-utrecht.nl/publicaties/GMkwadraat%20winter%202008%20def.pdf","Het Utrecht van Anthony Grolman Tolien Wilmer 12-15 2008")</f>
        <v>0</v>
      </c>
    </row>
    <row r="7283" spans="2:4">
      <c r="B7283">
        <v>100</v>
      </c>
      <c r="C7283" s="1">
        <f>hyperlink("https://hetutrechtsarchief.nl/collectie/1004642B122F567B9BDDD200CFEFE3F2","Amsterdamse School aan de Jan van Scorelstraat Henk Jansen 21 2008")</f>
        <v>0</v>
      </c>
      <c r="D7283" s="1">
        <f>hyperlink("http://www.erfgoed-utrecht.nl/publicaties/GMkwadraat%20winter%202008%20def.pdf","Amsterdamse School aan de Jan van Scorelstraat Henk Jansen 21 2008")</f>
        <v>0</v>
      </c>
    </row>
    <row r="7284" spans="2:4">
      <c r="B7284">
        <v>100</v>
      </c>
      <c r="C7284" s="1">
        <f>hyperlink("https://hetutrechtsarchief.nl/collectie/0F867E0CCDE357EDA9F767C193D28569","Kanaleneiland heeft Romeinse wortels Erik Graafstal 20 2008")</f>
        <v>0</v>
      </c>
      <c r="D7284" s="1">
        <f>hyperlink("http://www.erfgoed-utrecht.nl/publicaties/GMkwadraat%20winter%202008%20def.pdf","Kanaleneiland heeft Romeinse wortels Erik Graafstal 20 2008")</f>
        <v>0</v>
      </c>
    </row>
    <row r="7285" spans="2:4">
      <c r="B7285">
        <v>100</v>
      </c>
      <c r="C7285" s="1">
        <f>hyperlink("https://hetutrechtsarchief.nl/collectie/56ADBBF9C25E50E290CE93E35E342509","RHC Rijnstreek en Lopikerwaard Frank van Rooijen 8-11 2008")</f>
        <v>0</v>
      </c>
      <c r="D7285" s="1">
        <f>hyperlink("http://www.erfgoed-utrecht.nl/publicaties/GMkwadraat%20winter%202008%20def.pdf","RHC Rijnstreek en Lopikerwaard Frank van Rooijen 8-11 2008")</f>
        <v>0</v>
      </c>
    </row>
    <row r="7286" spans="2:4">
      <c r="B7286">
        <v>100</v>
      </c>
      <c r="C7286" s="1">
        <f>hyperlink("https://hetutrechtsarchief.nl/collectie/632D10E278EF584AA5FA9F66F5A1E367","De monumentopname van Hans Buiter 31 2004")</f>
        <v>0</v>
      </c>
      <c r="D7286" s="1">
        <f>hyperlink("http://www.erfgoed-utrecht.nl/publicaties/GMwinter04.pdf","De monumentopname van Hans Buiter 31 2004")</f>
        <v>0</v>
      </c>
    </row>
    <row r="7287" spans="2:4">
      <c r="B7287">
        <v>55</v>
      </c>
      <c r="C7287" s="1">
        <f>hyperlink("https://hetutrechtsarchief.nl/collectie/D5636A4DB8EB528D87C1F2520FA0C48C","Aanteekeningen betrekkelijk het gebeurde te Utrecht in 1786 en 1787 14-44 47-83 1871")</f>
        <v>0</v>
      </c>
      <c r="D7287" s="1">
        <f>hyperlink("http://www.europeana.eu/portal/record/04202/8D306DB62C0A0B04A594390FF56E3DE6950B5761.html?start=27&amp;query=utrecht&amp;qf=TYPE:TEXT&amp;startPage=25","Mededeelingen over de Pokken-epidemie te Utrecht 1870-1871 Adolph Ernestus Post 1871")</f>
        <v>0</v>
      </c>
    </row>
    <row r="7288" spans="2:4">
      <c r="B7288">
        <v>57</v>
      </c>
      <c r="C7288" s="1">
        <f>hyperlink("https://hetutrechtsarchief.nl/collectie/BCDB9A403F655BA1BE305ED12C8EA63D","Fort vertelt eigen geschiedenis het nieuwe Waterliniemuseum Fort bij Vechten Joyce Pennings 46-47 2016")</f>
        <v>0</v>
      </c>
      <c r="D7288" s="1">
        <f>hyperlink("http://www.fortvechten.nl/wp-content/uploads/2013/02/Museum_informatie_februari2013.pdf","Het geheime wapen van Nederland Nationaal Waterliniemuseum op Fort bij Vechten 2013")</f>
        <v>0</v>
      </c>
    </row>
    <row r="7289" spans="2:4">
      <c r="B7289">
        <v>95</v>
      </c>
      <c r="C7289" s="1">
        <f>hyperlink("https://hetutrechtsarchief.nl/collectie/301BF943CC9E5CB39011403E986B9303","Luizen in de pels van de moderne kunst het Utrechtse Grafisch Gezelschap De Luis 1960-1980 Roman Koot 94-95 2008")</f>
        <v>0</v>
      </c>
      <c r="D7289" s="1">
        <f>hyperlink("http://www.gerardvanrooy.nl/scan0009.pdf","Luizen in de pels van de moderne kunst het Utrechtse Grafisch Gezelschap De Luis Roman Koot 94-95 2008")</f>
        <v>0</v>
      </c>
    </row>
    <row r="7290" spans="2:4">
      <c r="B7290">
        <v>51</v>
      </c>
      <c r="C7290" s="1">
        <f>hyperlink("https://hetutrechtsarchief.nl/collectie/BE359D4D322A53CEB53A911580A0FAB2","Uit de collectie het fotoalbum van de tentoonstelling voorheen en thans K M Veenland-Heineman 17-20 2014")</f>
        <v>0</v>
      </c>
      <c r="D7290" s="1">
        <f>hyperlink("http://www.geschiedenis24.nl/andere-tijden/afleveringen/2008-2009/De-school-van-Beatrix.html","De school van Beatrix samenstelling en regie Jan Eikelboom presentatie Hans Goedkoop Hans Eikelboom Jan Goedkoop 2008")</f>
        <v>0</v>
      </c>
    </row>
    <row r="7291" spans="2:4">
      <c r="B7291">
        <v>52</v>
      </c>
      <c r="C7291" s="1">
        <f>hyperlink("https://hetutrechtsarchief.nl/collectie/4065AEBFAE5C5A67AD9A85A335B213C3","Meren in het veen - de geologische ontwikkeling in de omgeving van Breukelen Ingwer Bos 1-9 2013")</f>
        <v>0</v>
      </c>
      <c r="D7291" s="1">
        <f>hyperlink("http://www.groenedak.nl/jubileumboek.pdf","Van leem naar steen 20 jaar ecologisch wonen in Utrecht red Han Ellenbroek et al eindred Els Vegter Els Ellenbroek Han Vegter 2013")</f>
        <v>0</v>
      </c>
    </row>
    <row r="7292" spans="2:4">
      <c r="B7292">
        <v>54</v>
      </c>
      <c r="C7292" s="1">
        <f>hyperlink("https://hetutrechtsarchief.nl/collectie/D3331D8C17E254DAA1914F76C5F229CD","De herkomst van den tak van het geslacht Van Eck thans geheeten Van Panthaleon van Eck W Wijnaendts van Resandt 122-128 1920")</f>
        <v>0</v>
      </c>
      <c r="D7292" s="1">
        <f>hyperlink("http://www.groenegraf.nl/diermen/php","300 jaar van Diermen het nageslacht van Jan van Diermen in mannelijke en vrouwelijke lijn Eric W van der Ent 2007")</f>
        <v>0</v>
      </c>
    </row>
    <row r="7293" spans="2:4">
      <c r="B7293">
        <v>53</v>
      </c>
      <c r="C7293" s="1">
        <f>hyperlink("https://hetutrechtsarchief.nl/collectie/21F51551FB415EC087795BF87ECEFD81","Notities over de steen- pannen- en tegelbakkerijen langs de Vecht en de Vaartse Rijn F H Landzaat 201 - 206 ill 1983")</f>
        <v>0</v>
      </c>
      <c r="D7293" s="1">
        <f>hyperlink("http://www.grofkeramiek.nl/sites/grofkeramiek.nl/files/SHG%20Nieuwsbrief%20no25-januari2006.pdf","Een steen met een handafdruk de Amerongse steenbakker uit 1676 reikt ons zijn hand toe Frans Landzaat 20-23 2006")</f>
        <v>0</v>
      </c>
    </row>
    <row r="7294" spans="2:4">
      <c r="B7294">
        <v>66</v>
      </c>
      <c r="C7294" s="1">
        <f>hyperlink("https://hetutrechtsarchief.nl/collectie/174D34B93417543AB44F5082E81BCD52","De geschiedenis van deken Roes 10 - 11 1982")</f>
        <v>0</v>
      </c>
      <c r="D7294" s="1">
        <f>hyperlink("http://www.grofkeramiek.nl/sites/grofkeramiek.nl/files/SHG%20Nieuwsbrief%20no25-januari2006.pdf","Geschiedenis van De Liesbosch - 2006")</f>
        <v>0</v>
      </c>
    </row>
    <row r="7295" spans="2:4">
      <c r="B7295">
        <v>58</v>
      </c>
      <c r="C7295" s="1">
        <f>hyperlink("https://hetutrechtsarchief.nl/collectie/3171D31B0A4553DF8E4E94E78C861891","Lachende heuvelen schitterende vergezichten natuurbeleving in de negentiende eeuw Hans Zijlstra 4-7 2008")</f>
        <v>0</v>
      </c>
      <c r="D7295" s="1">
        <f>hyperlink("http://www.heeldeheuvelrug.nl/elements/attachments/312c4d29cc269f37cc2efc9a5ebf4afe.pdf","Een schitterend panorama uitzichtpunten op de Heuvelrug Utrecht en het Gooi Hans Zijlstra 2009")</f>
        <v>0</v>
      </c>
    </row>
    <row r="7296" spans="2:4">
      <c r="B7296">
        <v>52</v>
      </c>
      <c r="C7296" s="1">
        <f>hyperlink("https://hetutrechtsarchief.nl/collectie/FBB28D0D352B5B5EB60C40869B53140A","De huizen aan de Van Asch van Wijckskade te Utrecht N L Prak 49-56 tek foto s 1986")</f>
        <v>0</v>
      </c>
      <c r="D7296" s="1">
        <f>hyperlink("http://www.hetutrechtsarchief.nl/files/bestuurders/1.pdf","Hubert van Asch van Wijck 1774-1843 burgemeester F J P Santegoets 23-27 1995")</f>
        <v>0</v>
      </c>
    </row>
    <row r="7297" spans="2:4">
      <c r="B7297">
        <v>54</v>
      </c>
      <c r="C7297" s="1">
        <f>hyperlink("https://hetutrechtsarchief.nl/collectie/C55C749E2D22103DE0538F04000AC523","Frank van den Brink bomenburgemeester van Utrecht Bettina van Santen 64-67 2021")</f>
        <v>0</v>
      </c>
      <c r="D7297" s="1">
        <f>hyperlink("http://www.hetutrechtsarchief.nl/files/bestuurders/11.pdf","Constant Johan Adriaan de Ranitz 1905-1983 burgemeester van Utrecht H J L Vonhoff 162-166 1996")</f>
        <v>0</v>
      </c>
    </row>
    <row r="7298" spans="2:4">
      <c r="B7298">
        <v>50</v>
      </c>
      <c r="C7298" s="1">
        <f>hyperlink("https://hetutrechtsarchief.nl/collectie/8F4900BB90265E69B1D65383DB9898FD","Uit de oude schoenendoos nr 41 Christelijke lagere school in Maarssen J H Sagel 30-31 2010")</f>
        <v>0</v>
      </c>
      <c r="D7298" s="1">
        <f>hyperlink("http://www.hetutrechtsarchief.nl/files/bestuurders/18.pdf","Aarnoud Willem van Beeck Calkoen 1842-1922 christelijk voorman in school staat en maatschappij H J Ph G Kaajan 18-21 1994")</f>
        <v>0</v>
      </c>
    </row>
    <row r="7299" spans="2:4">
      <c r="B7299">
        <v>57</v>
      </c>
      <c r="C7299" s="1">
        <f>hyperlink("https://hetutrechtsarchief.nl/collectie/696078A4B582502EA05014F947AC0566","Dr Mr Barthold Jacob Lintelo baron De Geer van Jutphaas heer van Jutphaas R H 19 -22 portr 1904")</f>
        <v>0</v>
      </c>
      <c r="D7299" s="1">
        <f>hyperlink("http://www.hetutrechtsarchief.nl/files/bestuurders/211.pdf","Barthold Baron de Geer van Jutphaas 1816-1903 hoogleraar en politicus M van de Vrugt 61-64 1994")</f>
        <v>0</v>
      </c>
    </row>
    <row r="7300" spans="2:4">
      <c r="B7300">
        <v>54</v>
      </c>
      <c r="C7300" s="1">
        <f>hyperlink("https://hetutrechtsarchief.nl/collectie/97C700924392592A90AA46E837CCCBFF","Jan Feith 1874-1944 geestig journalist en schrijver van gezonde frisse jongensboeken M J A van der Heide 157-178 1999")</f>
        <v>0</v>
      </c>
      <c r="D7300" s="1">
        <f>hyperlink("http://www.hetutrechtsarchief.nl/files/bestuurders/223.pdf","Willem Graadt van Roggen 1879-1945 dichter journalist en secretaris-generaal van de Jaarbeurs H Buiter 61-66 1996")</f>
        <v>0</v>
      </c>
    </row>
    <row r="7301" spans="2:4">
      <c r="B7301">
        <v>51</v>
      </c>
      <c r="C7301" s="1">
        <f>hyperlink("https://hetutrechtsarchief.nl/collectie/8CCB24FF9E285F3CB07ED9F495DF3E17","De Gelderse en Stichtse wagen Janneke van Wakeren 130-143 1999")</f>
        <v>0</v>
      </c>
      <c r="D7301" s="1">
        <f>hyperlink("http://www.hetutrechtsarchief.nl/files/bestuurders/249.pdf","Willem Hendricus de Heus 1808-1872 industrieel A C van Kooten 100-104 1997")</f>
        <v>0</v>
      </c>
    </row>
    <row r="7302" spans="2:4">
      <c r="B7302">
        <v>54</v>
      </c>
      <c r="C7302" s="1">
        <f>hyperlink("https://hetutrechtsarchief.nl/collectie/47903DBF6C795A35BBC77B85AD10A9B2","Paulus Moreelse als architect M D Ozinga 18-25 ill 1931")</f>
        <v>0</v>
      </c>
      <c r="D7302" s="1">
        <f>hyperlink("http://www.hetutrechtsarchief.nl/files/bestuurders/260.pdf","Petrus Johannes Houtzagers 1857-1944 architect M J Dolfin 62-66 1998")</f>
        <v>0</v>
      </c>
    </row>
    <row r="7303" spans="2:4">
      <c r="B7303">
        <v>55</v>
      </c>
      <c r="C7303" s="1">
        <f>hyperlink("https://hetutrechtsarchief.nl/collectie/B76577A7B8CD5B9FA38E0313F93AC60F","Gerardus Johannes Mulder 27 Dec 1802-18 April 1880 J W Gunning 363 -375 1881")</f>
        <v>0</v>
      </c>
      <c r="D7303" s="1">
        <f>hyperlink("http://www.hetutrechtsarchief.nl/files/bestuurders/348.pdf","Gerardus Johannis Mulder 1802-1880 hoogleraar in de scheikunde orangist G J Hooykaas 141-145 1996")</f>
        <v>0</v>
      </c>
    </row>
    <row r="7304" spans="2:4">
      <c r="B7304">
        <v>54</v>
      </c>
      <c r="C7304" s="1">
        <f>hyperlink("https://hetutrechtsarchief.nl/collectie/C4CCE9A543EB59B28D81FDC9F2C9E17F","Breukelen-Nijenrode 1865-1900 vooruitgang in tegenstellingen 3 A Schuurman 129-134 1999")</f>
        <v>0</v>
      </c>
      <c r="D7304" s="1">
        <f>hyperlink("http://www.hetutrechtsarchief.nl/files/bestuurders/366.pdf","Jan Oudegeest 1870-1950 vakbondsleider en politicus A Schuurman 119-123 1995")</f>
        <v>0</v>
      </c>
    </row>
    <row r="7305" spans="2:4">
      <c r="B7305">
        <v>67</v>
      </c>
      <c r="C7305" s="1">
        <f>hyperlink("https://hetutrechtsarchief.nl/collectie/77B35DE442467EB0E0534701000A39B1","Otto Kettlitz 1870-1940 Ton van den Berg 125 2018")</f>
        <v>0</v>
      </c>
      <c r="D7305" s="1">
        <f>hyperlink("http://www.hetutrechtsarchief.nl/files/bestuurders/38.pdf","Otto Kettlitz 1870-1940 zakenman en politicus H Buiter 111-115 1997")</f>
        <v>0</v>
      </c>
    </row>
    <row r="7306" spans="2:4">
      <c r="B7306">
        <v>52</v>
      </c>
      <c r="C7306" s="1">
        <f>hyperlink("https://hetutrechtsarchief.nl/collectie/635AE408914A7390E0534701000A4BEA","Zeister schrijvers Mr Hendrik Marsman 1899-1940 - Letterkundige R P M Rhoen 105-107 2017")</f>
        <v>0</v>
      </c>
      <c r="D7306" s="1">
        <f>hyperlink("http://www.hetutrechtsarchief.nl/files/bestuurders/413.pdf","Christiaan Lodewijk Schuller tot Peursum 1813-1860 advocaat letterkundige en politicus J H von Santen 167-172 1998")</f>
        <v>0</v>
      </c>
    </row>
    <row r="7307" spans="2:4">
      <c r="B7307">
        <v>51</v>
      </c>
      <c r="C7307" s="1">
        <f>hyperlink("https://hetutrechtsarchief.nl/collectie/1EB50CA2E73E5C1CBC40C686F7BA7A1C","Amerongen Leersum en hun gedeelde burgemeesters Fred Vogelzang 4-9 2016")</f>
        <v>0</v>
      </c>
      <c r="D7307" s="1">
        <f>hyperlink("http://www.hetutrechtsarchief.nl/files/bestuurders/499.pdf","Anna de Waal 1906-1981 eerste vrouwelijke staatssecretaris F Vogelzang 194-199 1998")</f>
        <v>0</v>
      </c>
    </row>
    <row r="7308" spans="2:4">
      <c r="B7308">
        <v>57</v>
      </c>
      <c r="C7308" s="1">
        <f>hyperlink("https://hetutrechtsarchief.nl/collectie/57DD24EB6DBA52B6B39F3545459EE6A2","Dr J P Fockema Andreae 1879-1949 D Hillenius 51 2001")</f>
        <v>0</v>
      </c>
      <c r="D7308" s="1">
        <f>hyperlink("http://www.hetutrechtsarchief.nl/files/bestuurders/5.pdf","Joachimus Pieter Fockema Andreae 1879-1949 burgemeester H V Heskes 39-44 1998")</f>
        <v>0</v>
      </c>
    </row>
    <row r="7309" spans="2:4">
      <c r="B7309">
        <v>57</v>
      </c>
      <c r="C7309" s="1">
        <f>hyperlink("https://hetutrechtsarchief.nl/collectie/9682D3C626E505F7E0534701000AA00A","Hendrik Jacob van Hengst 1742-1817 bewoner van Persijn Lous de Raadt 8-14 2009")</f>
        <v>0</v>
      </c>
      <c r="D7309" s="1">
        <f>hyperlink("http://www.hetutrechtsarchief.nl/files/bestuurders/68.pdf","Hendrik van der Vlist 1900-1978 wethouder L van der Vlist 178-182 1994")</f>
        <v>0</v>
      </c>
    </row>
    <row r="7310" spans="2:4">
      <c r="B7310">
        <v>57</v>
      </c>
      <c r="C7310" s="1">
        <f>hyperlink("https://hetutrechtsarchief.nl/collectie/7C28D8F6D19C52328AAC7395ACA6AEBE","N a v de voorjaarsschoonmaak in de provincie Utrecht P J Meertens 18-19 1948")</f>
        <v>0</v>
      </c>
      <c r="D7310" s="1">
        <f>hyperlink("http://www.hetutrechtsarchief.nl/files/onderzoeksgidsen/Gids_01.pdf","Huizen vol historie gids voor huizenonderzoek in de provincie Utrecht F Pennings J C M Pietersma A Vogelzang 1998")</f>
        <v>0</v>
      </c>
    </row>
    <row r="7311" spans="2:4">
      <c r="B7311">
        <v>62</v>
      </c>
      <c r="C7311" s="1">
        <f>hyperlink("https://hetutrechtsarchief.nl/collectie/7C28D8F6D19C52328AAC7395ACA6AEBE","N a v de voorjaarsschoonmaak in de provincie Utrecht P J Meertens 18-19 1948")</f>
        <v>0</v>
      </c>
      <c r="D7311" s="1">
        <f>hyperlink("http://www.hetutrechtsarchief.nl/files/onderzoeksgidsen/Gids_02.pdf","Van aver tot aver gids voor genealogisch onderzoek in de provincie Utrecht E W A Elenbaas-Bunschoten 1998")</f>
        <v>0</v>
      </c>
    </row>
    <row r="7312" spans="2:4">
      <c r="B7312">
        <v>62</v>
      </c>
      <c r="C7312" s="1">
        <f>hyperlink("https://hetutrechtsarchief.nl/collectie/23A4E3E91CD15B6C82D02BC61562C623","Thuis in het verleden historische interieurs in de provincie Utrecht Esther Tob en Steven Coenen 4-7 2001")</f>
        <v>0</v>
      </c>
      <c r="D7312" s="1">
        <f>hyperlink("http://www.hetutrechtsarchief.nl/files/onderzoeksgidsen/Gids_03.pdf","Kerk in zicht gids voor lokaal kerkhistorisch onderzoek in de provincie Utrecht H L Ph Leeuwenberg 2000")</f>
        <v>0</v>
      </c>
    </row>
    <row r="7313" spans="2:4">
      <c r="B7313">
        <v>62</v>
      </c>
      <c r="C7313" s="1">
        <f>hyperlink("https://hetutrechtsarchief.nl/collectie/B561401A64BF5C83A7E061DE9F3A12F9","Een bibliografie van de provincie Utrecht A Pietersma 23-24 1991")</f>
        <v>0</v>
      </c>
      <c r="D7313" s="1">
        <f>hyperlink("http://www.hetutrechtsarchief.nl/files/onderzoeksgidsen/Gids_04.pdf","Levens verhalen gids voor biografisch onderzoek in de provincie Utrecht F Pietersma A Vogelzang 2000")</f>
        <v>0</v>
      </c>
    </row>
    <row r="7314" spans="2:4">
      <c r="B7314">
        <v>57</v>
      </c>
      <c r="C7314" s="1">
        <f>hyperlink("https://hetutrechtsarchief.nl/collectie/23A4E3E91CD15B6C82D02BC61562C623","Thuis in het verleden historische interieurs in de provincie Utrecht Esther Tob en Steven Coenen 4-7 2001")</f>
        <v>0</v>
      </c>
      <c r="D7314" s="1">
        <f>hyperlink("http://www.hetutrechtsarchief.nl/files/onderzoeksgidsen/Gids_05.pdf","Grensverleggers gids voor historisch onderzoek naar migranten in de provincie Utrecht Marlou Rommes Ronald Schrover 2001")</f>
        <v>0</v>
      </c>
    </row>
    <row r="7315" spans="2:4">
      <c r="B7315">
        <v>54</v>
      </c>
      <c r="C7315" s="1">
        <f>hyperlink("https://hetutrechtsarchief.nl/collectie/EA09E4FEBFC85A3E8F8AD6EF1388C215","Vagebonden bedelaars dieven en landlopers bedelarij en landloperij in de provincie Utrecht in de 17de en 18de eeuw Wijnand Thoomes 1-8 2010")</f>
        <v>0</v>
      </c>
      <c r="D7315" s="1">
        <f>hyperlink("http://www.hetutrechtsarchief.nl/files/onderzoeksgidsen/Gids_06.pdf","Gepokt en gemazeld gids voor historisch onderzoek naar ziekte en gezondheid in de provincie Utrecht Ronald Hart Pieter t Pouw Gerard Rommes 2002")</f>
        <v>0</v>
      </c>
    </row>
    <row r="7316" spans="2:4">
      <c r="B7316">
        <v>59</v>
      </c>
      <c r="C7316" s="1">
        <f>hyperlink("https://hetutrechtsarchief.nl/collectie/23A4E3E91CD15B6C82D02BC61562C623","Thuis in het verleden historische interieurs in de provincie Utrecht Esther Tob en Steven Coenen 4-7 2001")</f>
        <v>0</v>
      </c>
      <c r="D7316" s="1">
        <f>hyperlink("http://www.hetutrechtsarchief.nl/files/onderzoeksgidsen/Gids_07.pdf","Wegwijzer gids voor historisch onderzoek naar verkeer en vervoer in de provincie Utrecht J Koen D T Renes 2003")</f>
        <v>0</v>
      </c>
    </row>
    <row r="7317" spans="2:4">
      <c r="B7317">
        <v>56</v>
      </c>
      <c r="C7317" s="1">
        <f>hyperlink("https://hetutrechtsarchief.nl/collectie/23A4E3E91CD15B6C82D02BC61562C623","Thuis in het verleden historische interieurs in de provincie Utrecht Esther Tob en Steven Coenen 4-7 2001")</f>
        <v>0</v>
      </c>
      <c r="D7317" s="1">
        <f>hyperlink("http://www.hetutrechtsarchief.nl/files/onderzoeksgidsen/Gids_08.pdf","Doorploegen gids voor historisch onderzoek naar het boerenbedrijf in de provincie Utrecht Ronald Blekkenhorst Tom Renes Hans Rommes 2003")</f>
        <v>0</v>
      </c>
    </row>
    <row r="7318" spans="2:4">
      <c r="B7318">
        <v>61</v>
      </c>
      <c r="C7318" s="1">
        <f>hyperlink("https://hetutrechtsarchief.nl/collectie/A8F87BF8BBEB5F3E85D00B342FD4C2C5","Vernieuwing of continu teit Provinciale Staten van Utrecht rond 1848 Fred Vogelzang 255-270 2011")</f>
        <v>0</v>
      </c>
      <c r="D7318" s="1">
        <f>hyperlink("http://www.hetutrechtsarchief.nl/files/onderzoeksgidsen/Gids_09.pdf","De Staten in stukken gids voor historisch onderzoek naar het Provinciaal Bestuur van Utrecht na 1813 Fred Vogelzang 2003")</f>
        <v>0</v>
      </c>
    </row>
    <row r="7319" spans="2:4">
      <c r="B7319">
        <v>59</v>
      </c>
      <c r="C7319" s="1">
        <f>hyperlink("https://hetutrechtsarchief.nl/collectie/DE0969BB1BD056E1AC8BA649F3AB665F","Bijdragen tot de geschiedenis van de gemeenten der hervormden in de provincie Utrecht in 1618 P J Vermeulen 102-105 1848")</f>
        <v>0</v>
      </c>
      <c r="D7319" s="1">
        <f>hyperlink("http://www.hetutrechtsarchief.nl/files/onderzoeksgidsen/Gids_10.pdf","Na gedane arbeid gids voor de geschiedenis van cultuurbeoefening en vrijetijdsbesteding in de provincie Utrecht Mieke Breij 2005")</f>
        <v>0</v>
      </c>
    </row>
    <row r="7320" spans="2:4">
      <c r="B7320">
        <v>59</v>
      </c>
      <c r="C7320" s="1">
        <f>hyperlink("https://hetutrechtsarchief.nl/collectie/23A4E3E91CD15B6C82D02BC61562C623","Thuis in het verleden historische interieurs in de provincie Utrecht Esther Tob en Steven Coenen 4-7 2001")</f>
        <v>0</v>
      </c>
      <c r="D7320" s="1">
        <f>hyperlink("http://www.hetutrechtsarchief.nl/files/onderzoeksgidsen/Gids_11.pdf","Scholen stichten gids voor historisch onderzoek naar het onderwijs in de provincie Utrecht Dolly Verhoeven 2005")</f>
        <v>0</v>
      </c>
    </row>
    <row r="7321" spans="2:4">
      <c r="B7321">
        <v>53</v>
      </c>
      <c r="C7321" s="1">
        <f>hyperlink("https://hetutrechtsarchief.nl/collectie/2CA4BFFDF22A58F196959EAF706F387B","Stadswording in het rivierengebied ten zuiden van Utrecht gedurende de veertiende eeuw Reinout Rutte 1-11 2003")</f>
        <v>0</v>
      </c>
      <c r="D7321" s="1">
        <f>hyperlink("http://www.hetutrechtsarchief.nl/files/onderzoeksgidsen/Gids_12.pdf","Stadsbelangen gids voor historisch onderzoek naar het gemeentebestuur van Utrecht in de 19de en 20ste eeuw Arend Pietersma 2005")</f>
        <v>0</v>
      </c>
    </row>
    <row r="7322" spans="2:4">
      <c r="B7322">
        <v>54</v>
      </c>
      <c r="C7322" s="1">
        <f>hyperlink("https://hetutrechtsarchief.nl/collectie/23A4E3E91CD15B6C82D02BC61562C623","Thuis in het verleden historische interieurs in de provincie Utrecht Esther Tob en Steven Coenen 4-7 2001")</f>
        <v>0</v>
      </c>
      <c r="D7322" s="1">
        <f>hyperlink("http://www.hetutrechtsarchief.nl/files/onderzoeksgidsen/Gids_13.pdf","Lusten en lasten gids voor fiscaal-historisch onderzoek naar inkomen en vermogen in de provincie Utrecht Wybren Pietersma Arend Rommes Ronald Verstegen 2007")</f>
        <v>0</v>
      </c>
    </row>
    <row r="7323" spans="2:4">
      <c r="B7323">
        <v>54</v>
      </c>
      <c r="C7323" s="1">
        <f>hyperlink("https://hetutrechtsarchief.nl/collectie/AEA3BBB341A553798B6CDD146E9C57FA","Brieven van Johannes de Wit aan Arend van Buchel en anderen uitg door A Hulshof en P S Breuning 87 -208 1939")</f>
        <v>0</v>
      </c>
      <c r="D7323" s="1">
        <f>hyperlink("http://www.historici.nl/Onderzoek/Projecten/KroniekVanJohannesDeBekeTot1430/nederlands","Croniken van den Stichte van Utrecht ende van Holland Johannes de Beka uitg door H Bruch Hettel Beka Johannes de Bruch 1982")</f>
        <v>0</v>
      </c>
    </row>
    <row r="7324" spans="2:4">
      <c r="B7324">
        <v>57</v>
      </c>
      <c r="C7324" s="1">
        <f>hyperlink("https://hetutrechtsarchief.nl/collectie/56FB507C678351C8BCF60F49AB9C70B0","Hoe komen we aan Zeist Hans Kilian 60-62 ill 1998")</f>
        <v>0</v>
      </c>
      <c r="D7324" s="1">
        <f>hyperlink("http://www.historici.nl/retroboeken/blnp/#source=4&amp;page=217&amp;accessor=accessor_index","Hootsen Jannetje H Florijn 216-217 1998")</f>
        <v>0</v>
      </c>
    </row>
    <row r="7325" spans="2:4">
      <c r="B7325">
        <v>58</v>
      </c>
      <c r="C7325" s="1">
        <f>hyperlink("https://hetutrechtsarchief.nl/collectie/AB98229F079B5AF5B5D865D863AF206A","Dom en Oudmunster te Utrecht N B Tenhaeff 333 -364 1915")</f>
        <v>0</v>
      </c>
      <c r="D7325" s="1">
        <f>hyperlink("http://www.historici.nl/retroboeken/bvgo?source=05_02&amp;page=338","Dom en Oudmunster te Utrecht N B Tenhaeff 333 -364 Verspreide geschriften van N B Tenhaeff uitg door J Romein - 1943 - dl 1 p 19-43 1915")</f>
        <v>0</v>
      </c>
    </row>
    <row r="7326" spans="2:4">
      <c r="B7326">
        <v>51</v>
      </c>
      <c r="C7326" s="1">
        <f>hyperlink("https://hetutrechtsarchief.nl/collectie/72C07D14680C1B4EE0534701000A7342","De geschiedenis van villa Oase in Bilthoven hoe een toevluchtsoord voor de elite veranderde in een forensendorp voor de middenklasse Korine Hazelzet 94-99 2018")</f>
        <v>0</v>
      </c>
      <c r="D7326" s="1">
        <f>hyperlink("http://www.historici.nl/retroboeken/bvgo/?source=01_01&amp;page_number=209","Korte schets van de oude gewoonte om in houten gebouwen te wonen en van derzelver overgang tot steenen woningen voornamelijk in Groningen H O Feith 209 -265 1837")</f>
        <v>0</v>
      </c>
    </row>
    <row r="7327" spans="2:4">
      <c r="B7327">
        <v>56</v>
      </c>
      <c r="C7327" s="1">
        <f>hyperlink("https://hetutrechtsarchief.nl/collectie/51C5C38073035ABEAC2121ABFFBA509D","Het tooneel van den ouden Schouwburg J H C van den Berg 170-177 ill 1941")</f>
        <v>0</v>
      </c>
      <c r="D7327" s="1">
        <f>hyperlink("http://www.historici.nl/retroboeken/bvgo/?source=01_07&amp;page_number=190;http://www.historici.nl/retroboeken/bvgo/?source=01_07&amp;page_number=275","De Nederlandsche wateren v r de twaalfde eeuw L Ph C van den Bergh 190 -223 275 -293 1850")</f>
        <v>0</v>
      </c>
    </row>
    <row r="7328" spans="2:4">
      <c r="B7328">
        <v>100</v>
      </c>
      <c r="C7328" s="1">
        <f>hyperlink("https://hetutrechtsarchief.nl/collectie/6E61B079AB2F560098B5590EB735ADC6","Het dertiende artikel der Unie van Utrecht eene voorlezing op den 2 Januarij 1854 te Arnhem gehouden G A de Meester 213 -245 1854")</f>
        <v>0</v>
      </c>
      <c r="D7328" s="1">
        <f>hyperlink("http://www.historici.nl/retroboeken/bvgo/?source=01_09&amp;page_number=213","Het dertiende artikel der Unie van Utrecht eene voorlezing op den 2 Januarij 1854 te Arnhem gehouden G A de Meester 213 -245 1854")</f>
        <v>0</v>
      </c>
    </row>
    <row r="7329" spans="2:4">
      <c r="B7329">
        <v>59</v>
      </c>
      <c r="C7329" s="1">
        <f>hyperlink("https://hetutrechtsarchief.nl/collectie/ADA758B9541A55DA9911FEDE584A8A18","Lobesteeg te Utrecht Steven Lobe het geslacht Lob W J C van Hasselt 97-100 1845")</f>
        <v>0</v>
      </c>
      <c r="D7329" s="1">
        <f>hyperlink("http://www.historici.nl/retroboeken/bvgo/?source=01_09&amp;page_number=271","Bloemenstein Blommestein W J C van Hasselt 271 -281 1854")</f>
        <v>0</v>
      </c>
    </row>
    <row r="7330" spans="2:4">
      <c r="B7330">
        <v>52</v>
      </c>
      <c r="C7330" s="1">
        <f>hyperlink("https://hetutrechtsarchief.nl/collectie/F8A105554C9756A590D9E660B4EB91B9","Stukken betrekkelijk de indaging en veoordeeling der regering van Utrecht 25-35 1860")</f>
        <v>0</v>
      </c>
      <c r="D7330" s="1">
        <f>hyperlink("http://www.historici.nl/retroboeken/bvgo/?source=02_03&amp;page_number=197","Stukken betrekkelijk Cornelis en Fran ois van Aerssen Oldenbarnevelt Philips Willem van Oranje en de XXIV regters G W Vreede 197 -217 1864")</f>
        <v>0</v>
      </c>
    </row>
    <row r="7331" spans="2:4">
      <c r="B7331">
        <v>66</v>
      </c>
      <c r="C7331" s="1">
        <f>hyperlink("https://hetutrechtsarchief.nl/collectie/1F7192A9C7E456A18958894752AD6FB2","Een Geldersch waterrecht S Muller Fz 1-3 16 1897")</f>
        <v>0</v>
      </c>
      <c r="D7331" s="1">
        <f>hyperlink("http://www.historici.nl/retroboeken/bvgo/?source=02_09&amp;page_number=282","Een en ander over Trecht en Utrecht S Muller 282 -313 1877")</f>
        <v>0</v>
      </c>
    </row>
    <row r="7332" spans="2:4">
      <c r="B7332">
        <v>55</v>
      </c>
      <c r="C7332" s="1">
        <f>hyperlink("https://hetutrechtsarchief.nl/collectie/B0B2427B1FE95BC78E07F9F7B055A44E","Een luiklok van Odijk naar Zeist V A M van der Burg 29-30 ill 1990")</f>
        <v>0</v>
      </c>
      <c r="D7332" s="1">
        <f>hyperlink("http://www.historici.nl/retroboeken/bvgo/?source=02_10&amp;page_number=29","Herman van Kuik en Graaf Floris I J Bolhuis van Zeeburgh 29 -33 1880")</f>
        <v>0</v>
      </c>
    </row>
    <row r="7333" spans="2:4">
      <c r="B7333">
        <v>56</v>
      </c>
      <c r="C7333" s="1">
        <f>hyperlink("https://hetutrechtsarchief.nl/collectie/EFD4E9BB3A69508093EA14D043144E0F","Neerkassel s bestuur tijdens de Fransche overheersching 1672-1673 G Brom 382-391 1893")</f>
        <v>0</v>
      </c>
      <c r="D7333" s="1">
        <f>hyperlink("http://www.historici.nl/retroboeken/bvgo/?source=03_02&amp;page_number=207","Wijk-bij-Duurstede onder Fransche sauvegarde in 1672 en 1673 J F Croockewit 207 -213 1885")</f>
        <v>0</v>
      </c>
    </row>
    <row r="7334" spans="2:4">
      <c r="B7334">
        <v>58</v>
      </c>
      <c r="C7334" s="1">
        <f>hyperlink("https://hetutrechtsarchief.nl/collectie/3EB0E7BE9AC65CEEB0ABD83CE44AB7BA","Een tweetal wij-bisschoppen van Utrecht J H Hofman 149-154 1892")</f>
        <v>0</v>
      </c>
      <c r="D7334" s="1">
        <f>hyperlink("http://www.historici.nl/retroboeken/bvgo/?source=03_03&amp;page_number=293","Een tweetal inventarissen uit de nalatenschap der Heeren van Brederode J H Hofman 293 -301 1886")</f>
        <v>0</v>
      </c>
    </row>
    <row r="7335" spans="2:4">
      <c r="B7335">
        <v>99</v>
      </c>
      <c r="C7335" s="1">
        <f>hyperlink("https://hetutrechtsarchief.nl/collectie/8FCA0676E50C55899FDECA5A16B01C2B","De partijstrijd te Utrecht over de nadere unie 1578 9 P L Muller 327 -381 1886")</f>
        <v>0</v>
      </c>
      <c r="D7335" s="1">
        <f>hyperlink("http://www.historici.nl/retroboeken/bvgo/?source=03_03&amp;page_number=327","De partijstrijd te Utrecht over de Nadere Unie 1578 79 P L Muller 327 -381 1886")</f>
        <v>0</v>
      </c>
    </row>
    <row r="7336" spans="2:4">
      <c r="B7336">
        <v>75</v>
      </c>
      <c r="C7336" s="1">
        <f>hyperlink("https://hetutrechtsarchief.nl/collectie/3ACA5A9FEC5C52FE90CE42C421E1B5C9","Het archief der bisschoppen van Utrecht S Muller Fz 1-30 17 1888")</f>
        <v>0</v>
      </c>
      <c r="D7336" s="1">
        <f>hyperlink("http://www.historici.nl/retroboeken/bvgo/?source=03_04&amp;page_number=209","Het archief der Oud-Bisschoppelijke Klerezij te Utrecht S Muller 209 -220 1888")</f>
        <v>0</v>
      </c>
    </row>
    <row r="7337" spans="2:4">
      <c r="B7337">
        <v>54</v>
      </c>
      <c r="C7337" s="1">
        <f>hyperlink("https://hetutrechtsarchief.nl/collectie/C489D203EB7C50D9A240F98915429F53","Iets aangaande Prins Willem als stadhouder van Utrecht J J Dodt v Fl 174 -175 1843")</f>
        <v>0</v>
      </c>
      <c r="D7337" s="1">
        <f>hyperlink("http://www.historici.nl/retroboeken/bvgo/?source=03_04&amp;page_number=221","Huldiging van Prins Willem den Eerste als Heer van IJsselstein J H Hofman 221 -226 1888")</f>
        <v>0</v>
      </c>
    </row>
    <row r="7338" spans="2:4">
      <c r="B7338">
        <v>85</v>
      </c>
      <c r="C7338" s="1">
        <f>hyperlink("https://hetutrechtsarchief.nl/collectie/B7BBE40EF47055118FE7DD91587777AB","Collatierecht en ambtsbejag bijdragen tot de geschiedenis van het vergeven van benefici n en ambten bij tourbeurten S Muller Fz 423 -462 en In XLIV C 14 - Vol 4 1 - 17 1888-1892 p 1-4 4 1889")</f>
        <v>0</v>
      </c>
      <c r="D7338" s="1">
        <f>hyperlink("http://www.historici.nl/retroboeken/bvgo/?source=03_05&amp;page_number=423;http://www.historici.nl/retroboeken/bvgo/?source=03_06&amp;page_number=75","Collatierecht en ambtsbejag bijdragen tot de geschiedenis van het vergeven van benefici n en ambten bij toerbeurten S Muller 423 -462 3e reeks dl 6 18XX p 75 -80 1889-1892")</f>
        <v>0</v>
      </c>
    </row>
    <row r="7339" spans="2:4">
      <c r="B7339">
        <v>93</v>
      </c>
      <c r="C7339" s="1">
        <f>hyperlink("https://hetutrechtsarchief.nl/collectie/BC60A4006F675520AE3DDE41A471F79F","Nog eene bladzijde uit de Utrechtsche geschiedenis B J L de Geer van Jutfaas 153 -225 1896")</f>
        <v>0</v>
      </c>
      <c r="D7339" s="1">
        <f>hyperlink("http://www.historici.nl/retroboeken/bvgo/?source=03_09&amp;page_number=153","Nog eene bladzijde uit de Utrechtsche geschiedenis 1099-1198 B J L de Geer van Jutfaas 153 -225 1888")</f>
        <v>0</v>
      </c>
    </row>
    <row r="7340" spans="2:4">
      <c r="B7340">
        <v>98</v>
      </c>
      <c r="C7340" s="1">
        <f>hyperlink("https://hetutrechtsarchief.nl/collectie/9AD9958956FB56419BE39F846DEE7C85","Een paar bladzijden uit de Utrechtsche geschiedenis B J L de Geer van Jutfaas 44 -104 1896")</f>
        <v>0</v>
      </c>
      <c r="D7340" s="1">
        <f>hyperlink("http://www.historici.nl/retroboeken/bvgo/?source=03_09&amp;page_number=44","Een paar bladzijden uit de Utrechtsche geschiedenis B J L de Geer van Jutfaas 44 -104 1888")</f>
        <v>0</v>
      </c>
    </row>
    <row r="7341" spans="2:4">
      <c r="B7341">
        <v>100</v>
      </c>
      <c r="C7341" s="1">
        <f>hyperlink("https://hetutrechtsarchief.nl/collectie/7FFAD7E2F1E653939FCE0125B90BFDF0","Een protest tegen de overdracht van het wereldlijk gebied der Utrechtsche bisschoppen G Brom 125 -138 1899")</f>
        <v>0</v>
      </c>
      <c r="D7341" s="1">
        <f>hyperlink("http://www.historici.nl/retroboeken/bvgo/?source=03_10&amp;page_number=125","Een protest tegen de overdracht van het wereldlijk gebied der Utrechtsche bisschoppen G Brom 125 -138 1899")</f>
        <v>0</v>
      </c>
    </row>
    <row r="7342" spans="2:4">
      <c r="B7342">
        <v>62</v>
      </c>
      <c r="C7342" s="1">
        <f>hyperlink("https://hetutrechtsarchief.nl/collectie/AD467D82C48E5DF4BC6F5756C38BC0CF","Bijdrage tot de kennis van de Utrechtse maten en gewichten medeged door F Ketner 190 -198 1947")</f>
        <v>0</v>
      </c>
      <c r="D7342" s="1">
        <f>hyperlink("http://www.historici.nl/retroboeken/bvgo/?source=04_05&amp;page_number=311","Bijdrage tot de kennis van de levenswijze van een groot heer in het begin der 16de eeuw J Craandijk 311 -369 1906")</f>
        <v>0</v>
      </c>
    </row>
    <row r="7343" spans="2:4">
      <c r="B7343">
        <v>54</v>
      </c>
      <c r="C7343" s="1">
        <f>hyperlink("https://hetutrechtsarchief.nl/collectie/9D83080E76C1565EA0B84AF406E85D01","De oudste generati n van de familie van Dam Van Isselt Amersfoort W E van Dam van Isselt 388-403 1939")</f>
        <v>0</v>
      </c>
      <c r="D7343" s="1">
        <f>hyperlink("http://www.historici.nl/retroboeken/bvgo/?source=04_06&amp;page_number=277","De klachten tusschen 1672 en 1675 ingebracht tegen Jacob van Dam consul te Smirna 1668-1688 W E van Dam van Isselt 277 -351 1907")</f>
        <v>0</v>
      </c>
    </row>
    <row r="7344" spans="2:4">
      <c r="B7344">
        <v>59</v>
      </c>
      <c r="C7344" s="1">
        <f>hyperlink("https://hetutrechtsarchief.nl/collectie/9D83080E76C1565EA0B84AF406E85D01","De oudste generati n van de familie van Dam Van Isselt Amersfoort W E van Dam van Isselt 388-403 1939")</f>
        <v>0</v>
      </c>
      <c r="D7344" s="1">
        <f>hyperlink("http://www.historici.nl/retroboeken/bvgo/?source=04_06&amp;page_number=78","Eenige lotgevallen van Jacob van Dam consul te Smirna van 1668-1688 W E van Dam van Isselt 78 -136 1907")</f>
        <v>0</v>
      </c>
    </row>
    <row r="7345" spans="2:4">
      <c r="B7345">
        <v>56</v>
      </c>
      <c r="C7345" s="1">
        <f>hyperlink("https://hetutrechtsarchief.nl/collectie/9D83080E76C1565EA0B84AF406E85D01","De oudste generati n van de familie van Dam Van Isselt Amersfoort W E van Dam van Isselt 388-403 1939")</f>
        <v>0</v>
      </c>
      <c r="D7345" s="1">
        <f>hyperlink("http://www.historici.nl/retroboeken/bvgo/?source=04_08&amp;page_number=1","De dertien discreperende kooplieden te Smirna 1685-1687 W E van Dam van Isselt 1 -42 1910")</f>
        <v>0</v>
      </c>
    </row>
    <row r="7346" spans="2:4">
      <c r="B7346">
        <v>98</v>
      </c>
      <c r="C7346" s="1">
        <f>hyperlink("https://hetutrechtsarchief.nl/collectie/515BBA0B82B6551A8733B4452FA52E08","De houding van den H Stoel bij de secularisatie van het Sticht 1528-1532 Gisbert Brom 329 -340 1910")</f>
        <v>0</v>
      </c>
      <c r="D7346" s="1">
        <f>hyperlink("http://www.historici.nl/retroboeken/bvgo/?source=04_08&amp;page_number=319","De houding van den H Stoel bij de secularisatie van het Sticht 1528-1532 Gisbert Brom 319-340 1910")</f>
        <v>0</v>
      </c>
    </row>
    <row r="7347" spans="2:4">
      <c r="B7347">
        <v>100</v>
      </c>
      <c r="C7347" s="1">
        <f>hyperlink("https://hetutrechtsarchief.nl/collectie/2EADEE4201275B3E974537C99F113533","Merowingisch en Karolingisch Utrecht I H Gosses 209 -266 1910")</f>
        <v>0</v>
      </c>
      <c r="D7347" s="1">
        <f>hyperlink("http://www.historici.nl/retroboeken/bvgo/?source=04_09&amp;page_number=209","Merowingisch en Karolingisch Utrecht I H Gosses 209 -266 1910")</f>
        <v>0</v>
      </c>
    </row>
    <row r="7348" spans="2:4">
      <c r="B7348">
        <v>53</v>
      </c>
      <c r="C7348" s="1">
        <f>hyperlink("https://hetutrechtsarchief.nl/collectie/F370D702CD8F55139724D645700EE181","Nog een en ander in verband met het leven en de werken van Petrus Hofstede J P de Bie 101 -106 1903")</f>
        <v>0</v>
      </c>
      <c r="D7348" s="1">
        <f>hyperlink("http://www.historici.nl/retroboeken/bvgo/?source=04_09&amp;page_number=408","Wouter heer van Langerack en zijn zegel in verband met een handvest door hem gegeven vermeld in Van den Bergh s oorkondenboek II no 868 J W des Tombe 408 -415 1950")</f>
        <v>0</v>
      </c>
    </row>
    <row r="7349" spans="2:4">
      <c r="B7349">
        <v>72</v>
      </c>
      <c r="C7349" s="1">
        <f>hyperlink("https://hetutrechtsarchief.nl/collectie/89BE9FB20EC75C16AE8536D0A726050E","De echtheid van het charter van bisschop Balderik S Muller Fz 42 -57 en In XLIV C 20 - Vol 10 1 - 15 1910-1914 p 42-72 2 1912")</f>
        <v>0</v>
      </c>
      <c r="D7349" s="1">
        <f>hyperlink("http://www.historici.nl/retroboeken/bvgo/?source=04_10&amp;page_number=42","De echtheid van het charter van bisschop Balderik S Muller 42 -57 1912")</f>
        <v>0</v>
      </c>
    </row>
    <row r="7350" spans="2:4">
      <c r="B7350">
        <v>61</v>
      </c>
      <c r="C7350" s="1">
        <f>hyperlink("https://hetutrechtsarchief.nl/collectie/B54A3679321B58388403C063E2D1A736","De afstamming van het geslacht Ver Huell W Wijnaendts van Resandt 9-11 1928")</f>
        <v>0</v>
      </c>
      <c r="D7350" s="1">
        <f>hyperlink("http://www.historici.nl/retroboeken/bvgo/?source=04_10&amp;page_number=93","De afkomst van het geslacht van Langerack Hans Toll 93 -99 1912")</f>
        <v>0</v>
      </c>
    </row>
    <row r="7351" spans="2:4">
      <c r="B7351">
        <v>93</v>
      </c>
      <c r="C7351" s="1">
        <f>hyperlink("https://hetutrechtsarchief.nl/collectie/D24BA8B21E3E5EFDB8988FCA27BA39AE","De Trechtsche kathedraalkwestie S Muller Hzn 1 -26 1915")</f>
        <v>0</v>
      </c>
      <c r="D7351" s="1">
        <f>hyperlink("http://www.historici.nl/retroboeken/bvgo/?source=05_02&amp;page_number=1","De Trechtsche kathedraalkwestie S Mulder 1-26 1915")</f>
        <v>0</v>
      </c>
    </row>
    <row r="7352" spans="2:4">
      <c r="B7352">
        <v>56</v>
      </c>
      <c r="C7352" s="1">
        <f>hyperlink("https://hetutrechtsarchief.nl/collectie/3EB4B262F6A754F08874A352D49FE624","Een partieele lijst van hoogst aangeslagenen te Amersfoort gedwongen schenking aan den bisschop a nno 1426 W E van Dam van Isselt 184-193 1941")</f>
        <v>0</v>
      </c>
      <c r="D7352" s="1">
        <f>hyperlink("http://www.historici.nl/retroboeken/bvgo/?source=05_04&amp;page_number=121","Een lang uitgestelde reis episode uit onzen Levantschen handel W E van Dam van Isselt 121 -142 1917")</f>
        <v>0</v>
      </c>
    </row>
    <row r="7353" spans="2:4">
      <c r="B7353">
        <v>95</v>
      </c>
      <c r="C7353" s="1">
        <f>hyperlink("https://hetutrechtsarchief.nl/collectie/CC27035F4E265FBCA86EDFE7E17DE27B","Oranje en de Unie van Utrecht P J Blok 1 -36 1920")</f>
        <v>0</v>
      </c>
      <c r="D7353" s="1">
        <f>hyperlink("http://www.historici.nl/retroboeken/bvgo/?source=05_07&amp;page_number=1","Oranje en de Unie van Utrecht P J Blok 1-15 1920")</f>
        <v>0</v>
      </c>
    </row>
    <row r="7354" spans="2:4">
      <c r="B7354">
        <v>61</v>
      </c>
      <c r="C7354" s="1">
        <f>hyperlink("https://hetutrechtsarchief.nl/collectie/E00B281615E655CF893AA008553F084F","Over de oudste oorkonde De Bilts begin in 1113 Anne Doedens 34-50 2008")</f>
        <v>0</v>
      </c>
      <c r="D7354" s="1">
        <f>hyperlink("http://www.historici.nl/retroboeken/bvgo/?source=05_07&amp;page_number=273","Over de oudste oorkonden voor de Abdij Mari nweerd A C Bouman 273-293 1920")</f>
        <v>0</v>
      </c>
    </row>
    <row r="7355" spans="2:4">
      <c r="B7355">
        <v>54</v>
      </c>
      <c r="C7355" s="1">
        <f>hyperlink("https://hetutrechtsarchief.nl/collectie/267CDE5DF10654119BF9338C19EC3AC8","Uit het dagboek van Pastoor Rademaker 1795-1872 Jan van Dijk 14-24 1999")</f>
        <v>0</v>
      </c>
      <c r="D7355" s="1">
        <f>hyperlink("http://www.historici.nl/retroboeken/bvgo/?source=05_09&amp;page_number=88","Het dagboek van een Hongaarsch student 1714-16 G za von Antal 88 -112 1922")</f>
        <v>0</v>
      </c>
    </row>
    <row r="7356" spans="2:4">
      <c r="B7356">
        <v>59</v>
      </c>
      <c r="C7356" s="1">
        <f>hyperlink("https://hetutrechtsarchief.nl/collectie/66A6E15772894963E0534701000A8E87","Uit de Biltse kranten de hoefstal van de smederij van Takken Ellen Drees 6-9 2018")</f>
        <v>0</v>
      </c>
      <c r="D7356" s="1">
        <f>hyperlink("http://www.historici.nl/retroboeken/bvgo/?source=05_10&amp;page_number=249","De laatste wikingtochten in de gewesten van den Nederrijn Jan de Vries 249 -256 1923")</f>
        <v>0</v>
      </c>
    </row>
    <row r="7357" spans="2:4">
      <c r="B7357">
        <v>53</v>
      </c>
      <c r="C7357" s="1">
        <f>hyperlink("https://hetutrechtsarchief.nl/collectie/9ED6A9B5C7FB5CF9B91AE15E101CC71A","Het oudste Nederlandse R K Blindeninstituut te Laren en Eemnes 1842-1851 Jan Out 115-124 2003")</f>
        <v>0</v>
      </c>
      <c r="D7357" s="1">
        <f>hyperlink("http://www.historici.nl/retroboeken/bvgo/?source=06_04&amp;page_number=237;http://www.historici.nl/retroboeken/bvgo/?source=06_05&amp;page_number=101","De opkomst der Nederlandsche katoenindustrie Z W Sneller 237 -274 6e reeks dl 5 1927 p 101 -113 1926-1927")</f>
        <v>0</v>
      </c>
    </row>
    <row r="7358" spans="2:4">
      <c r="B7358">
        <v>55</v>
      </c>
      <c r="C7358" s="1">
        <f>hyperlink("https://hetutrechtsarchief.nl/collectie/51F29316361C5897A98A67544E722264","Het voormalige klooster der Zakbroeders binnen Utrecht medeged door J J de Geer van Oudegein 287 -296 1877")</f>
        <v>0</v>
      </c>
      <c r="D7358" s="1">
        <f>hyperlink("http://www.historici.nl/retroboeken/bvgo/?source=06_04&amp;page_number=283","Vervolgingen welke de broeders en zusters des Gemeenen Levens te verduren hadden D de Man 283 -295 1926")</f>
        <v>0</v>
      </c>
    </row>
    <row r="7359" spans="2:4">
      <c r="B7359">
        <v>99</v>
      </c>
      <c r="C7359" s="1">
        <f>hyperlink("https://hetutrechtsarchief.nl/collectie/6AFD8CC791C95F058AE1F64A5E9164F8","De zendingen van Frederik van Reede naar Engeland in de jaren 1672-1674 Elisabeth H Korvezee 243 -258 1928")</f>
        <v>0</v>
      </c>
      <c r="D7359" s="1">
        <f>hyperlink("http://www.historici.nl/retroboeken/bvgo/?source=06_07&amp;page_number=243","De zendingen van Frederik van Reede naar Engeland in de jaren 1672-1674 Elisabeth H Korvezee 243 -259 1928")</f>
        <v>0</v>
      </c>
    </row>
    <row r="7360" spans="2:4">
      <c r="B7360">
        <v>100</v>
      </c>
      <c r="C7360" s="1">
        <f>hyperlink("https://hetutrechtsarchief.nl/collectie/CDABD335B30A5B6C91C12B1744C1A2D4","Bijdragen tot de geschiedenis der ontginning van het Nedersticht K Heeringa 161 -202 1929")</f>
        <v>0</v>
      </c>
      <c r="D7360" s="1">
        <f>hyperlink("http://www.historici.nl/retroboeken/bvgo/?source=06_08&amp;page_number=161","Bijdragen tot de geschiedenis der ontginning van het Nedersticht K Heeringa 161 -202 1929")</f>
        <v>0</v>
      </c>
    </row>
    <row r="7361" spans="2:4">
      <c r="B7361">
        <v>70</v>
      </c>
      <c r="C7361" s="1">
        <f>hyperlink("https://hetutrechtsarchief.nl/collectie/9A6C065102725724B77405CD6914C503","De bisschop als klokluider te Zeist A Johanna Maris 89-90 1946")</f>
        <v>0</v>
      </c>
      <c r="D7361" s="1">
        <f>hyperlink("http://www.historici.nl/retroboeken/bvgo/?source=06_09&amp;page_number=263","De bisschop van Utrecht als klokluider te Zeist K Heeringa 263 -279 1930")</f>
        <v>0</v>
      </c>
    </row>
    <row r="7362" spans="2:4">
      <c r="B7362">
        <v>61</v>
      </c>
      <c r="C7362" s="1">
        <f>hyperlink("https://hetutrechtsarchief.nl/collectie/CF31CAFC8C405FFD8AA64F6629B57243","Ontginningen in Eemland in de Middeleeuwen C J C Broer 20-31 ill krt 1992")</f>
        <v>0</v>
      </c>
      <c r="D7362" s="1">
        <f>hyperlink("http://www.historici.nl/retroboeken/bvgo/?source=06_09&amp;page_number=280","Eemland in de middeleeuwen K Heeringa 280 -308 1930")</f>
        <v>0</v>
      </c>
    </row>
    <row r="7363" spans="2:4">
      <c r="B7363">
        <v>100</v>
      </c>
      <c r="C7363" s="1">
        <f>hyperlink("https://hetutrechtsarchief.nl/collectie/F7E920BA9202528281087F555F806B7A","Naamlijst van West-Indische studenten te Leiden Utrecht Groningen en Harderwijk 1701-1813 L Knappert 290 -294 1930")</f>
        <v>0</v>
      </c>
      <c r="D7363" s="1">
        <f>hyperlink("http://www.historici.nl/retroboeken/bvgo/?source=06_10&amp;page=297","Naamlijst van West-Indische studenten te Leiden Utrecht Groningen en Harderwijk 1701-1813 L Knappert 290 -294 1930")</f>
        <v>0</v>
      </c>
    </row>
    <row r="7364" spans="2:4">
      <c r="B7364">
        <v>67</v>
      </c>
      <c r="C7364" s="1">
        <f>hyperlink("https://hetutrechtsarchief.nl/collectie/2D468CC05F0655CA883DA7E8DBE932B6","Bisschop Jan van Arkel eene nalezing J H Hofman 103-116 1907")</f>
        <v>0</v>
      </c>
      <c r="D7364" s="1">
        <f>hyperlink("http://www.historici.nl/retroboeken/bvgo/?source=07_01&amp;page_number=15","Bisschop Jan van Arkel K Heeringa 15 -34 1931")</f>
        <v>0</v>
      </c>
    </row>
    <row r="7365" spans="2:4">
      <c r="B7365">
        <v>56</v>
      </c>
      <c r="C7365" s="1">
        <f>hyperlink("https://hetutrechtsarchief.nl/collectie/7D94D20D4B0A57E185D0CBF6B3CCA674","Het vervaardigen van liturgische boeken voor het kapittel van Oudmunster in het laatst der 14e eeuw F Ketner 94-104 1945")</f>
        <v>0</v>
      </c>
      <c r="D7365" s="1">
        <f>hyperlink("http://www.historici.nl/retroboeken/bvgo/?source=07_01&amp;page_number=167","Een mechanische katoenspinnerij in Nederland in het laatst der 18e eeuw Z W Sneller 167 -188 1931")</f>
        <v>0</v>
      </c>
    </row>
    <row r="7366" spans="2:4">
      <c r="B7366">
        <v>60</v>
      </c>
      <c r="C7366" s="1">
        <f>hyperlink("https://hetutrechtsarchief.nl/collectie/40685ED1E7C75919859A368D1D9044A0","Willibrord K Heeringa 1 -22 1939")</f>
        <v>0</v>
      </c>
      <c r="D7366" s="1">
        <f>hyperlink("http://www.historici.nl/retroboeken/bvgo/?source=07_01&amp;page_number=34","Vianen K Heeringa 34-46 1931")</f>
        <v>0</v>
      </c>
    </row>
    <row r="7367" spans="2:4">
      <c r="B7367">
        <v>61</v>
      </c>
      <c r="C7367" s="1">
        <f>hyperlink("https://hetutrechtsarchief.nl/collectie/1FD2C0460FAB5AACBBECC7C319E402B7","De kapittelarchieven te Utrecht K Heeringa 37-54 1931")</f>
        <v>0</v>
      </c>
      <c r="D7367" s="1">
        <f>hyperlink("http://www.historici.nl/retroboeken/bvgo/?source=07_01&amp;page_number=46","Abcoude en Duurstede K Heeringa 46-54 1931")</f>
        <v>0</v>
      </c>
    </row>
    <row r="7368" spans="2:4">
      <c r="B7368">
        <v>65</v>
      </c>
      <c r="C7368" s="1">
        <f>hyperlink("https://hetutrechtsarchief.nl/collectie/C795311BD1E45AC4A8C8726B14BA76F0","Montfoort - K 34 1935")</f>
        <v>0</v>
      </c>
      <c r="D7368" s="1">
        <f>hyperlink("http://www.historici.nl/retroboeken/bvgo/?source=07_01&amp;page_number=54","Montfoort K Heeringa 54-62 1931")</f>
        <v>0</v>
      </c>
    </row>
    <row r="7369" spans="2:4">
      <c r="B7369">
        <v>59</v>
      </c>
      <c r="C7369" s="1">
        <f>hyperlink("https://hetutrechtsarchief.nl/collectie/B1CC2F8A33555083B2D115EA57FF367A","Twee vondsten van middeleeuws brons J G N Renaud 1-12 ill 1963")</f>
        <v>0</v>
      </c>
      <c r="D7369" s="1">
        <f>hyperlink("http://www.historici.nl/retroboeken/bvgo/?source=07_04&amp;page=158","De vondst van Dr Leo Delfos J A G C Tros e 151 -174 1934")</f>
        <v>0</v>
      </c>
    </row>
    <row r="7370" spans="2:4">
      <c r="B7370">
        <v>83</v>
      </c>
      <c r="C7370" s="1">
        <f>hyperlink("https://hetutrechtsarchief.nl/collectie/48B961688AFC5F4087481E4A61C0DA9F","Korte mededeelingen I nogmaals de oorkonde der Unie van Utrecht N Japikse 263 -264 1937")</f>
        <v>0</v>
      </c>
      <c r="D7370" s="1">
        <f>hyperlink("http://www.historici.nl/retroboeken/bvgo/?source=07_09&amp;page=270","Nogmaals de oorkonde der Unie van Utrecht N Japikse 263-264 1938")</f>
        <v>0</v>
      </c>
    </row>
    <row r="7371" spans="2:4">
      <c r="B7371">
        <v>97</v>
      </c>
      <c r="C7371" s="1">
        <f>hyperlink("https://hetutrechtsarchief.nl/collectie/3D5334FF45335BD580A461FD9E151479","Vijftiend eeuwsche kronieken H Bruch 223-243 1941")</f>
        <v>0</v>
      </c>
      <c r="D7371" s="1">
        <f>hyperlink("http://www.historici.nl/retroboeken/bvgo/?source=08_03&amp;page_number=223","Vijftiend eeuwsche kronieken H Bruch 223 -243 1942")</f>
        <v>0</v>
      </c>
    </row>
    <row r="7372" spans="2:4">
      <c r="B7372">
        <v>55</v>
      </c>
      <c r="C7372" s="1">
        <f>hyperlink("https://hetutrechtsarchief.nl/collectie/32FDCAF3A4165743867BF9CC56B59C9F","Repertorium op de lenen van het huis Nijeveld 1355-1650 J C Kort 84-102 1996")</f>
        <v>0</v>
      </c>
      <c r="D7372" s="1">
        <f>hyperlink("http://www.historici.nl/retroboeken/bvgo/?source=08_04&amp;page_number=62","De paleizen van de leden van het Huis van Oranje Nassau van 1813-1815 N M Japikse 62-85 1942")</f>
        <v>0</v>
      </c>
    </row>
    <row r="7373" spans="2:4">
      <c r="B7373">
        <v>55</v>
      </c>
      <c r="C7373" s="1">
        <f>hyperlink("https://hetutrechtsarchief.nl/collectie/C59EBA66F3C85455B1C617B5DAE5BB6C","Herinneringen van een brandweerman J C Janssen 12-14 ill 1964")</f>
        <v>0</v>
      </c>
      <c r="D7373" s="1">
        <f>hyperlink("http://www.historici.nl/retroboeken/bvgo/#source=01_02&amp;page=220&amp;accessor=toc","Oudheidkundige ontdekking op den Heimenberg bij Reenen L J F Janssen 215 -218 1839")</f>
        <v>0</v>
      </c>
    </row>
    <row r="7374" spans="2:4">
      <c r="B7374">
        <v>69</v>
      </c>
      <c r="C7374" s="1">
        <f>hyperlink("https://hetutrechtsarchief.nl/collectie/1EE8283BA079550083ACC5C13139C3D3","De intocht van Philips van Bourgondi bisschop van Utrecht A 1517 J W C van Campen 73-96 ill 1933")</f>
        <v>0</v>
      </c>
      <c r="D7374" s="1">
        <f>hyperlink("http://www.historici.nl/retroboeken/bvgo/#source=01_03&amp;page=80&amp;accessor=toc","Brief van Philips van Bourgondi bisschop van Utrecht G H M Delprat 73 -74 1842")</f>
        <v>0</v>
      </c>
    </row>
    <row r="7375" spans="2:4">
      <c r="B7375">
        <v>100</v>
      </c>
      <c r="C7375" s="1">
        <f>hyperlink("https://hetutrechtsarchief.nl/collectie/1B0721D9449C5283841DA6419EC9F777","De Post van den Neder-Rhyn W P Sautijn Kluit 293 -385 1880")</f>
        <v>0</v>
      </c>
      <c r="D7375" s="1">
        <f>hyperlink("http://www.historici.nl/retroboeken/bvgo/#source=02_10&amp;page=302&amp;accessor=toc","De post van den Neder-Rhyn W P Sautijn Kluit 293 -385 1880")</f>
        <v>0</v>
      </c>
    </row>
    <row r="7376" spans="2:4">
      <c r="B7376">
        <v>55</v>
      </c>
      <c r="C7376" s="1">
        <f>hyperlink("https://hetutrechtsarchief.nl/collectie/22B79D06B5B75ABA962ED5EFA16F76DA","Oudste bescheiden omtrent de kerk en de heeren van Ste Katrijne te Utrecht J H Hofman 155-157 1879")</f>
        <v>0</v>
      </c>
      <c r="D7376" s="1">
        <f>hyperlink("http://www.historici.nl/retroboeken/bvgo/#source=03_03&amp;page=140&amp;accessor=toc","Stichtingsoorkonde van den Huibert den watergang voor Everdingen en Zijderveld J H Hofman 133 -137 1886")</f>
        <v>0</v>
      </c>
    </row>
    <row r="7377" spans="2:4">
      <c r="B7377">
        <v>60</v>
      </c>
      <c r="C7377" s="1">
        <f>hyperlink("https://hetutrechtsarchief.nl/collectie/D08E8A92B5205E0ABE8B99CC1E4A7912","Heer Jan van Houten J H Hofman 174-179 1878")</f>
        <v>0</v>
      </c>
      <c r="D7377" s="1">
        <f>hyperlink("http://www.historici.nl/retroboeken/bvgo/#source=03_04&amp;page=101&amp;accessor=toc","De IJssel in den lande van IJsselstein J H Hofman 96 1888")</f>
        <v>0</v>
      </c>
    </row>
    <row r="7378" spans="2:4">
      <c r="B7378">
        <v>57</v>
      </c>
      <c r="C7378" s="1">
        <f>hyperlink("https://hetutrechtsarchief.nl/collectie/F72C576B2E2A5B0B9312A096F18F2252","Het Werk aan de Roode Haan Gerard Muller 12-15 2016")</f>
        <v>0</v>
      </c>
      <c r="D7378" s="1">
        <f>hyperlink("http://www.historici.nl/retroboeken/bvgo/#source=03_07&amp;page=194&amp;accessor=toc","Het einde onzer grootheid Gerard Slothouwer 182 -221 1893")</f>
        <v>0</v>
      </c>
    </row>
    <row r="7379" spans="2:4">
      <c r="B7379">
        <v>63</v>
      </c>
      <c r="C7379" s="1">
        <f>hyperlink("https://hetutrechtsarchief.nl/collectie/92618401CBB95C75B7AE7B38FBDCE4E5","De jaarstijl der bisschoppen van Utrecht - Joosting 20-22 1905")</f>
        <v>0</v>
      </c>
      <c r="D7379" s="1">
        <f>hyperlink("http://www.historici.nl/retroboeken/bvgo/#source=03_08&amp;page=324&amp;accessor=toc","De jaarstijl der Heeren van Montfoort R Fruin 319 -321 1894")</f>
        <v>0</v>
      </c>
    </row>
    <row r="7380" spans="2:4">
      <c r="B7380">
        <v>64</v>
      </c>
      <c r="C7380" s="1">
        <f>hyperlink("https://hetutrechtsarchief.nl/collectie/A2CD07A4CA3552779D8056EDC8F015A6","De maarschalken van het Sticht J H Hofman 24 -26 1905")</f>
        <v>0</v>
      </c>
      <c r="D7380" s="1">
        <f>hyperlink("http://www.historici.nl/retroboeken/bvgo/#source=03_09&amp;page=46&amp;accessor=toc","Nogmaals Michael van Isselt J H Hofman 41 -43 1896")</f>
        <v>0</v>
      </c>
    </row>
    <row r="7381" spans="2:4">
      <c r="B7381">
        <v>70</v>
      </c>
      <c r="C7381" s="1">
        <f>hyperlink("https://hetutrechtsarchief.nl/collectie/B9664767A5FB50C6922CD85F10EDE258","Antwoord aan Mr Muller van Dr I H Gosses met een naschrift van Mr Muller 58 -72 1912")</f>
        <v>0</v>
      </c>
      <c r="D7381" s="1">
        <f>hyperlink("http://www.historici.nl/retroboeken/bvgo/#source=04_10&amp;page=63","Antwoord aan Mr Muller I H Gosses 58 -72 1912")</f>
        <v>0</v>
      </c>
    </row>
    <row r="7382" spans="2:4">
      <c r="B7382">
        <v>52</v>
      </c>
      <c r="C7382" s="1">
        <f>hyperlink("https://hetutrechtsarchief.nl/collectie/7617897520E45B7CA05E87BBD80A62B9","Het Vredenburg van Catharijneveld tot huiskamer van de stad J E A L Struick 16 - 18 ill 1982")</f>
        <v>0</v>
      </c>
      <c r="D7382" s="1">
        <f>hyperlink("http://www.historici.nl/retroboeken/bvgo/#source=05_09&amp;page=166","Het vaderland van de notitia vel commemoratio de illa ewa quae se ad amorem habet R Fruin 161 -169 1922")</f>
        <v>0</v>
      </c>
    </row>
    <row r="7383" spans="2:4">
      <c r="B7383">
        <v>79</v>
      </c>
      <c r="C7383" s="1">
        <f>hyperlink("https://hetutrechtsarchief.nl/collectie/B07A97594F31556886A29874213F3038","Hoofdstukken uit de geschiedenis van het Nedersticht K Heeringa 15 -62 1931")</f>
        <v>0</v>
      </c>
      <c r="D7383" s="1">
        <f>hyperlink("http://www.historici.nl/retroboeken/bvgo/#source=06_09&amp;page=270&amp;accessor=toc;http://www.historici.nl/retroboeken/bvgo/#source=07_01&amp;page=21&amp;accessor=toc","Hoofdstukken uit de geschiedenis van het Nedersticht K Heeringa 263-308 7e reeks dl 1 1931 dl 1 p 15-62 1930-1931")</f>
        <v>0</v>
      </c>
    </row>
    <row r="7384" spans="2:4">
      <c r="B7384">
        <v>51</v>
      </c>
      <c r="C7384" s="1">
        <f>hyperlink("https://hetutrechtsarchief.nl/collectie/A2E8407EEC635FCC95EA88D9BCA44E7B","Lunetten 3 - 24 1983")</f>
        <v>0</v>
      </c>
      <c r="D7384" s="1">
        <f>hyperlink("http://www.historici.nl/retroboeken/bvgo/#source=07_03&amp;page=138","Nabalia H Hettema 131 -136 1933")</f>
        <v>0</v>
      </c>
    </row>
    <row r="7385" spans="2:4">
      <c r="B7385">
        <v>62</v>
      </c>
      <c r="C7385" s="1">
        <f>hyperlink("https://hetutrechtsarchief.nl/collectie/F121F14E69C259A4B3C86081E4CF4605","Nog iets over grenspalen - M R 38-39 1954")</f>
        <v>0</v>
      </c>
      <c r="D7385" s="1">
        <f>hyperlink("http://www.historici.nl/retroboeken/bvgo/#source=07_04&amp;page=236","Nog iets over de Drususgrachten H Hettema 229 -231 1934")</f>
        <v>0</v>
      </c>
    </row>
    <row r="7386" spans="2:4">
      <c r="B7386">
        <v>55</v>
      </c>
      <c r="C7386" s="1">
        <f>hyperlink("https://hetutrechtsarchief.nl/collectie/72C7E99229EF526DB4546CC076DC9217","De pest in Utrecht G T Haneveld 10-11 1994")</f>
        <v>0</v>
      </c>
      <c r="D7386" s="1">
        <f>hyperlink("http://www.historici.nl/retroboeken/bvgo/#source=07_04&amp;page=95","De Drususgracht H Hettema 89 -101 1934")</f>
        <v>0</v>
      </c>
    </row>
    <row r="7387" spans="2:4">
      <c r="B7387">
        <v>54</v>
      </c>
      <c r="C7387" s="1">
        <f>hyperlink("https://hetutrechtsarchief.nl/collectie/F0DF7D7BEC015FA0A934FFCA7ABD8C07","Het tehuis voor ouden van dagen De Oorsprong H C Smit 5 -10 1939")</f>
        <v>0</v>
      </c>
      <c r="D7387" s="1">
        <f>hyperlink("http://www.historici.nl/retroboeken/bvgo/#source=07_06&amp;page=160&amp;accessor=toc","Het meer het eiland en de rivier Flevo H Hettema 151 -173 1935")</f>
        <v>0</v>
      </c>
    </row>
    <row r="7388" spans="2:4">
      <c r="B7388">
        <v>62</v>
      </c>
      <c r="C7388" s="1">
        <f>hyperlink("https://hetutrechtsarchief.nl/collectie/3D41D01213035A03B48DCD3AE7EC01CA","De bouwgeschiedenis van het huis Drakenburg te Utrecht H van der Wal 71-79 ill 1975")</f>
        <v>0</v>
      </c>
      <c r="D7388" s="1">
        <f>hyperlink("http://www.historici.nl/retroboeken/dom/#page=0&amp;size=800&amp;accessor=toc&amp;source=1","Bronnen tot de bouwgeschiedenis van den Dom te Utrecht W J Tenhaeff N B Alberts 1946-1976")</f>
        <v>0</v>
      </c>
    </row>
    <row r="7389" spans="2:4">
      <c r="B7389">
        <v>59</v>
      </c>
      <c r="C7389" s="1">
        <f>hyperlink("https://hetutrechtsarchief.nl/collectie/37D3656CC2D750F5BCF762B7151E8A01","Statuten der broederen en zusteren van t gemeene leven in t Sticht J J Dodt v Fl 90 -98 1843")</f>
        <v>0</v>
      </c>
      <c r="D7389" s="1">
        <f>hyperlink("http://www.historici.nl/retroboeken/nhb/#source=3&amp;page=25&amp;accessor=toc;http://www.historici.nl/retroboeken/nhb/#source=12&amp;page=21&amp;accessor=toc","Studien over de broeders van het gemeene leven R R Post 304-355 jg 2 1939 nr 2 p 136-162 1938-1939")</f>
        <v>0</v>
      </c>
    </row>
    <row r="7390" spans="2:4">
      <c r="B7390">
        <v>61</v>
      </c>
      <c r="C7390" s="1">
        <f>hyperlink("https://hetutrechtsarchief.nl/collectie/61B664B7A3BC5F4B9187585D0B41C6F7","De onechtheid van bisschop Godebolds oorkonde van 1127 C D J Brandt 182-193 1933")</f>
        <v>0</v>
      </c>
      <c r="D7390" s="1">
        <f>hyperlink("http://www.historici.nl/retroboeken/nhb/#source=5&amp;page=9&amp;accessor=toc","Oorkonden van Utrechtse bisschoppen voor de kerk van Deventer C D J Brandt 1-6 1939")</f>
        <v>0</v>
      </c>
    </row>
    <row r="7391" spans="2:4">
      <c r="B7391">
        <v>52</v>
      </c>
      <c r="C7391" s="1">
        <f>hyperlink("https://hetutrechtsarchief.nl/collectie/993236400BC6565D8B1597999F4C2D54","Enige kanttekeningen bij de opgravingen in de Dom T J Hoekstra 5-24 ill 1986")</f>
        <v>0</v>
      </c>
      <c r="D7391" s="1">
        <f>hyperlink("http://www.historici.nl/retroboeken/nhb/#source=8&amp;page=9&amp;accessor=toc","S Willibrord in Noord en Zuid eenige kantteekeningen bij de jubileum-literatuur R R Post 1-14 1940")</f>
        <v>0</v>
      </c>
    </row>
    <row r="7392" spans="2:4">
      <c r="B7392">
        <v>54</v>
      </c>
      <c r="C7392" s="1">
        <f>hyperlink("https://hetutrechtsarchief.nl/collectie/7C2F543BA5B2501CE0534701000A2DB2","Christus en de Samaritaanse vrouw Annabel Dijkema 178-179 2018")</f>
        <v>0</v>
      </c>
      <c r="D7392" s="1">
        <f>hyperlink("http://www.historici.nl/retroboeken/tvg/?source=31&amp;page_number=129;http://www.historici.nl/retroboeken/tvg/?source=31&amp;page_number=193","Maurits en Oldenbarnevelt W Zuidema 129-148 193-207 1916")</f>
        <v>0</v>
      </c>
    </row>
    <row r="7393" spans="2:4">
      <c r="B7393">
        <v>60</v>
      </c>
      <c r="C7393" s="1">
        <f>hyperlink("https://hetutrechtsarchief.nl/collectie/AB98229F079B5AF5B5D865D863AF206A","Dom en Oudmunster te Utrecht N B Tenhaeff 333 -364 1915")</f>
        <v>0</v>
      </c>
      <c r="D7393" s="1">
        <f>hyperlink("http://www.historici.nl/retroboeken/tvg/?source=36&amp;page_number=328","De auteur van het Utrechtsche kroniekje 1481-1483 N B Tenhaeff 328-333 1921")</f>
        <v>0</v>
      </c>
    </row>
    <row r="7394" spans="2:4">
      <c r="B7394">
        <v>56</v>
      </c>
      <c r="C7394" s="1">
        <f>hyperlink("https://hetutrechtsarchief.nl/collectie/0CCFEF12A8665428A04FA9640CA337B4","Stichtse adel D Th Enklaar 53-59 1949")</f>
        <v>0</v>
      </c>
      <c r="D7394" s="1">
        <f>hyperlink("http://www.historici.nl/retroboeken/tvg/?source=48&amp;page_number=145;http://www.historici.nl/retroboeken/tvg/?source=48&amp;page_number=37","De Blauwe Schuit D Th Enklaar 37-64 145-161 1933")</f>
        <v>0</v>
      </c>
    </row>
    <row r="7395" spans="2:4">
      <c r="B7395">
        <v>100</v>
      </c>
      <c r="C7395" s="1">
        <f>hyperlink("https://hetutrechtsarchief.nl/collectie/C89F58A48A1554F294740067C174B7E4","Dr Letteplein genoemd naar wie Wim Krommenhoek 112-116 2009")</f>
        <v>0</v>
      </c>
      <c r="D7395" s="1">
        <f>hyperlink("http://www.historischekringdebilt.nl/dbg/archief/jaar-18-2009/dec-2009/Krommenhoek-2009.pdf","Dr Letteplein genoemd naar wie Wim Krommenhoek 112-116 2009")</f>
        <v>0</v>
      </c>
    </row>
    <row r="7396" spans="2:4">
      <c r="B7396">
        <v>100</v>
      </c>
      <c r="C7396" s="1">
        <f>hyperlink("https://hetutrechtsarchief.nl/collectie/DCBD0D1F3E5D5FDF9FA635CED6C09826","Beeld van het bestuur van De Bilt tussen 1825 en 1888 de overgangstijd van buitengewest naar echte gemeente Reinout C Vos 117-128 2009")</f>
        <v>0</v>
      </c>
      <c r="D7396" s="1">
        <f>hyperlink("http://www.historischekringdebilt.nl/dbg/archief/jaar-18-2009/dec-2009/Vos-2009.pdf","Beeld van het bestuur van De Bilt tussen 1825 en 1888 de overgangstijd van buitengewest naar echte gemeente Reinout C Vos 117-128 2009")</f>
        <v>0</v>
      </c>
    </row>
    <row r="7397" spans="2:4">
      <c r="B7397">
        <v>100</v>
      </c>
      <c r="C7397" s="1">
        <f>hyperlink("https://hetutrechtsarchief.nl/collectie/75E6D9E53BFD57E7B803B05015B77C2C","De Bilt in het nieuws een vliegtuigongeluk in 1915 Ellen Drees 34-42 2009")</f>
        <v>0</v>
      </c>
      <c r="D7397" s="1">
        <f>hyperlink("http://www.historischekringdebilt.nl/dbg/archief/jaar-18-2009/jun-2009/Drees-2009.pdf","De Bilt in het nieuws een vliegtuigongeluk in 1915 Ellen Drees 34-42 2009")</f>
        <v>0</v>
      </c>
    </row>
    <row r="7398" spans="2:4">
      <c r="B7398">
        <v>100</v>
      </c>
      <c r="C7398" s="1">
        <f>hyperlink("https://hetutrechtsarchief.nl/collectie/9D3374547C8A5287ABF061D5F5F48CCA","De Bilt beginpunt van de Stichtse Lustwarande Lies Haan-Beerends 44-58 2009")</f>
        <v>0</v>
      </c>
      <c r="D7398" s="1">
        <f>hyperlink("http://www.historischekringdebilt.nl/dbg/archief/jaar-18-2009/jun-2009/Haan-Beerends-2009.pdf","De Bilt beginpunt van de Stichtse Lustwarande Lies Haan-Beerends 44-58 2009")</f>
        <v>0</v>
      </c>
    </row>
    <row r="7399" spans="2:4">
      <c r="B7399">
        <v>100</v>
      </c>
      <c r="C7399" s="1">
        <f>hyperlink("https://hetutrechtsarchief.nl/collectie/30EC7CC8635F5654A659F027D5975872","Laurentius en het rooster Marga Verschoor 63-64 2009")</f>
        <v>0</v>
      </c>
      <c r="D7399" s="1">
        <f>hyperlink("http://www.historischekringdebilt.nl/dbg/archief/jaar-18-2009/jun-2009/Verschoor-2009.pdf","Laurentius en het rooster Marga Verschoor 63-64 2009")</f>
        <v>0</v>
      </c>
    </row>
    <row r="7400" spans="2:4">
      <c r="B7400">
        <v>87</v>
      </c>
      <c r="C7400" s="1">
        <f>hyperlink("https://hetutrechtsarchief.nl/collectie/11EB747F1EBC5FF49031DC8EE608386B","De geschiedenis van het sanatorium Berg en Bosch Herman uit de Bosch Willem van den Broeke en Hans de Groot 25-31 2009")</f>
        <v>0</v>
      </c>
      <c r="D7400" s="1">
        <f>hyperlink("http://www.historischekringdebilt.nl/dbg/archief/jaar-18-2009/mrt-2009/Bosch-en-Broeke-2009.pdf","De geschiedenis van het sanatorium Berg en Bosch Hans de Bosch Herman uit de Broeke Willem van den Groot 25-31 2009")</f>
        <v>0</v>
      </c>
    </row>
    <row r="7401" spans="2:4">
      <c r="B7401">
        <v>65</v>
      </c>
      <c r="C7401" s="1">
        <f>hyperlink("https://hetutrechtsarchief.nl/collectie/1EF984B06E785F40B1FA643AD2A9DD57","Hoe oud is Den Dolder Harm Sok 8-19 2005")</f>
        <v>0</v>
      </c>
      <c r="D7401" s="1">
        <f>hyperlink("http://www.historischekringdebilt.nl/dbg/archief/jaar-18-2009/mrt-2009/Herber-2009.pdf","Hoe oud is de Biltenaar Rob Herber 2-9 2009")</f>
        <v>0</v>
      </c>
    </row>
    <row r="7402" spans="2:4">
      <c r="B7402">
        <v>70</v>
      </c>
      <c r="C7402" s="1">
        <f>hyperlink("https://hetutrechtsarchief.nl/collectie/8176DE5B180153118747AB0644695CBD","Straten en straatnamen van weleer aflevering I Lies Haan-Berends 66-76 2009")</f>
        <v>0</v>
      </c>
      <c r="D7402" s="1">
        <f>hyperlink("http://www.historischekringdebilt.nl/dbg/archief/jaar-18-2009/sept-2009/Haan-Beerends2-2009.pdf;http://www.historischekringdebilt.nl/dbg/archief/jaar-18-2009/dec-2009/Haan-Beerends3-2009.pdf","Straten en straatnamen van weleer Lies Haan-Berends 66-76 nr 4 p 98-111 19 2010 nr 1 p 2-13 2009-2010")</f>
        <v>0</v>
      </c>
    </row>
    <row r="7403" spans="2:4">
      <c r="B7403">
        <v>85</v>
      </c>
      <c r="C7403" s="1">
        <f>hyperlink("https://hetutrechtsarchief.nl/collectie/0F2C5808BFAC561C87692B45075AC9B6","Herinneringen aan Vollenhoven Steven Hagers en Frieda Heijkoop 85-92 2009")</f>
        <v>0</v>
      </c>
      <c r="D7403" s="1">
        <f>hyperlink("http://www.historischekringdebilt.nl/dbg/archief/jaar-18-2009/sept-2009/Hagers-Heijkoop-2009.pdf","Herinneringen aan Vollenhoven Frieda Hagers Steven Heijkoop 85-92 2009")</f>
        <v>0</v>
      </c>
    </row>
    <row r="7404" spans="2:4">
      <c r="B7404">
        <v>100</v>
      </c>
      <c r="C7404" s="1">
        <f>hyperlink("https://hetutrechtsarchief.nl/collectie/85CCC24CB9BF5795B5D6FF0EAC6E2375","Cadfael en De Bilt Frieda Heijkoop 93-95 2009")</f>
        <v>0</v>
      </c>
      <c r="D7404" s="1">
        <f>hyperlink("http://www.historischekringdebilt.nl/dbg/archief/jaar-18-2009/sept-2009/Heijkoop2-2009.pdf","Cadfael en De Bilt Frieda Heijkoop 93-95 2009")</f>
        <v>0</v>
      </c>
    </row>
    <row r="7405" spans="2:4">
      <c r="B7405">
        <v>100</v>
      </c>
      <c r="C7405" s="1">
        <f>hyperlink("https://hetutrechtsarchief.nl/collectie/DD3019B4F85554D782CA09E4BFB88F49","1884-2009 125 jaar Zang Veredelt Jitte Roosendaal 77-84 2009")</f>
        <v>0</v>
      </c>
      <c r="D7405" s="1">
        <f>hyperlink("http://www.historischekringdebilt.nl/dbg/archief/jaar-18-2009/sept-2009/Roosendaal-2009.pdf","1884-2009 125 jaar Zang Veredelt Jitte Roosendaal 77-84 2009")</f>
        <v>0</v>
      </c>
    </row>
    <row r="7406" spans="2:4">
      <c r="B7406">
        <v>59</v>
      </c>
      <c r="C7406" s="1">
        <f>hyperlink("https://hetutrechtsarchief.nl/collectie/0CE95932767A5B6AA18F127A4714F265","Veearts in Wilnis Jan Rouwenhorst 89-90 2005")</f>
        <v>0</v>
      </c>
      <c r="D7406" s="1">
        <f>hyperlink("http://www.historischekringdebilt.nl/dbg/archief/jaar-2-%281993%29/dec-93/Lokhorst-1993.pdf","De veearts in de jaren twintig W Lokhorst 9-10 1993")</f>
        <v>0</v>
      </c>
    </row>
    <row r="7407" spans="2:4">
      <c r="B7407">
        <v>69</v>
      </c>
      <c r="C7407" s="1">
        <f>hyperlink("https://hetutrechtsarchief.nl/collectie/EFE13AF6BB215BDB8C7F79420ACB70C0","Oude ansichten II De Biltse Fanfare Jan van der Heijden 60 1999")</f>
        <v>0</v>
      </c>
      <c r="D7407" s="1">
        <f>hyperlink("http://www.historischekringdebilt.nl/dbg/archief/jaar-5-(1996)/dec-1996/Heijden3-1996.pdf;http://igitur-archive.library.uu.nl/sabine/2012-0423-202021/UUindex.html","Hoe oud is De Bilt Jan van der Heijden 2-5 1996")</f>
        <v>0</v>
      </c>
    </row>
    <row r="7408" spans="2:4">
      <c r="B7408">
        <v>62</v>
      </c>
      <c r="C7408" s="1">
        <f>hyperlink("https://hetutrechtsarchief.nl/collectie/535B6838660C5B63B233C323098D5D66","De bouwgeschiedenis van de St Janskerk te Utrecht tot 1700 G W C van Wezel 105-158 1979")</f>
        <v>0</v>
      </c>
      <c r="D7408" s="1">
        <f>hyperlink("http://www.historischekringdebilt.nl/dbg/archief/jaar-5-(1996)/dec-1996/Langerveld-1996.pdf;http://igitur-archive.library.uu.nl/sabine/2012-0423-202023/UUindex.html","De geschiedenis van het landgoed Het Klooster Tjitse Langerveld 10-18 1996")</f>
        <v>0</v>
      </c>
    </row>
    <row r="7409" spans="2:4">
      <c r="B7409">
        <v>60</v>
      </c>
      <c r="C7409" s="1">
        <f>hyperlink("https://hetutrechtsarchief.nl/collectie/F5F848B937A951AAAF9AE8043617AD49","Buys Ballot bezongen Co Winnips 19 1998")</f>
        <v>0</v>
      </c>
      <c r="D7409" s="1">
        <f>hyperlink("http://www.historischekringdebilt.nl/dbg/archief/jaar-5-(1996)/dec-1996/Winnips-1996.pdf;http://igitur-archive.library.uu.nl/sabine/2012-0423-202025/UUindex.html","Toen de Biltse bal nog niet rond was Co Winnips 19-20 1996")</f>
        <v>0</v>
      </c>
    </row>
    <row r="7410" spans="2:4">
      <c r="B7410">
        <v>51</v>
      </c>
      <c r="C7410" s="1">
        <f>hyperlink("https://hetutrechtsarchief.nl/collectie/628F069A3AF15E6889AEAB6906C17DD3","Brouwerijen langs de Oude Gracht in Utrecht brouwerij de Seven Toornen A J van den Elst 3-4 1996")</f>
        <v>0</v>
      </c>
      <c r="D7410" s="1">
        <f>hyperlink("http://www.historischekringdebilt.nl/dbg/archief/jaar-5-(1996)/maart-1996/Christemeijer-1996.pdf;http://igitur-archive.library.uu.nl/sabine/2012-0423-202113/UUindex.html","Wandelingen langs de Soestdijkse- en Utrechtseweg in de vorige eeuw J B Christemeijer met een toelichting van Lo Schneider Lo Christemeijer J B Schneider 10-14 1996")</f>
        <v>0</v>
      </c>
    </row>
    <row r="7411" spans="2:4">
      <c r="B7411">
        <v>60</v>
      </c>
      <c r="C7411" s="1">
        <f>hyperlink("https://hetutrechtsarchief.nl/collectie/5E808B51271B5FE0A9421A5A20BE2C60","De kunst van het overleven 1 Ellen Drees 15-19 2002")</f>
        <v>0</v>
      </c>
      <c r="D7411" s="1">
        <f>hyperlink("http://www.historischekringdebilt.nl/dbg/archief/jaar-5-(1996)/maart-1996/Drees%20%20(1996).pdf;http://igitur-archive.library.uu.nl/sabine/2012-0423-201953/UUindex.html","Boerderij Bureveld 3 Ellen Drees 15-19 1996")</f>
        <v>0</v>
      </c>
    </row>
    <row r="7412" spans="2:4">
      <c r="B7412">
        <v>58</v>
      </c>
      <c r="C7412" s="1">
        <f>hyperlink("https://hetutrechtsarchief.nl/collectie/57318A30C63A557B9C7578AFE9A264DE","Een gemeentelijke herindeling die niet doorging Lies Haan-Beerends 2-9 2001")</f>
        <v>0</v>
      </c>
      <c r="D7412" s="1">
        <f>hyperlink("http://www.historischekringdebilt.nl/dbg/archief/jaar-5-(1996)/maart-1996/Haan-Berends-1996.pdf;http://igitur-archive.library.uu.nl/sabine/2012-0423-202004/UUindex.html","Over brand op Beerschoten en hoe geld en goud in rook opgingen Lies Haan-Beerends 6-10 1996")</f>
        <v>0</v>
      </c>
    </row>
    <row r="7413" spans="2:4">
      <c r="B7413">
        <v>62</v>
      </c>
      <c r="C7413" s="1">
        <f>hyperlink("https://hetutrechtsarchief.nl/collectie/83A33ADB023C54498744F6EECECBF71A","De schoorsteen toppunt van industrieel erfgoed Arjan Barnard 8-11 ill 1996")</f>
        <v>0</v>
      </c>
      <c r="D7413" s="1">
        <f>hyperlink("http://www.historischekringdebilt.nl/dbg/archief/jaar-5-(1996)/maart-1996/Nas-1996.pdf;http://igitur-archive.library.uu.nl/sabine/2012-0423-202002/UUindex.html","1996 Jaar van het industrieel erfgoed Frans Nas 2-6 1996")</f>
        <v>0</v>
      </c>
    </row>
    <row r="7414" spans="2:4">
      <c r="B7414">
        <v>62</v>
      </c>
      <c r="C7414" s="1">
        <f>hyperlink("https://hetutrechtsarchief.nl/collectie/FD658ACAB0CD5EC3984BC274BF8F2DA9","De geschiedenis van Tromplaan 1 te Baarn Fred A Wijsmuller 92-95 2016")</f>
        <v>0</v>
      </c>
      <c r="D7414" s="1">
        <f>hyperlink("http://www.historischekringdebilt.nl/dbg/archief/jaar-5-(1996)/mei-1996/Drees1-1996.pdf;http://igitur-archive.library.uu.nl/sabine/2012-0423-202011/UUindex.html","De geschiedenis van de Werkplaats in beeld Anneke Drees Ellen Heertum 12-15 1996")</f>
        <v>0</v>
      </c>
    </row>
    <row r="7415" spans="2:4">
      <c r="B7415">
        <v>56</v>
      </c>
      <c r="C7415" s="1">
        <f>hyperlink("https://hetutrechtsarchief.nl/collectie/A216AF3C83325E4D82B001467E63434D","Onbekende buitenplaats te Loenersloot J Belonje 61-62 1971")</f>
        <v>0</v>
      </c>
      <c r="D7415" s="1">
        <f>hyperlink("http://www.historischekringdebilt.nl/dbg/archief/jaar-5-(1996)/mei-1996/Drees2-1996.pdf;http://igitur-archive.library.uu.nl/sabine/2012-0423-201958/UUindex.html","Van Bezembinder tot Werkplaats Ellen Drees 16-24 1996")</f>
        <v>0</v>
      </c>
    </row>
    <row r="7416" spans="2:4">
      <c r="B7416">
        <v>58</v>
      </c>
      <c r="C7416" s="1">
        <f>hyperlink("https://hetutrechtsarchief.nl/collectie/EFE13AF6BB215BDB8C7F79420ACB70C0","Oude ansichten II De Biltse Fanfare Jan van der Heijden 60 1999")</f>
        <v>0</v>
      </c>
      <c r="D7416" s="1">
        <f>hyperlink("http://www.historischekringdebilt.nl/dbg/archief/jaar-5-(1996)/mei-1996/Heertum1-1996.pdf;http://igitur-archive.library.uu.nl/sabine/2012-0423-202007/UUindex.html","Oudersamenkomsten op de Werkplaats Anneke van Heertum 6-8 1996")</f>
        <v>0</v>
      </c>
    </row>
    <row r="7417" spans="2:4">
      <c r="B7417">
        <v>56</v>
      </c>
      <c r="C7417" s="1">
        <f>hyperlink("https://hetutrechtsarchief.nl/collectie/EFDF0712BDEF56D29513EF794EA3E7E9","Donkere wolken boven drie voormalige buitenplaatsen Hans Sagel 44-46 2010")</f>
        <v>0</v>
      </c>
      <c r="D7417" s="1">
        <f>hyperlink("http://www.historischekringdebilt.nl/dbg/archief/jaar-5-(1996)/mei-1996/Heertum2-1996.pdf;http://igitur-archive.library.uu.nl/sabine/2012-0423-202009/UUindex.html","Donkere wolken ook over de Werkplaats Anneke van Heertum 9-11 1996")</f>
        <v>0</v>
      </c>
    </row>
    <row r="7418" spans="2:4">
      <c r="B7418">
        <v>53</v>
      </c>
      <c r="C7418" s="1">
        <f>hyperlink("https://hetutrechtsarchief.nl/collectie/B487D1D9980B5C71B941E41B47666598","Lambert Voortman de eerste chef tuin en parken 2 een serie onbekende verhalen over De Haar Diny van der Leest 70-75 2007")</f>
        <v>0</v>
      </c>
      <c r="D7418" s="1">
        <f>hyperlink("http://www.historischekringdebilt.nl/dbg/archief/jaar-5-(1996)/mei-1996/Heijden-1996.pdf;http://igitur-archive.library.uu.nl/sabine/2012-0423-202005/UUindex.html","Kees Boeke en de Werkplaats Wij gaan een schooltje beginnen en ik heb al een schrift en penhouder Ellen Heijden Jan van der Drees 3-5 1996")</f>
        <v>0</v>
      </c>
    </row>
    <row r="7419" spans="2:4">
      <c r="B7419">
        <v>53</v>
      </c>
      <c r="C7419" s="1">
        <f>hyperlink("https://hetutrechtsarchief.nl/collectie/62970F4EDA3C5AF481B7D9CDC347B5DF","Ritter spreekt Schrijversfoto 6 Niels Bokhove 24-25 2015")</f>
        <v>0</v>
      </c>
      <c r="D7419" s="1">
        <f>hyperlink("http://www.historischekringdebilt.nl/dbg/archief/jaar-5-(1996)/sept-1996/Broekhoven-1996.pdf;http://igitur-archive.library.uu.nl/sabine/2012-0423-202013/UUindex.html","Ru neuze schijnkapel herrijst S Th Broekhoven 2-6 1996")</f>
        <v>0</v>
      </c>
    </row>
    <row r="7420" spans="2:4">
      <c r="B7420">
        <v>57</v>
      </c>
      <c r="C7420" s="1">
        <f>hyperlink("https://hetutrechtsarchief.nl/collectie/93DEC9C15699570FB5E2EB1860C639B3","Heimwee naar een vertrouwd hoekje Hans de Groot 12-17 2001")</f>
        <v>0</v>
      </c>
      <c r="D7420" s="1">
        <f>hyperlink("http://www.historischekringdebilt.nl/dbg/archief/jaar-5-(1996)/sept-1996/Groot-1996.pdf;http://igitur-archive.library.uu.nl/sabine/2012-0423-202018/UUindex.html","St Theresia van Lisieux-school Hans de Groot 11-16 1996")</f>
        <v>0</v>
      </c>
    </row>
    <row r="7421" spans="2:4">
      <c r="B7421">
        <v>57</v>
      </c>
      <c r="C7421" s="1">
        <f>hyperlink("https://hetutrechtsarchief.nl/collectie/D89B71D7098E3E1CE0538F04000A8CF0","Maarssen op de kaart Hans van Bemmel Arjan van Weele 7-15 2022")</f>
        <v>0</v>
      </c>
      <c r="D7421" s="1">
        <f>hyperlink("http://www.historischekringdebilt.nl/dbg/archief/jaar-5-(1996)/sept-1996/Heijden2-1996.pdf;http://igitur-archive.library.uu.nl/sabine/2012-0423-202020/UUindex.html","Allemaal familie de monnik Johannes van Boetzelaer Jan van der Heijden 17-18 1996")</f>
        <v>0</v>
      </c>
    </row>
    <row r="7422" spans="2:4">
      <c r="B7422">
        <v>51</v>
      </c>
      <c r="C7422" s="1">
        <f>hyperlink("https://hetutrechtsarchief.nl/collectie/20112102693254A4A7D266FD9478A25F","Glastuinbouw weg uit Vleuten-De Meern waar blijft inventarisatie monumentale kassen - J v E 3 1998")</f>
        <v>0</v>
      </c>
      <c r="D7422" s="1">
        <f>hyperlink("http://www.historischekringdebilt.nl/dbg/archief/jaar-5-(1996)/sept-1996/Schneider-1996.pdf; http://www.historischekringdebilt.nl/dbg/archief/jaar-5-(1996)/dec-1996/Schneider2-1996.pdf; http://www.historischekringdebilt.nl/dbg/archief/jaar-6-1997/maart-1997/Schneider-1997.pdf;http://igitur-archive.library.uu.nl/sabine/2012-0423-202014/UUindex.html","Begraafplaatsen in De Bilt en Bilthoven Lo Werkgroep Inventarisatie Grafmonumenten Schneider 7-11 nr 4 p 5-10 jg 6 1997 nr 1 p 8-14 1996-1997")</f>
        <v>0</v>
      </c>
    </row>
    <row r="7423" spans="2:4">
      <c r="B7423">
        <v>59</v>
      </c>
      <c r="C7423" s="1">
        <f>hyperlink("https://hetutrechtsarchief.nl/collectie/A23B7DF79AC45430B3B9485D61B3A96B","De bevolkingsregisters van De Bilt Ellen Drees 66-69 2014")</f>
        <v>0</v>
      </c>
      <c r="D7423" s="1">
        <f>hyperlink("http://www.historischekringdebilt.nl/dbg/archief/jaar-6-1997/dec-1997/Drees2-1997.pdf;http://igitur-archive.library.uu.nl/sabine/2012-0423-202048/UUindex.html","Storm over De Bilt Ellen Drees 18 1997")</f>
        <v>0</v>
      </c>
    </row>
    <row r="7424" spans="2:4">
      <c r="B7424">
        <v>54</v>
      </c>
      <c r="C7424" s="1">
        <f>hyperlink("https://hetutrechtsarchief.nl/collectie/EFC3E24C3C7A5D11B976183F5C86D568","Gesprek met mevrouw Lien Vos-van Gortel oud-burgemeester van Utrecht Angelique Hajenius en Yvonne Jansen-Linse 212-215")</f>
        <v>0</v>
      </c>
      <c r="D7424" s="1">
        <f>hyperlink("http://www.historischekringdebilt.nl/dbg/archief/jaar-6-1997/dec-1997/Hajenius-1997.pdf;http://igitur-archive.library.uu.nl/sabine/2012-0423-202041/UUindex.html","Ruzie in het Vrouwenklooster de dood van rentmeester Adam Tempelaer Angelique Hajenius 2-3 1997")</f>
        <v>0</v>
      </c>
    </row>
    <row r="7425" spans="2:4">
      <c r="B7425">
        <v>61</v>
      </c>
      <c r="C7425" s="1">
        <f>hyperlink("https://hetutrechtsarchief.nl/collectie/C2CB54D5D85E5BE09981B703E9FDEF09","Dineren op Groeneveld Janny van der Heijden 127-130 2012")</f>
        <v>0</v>
      </c>
      <c r="D7425" s="1">
        <f>hyperlink("http://www.historischekringdebilt.nl/dbg/archief/jaar-6-1997/dec-1997/Heijden2-1997.pdf;http://igitur-archive.library.uu.nl/sabine/2012-0423-201954/UUindex.html","Jachtlust aanbevolen voor zenuwlijders Jan van der Heijden 11-13 1997")</f>
        <v>0</v>
      </c>
    </row>
    <row r="7426" spans="2:4">
      <c r="B7426">
        <v>69</v>
      </c>
      <c r="C7426" s="1">
        <f>hyperlink("https://hetutrechtsarchief.nl/collectie/EFE13AF6BB215BDB8C7F79420ACB70C0","Oude ansichten II De Biltse Fanfare Jan van der Heijden 60 1999")</f>
        <v>0</v>
      </c>
      <c r="D7426" s="1">
        <f>hyperlink("http://www.historischekringdebilt.nl/dbg/archief/jaar-6-1997/dec-1997/Heijden3-1997.pdf;http://igitur-archive.library.uu.nl/sabine/2012-0423-202045/UUindex.html","De Biltse paardenmarkt Jan van der Heijden 15-16 1997")</f>
        <v>0</v>
      </c>
    </row>
    <row r="7427" spans="2:4">
      <c r="B7427">
        <v>59</v>
      </c>
      <c r="C7427" s="1">
        <f>hyperlink("https://hetutrechtsarchief.nl/collectie/5BF9C364CD7B5244BA502D53A09B5E2E","De Dorpsstraat en het verkeer in de vorige eeuw Tjitse Langerveld 34-40 2017")</f>
        <v>0</v>
      </c>
      <c r="D7427" s="1">
        <f>hyperlink("http://www.historischekringdebilt.nl/dbg/archief/jaar-6-1997/dec-1997/Langerveld-1997.pdf;http://igitur-archive.library.uu.nl/sabine/2012-0423-202043/UUindex.html","Honderd jaar geleden oprichting van de Volksbibliotheek Tjitse Langerveld 4-7 1997")</f>
        <v>0</v>
      </c>
    </row>
    <row r="7428" spans="2:4">
      <c r="B7428">
        <v>61</v>
      </c>
      <c r="C7428" s="1">
        <f>hyperlink("https://hetutrechtsarchief.nl/collectie/D7E6F74DA218557EB267076016594884","Een aanbesteding in vroeger jaren 19-20 1998")</f>
        <v>0</v>
      </c>
      <c r="D7428" s="1">
        <f>hyperlink("http://www.historischekringdebilt.nl/dbg/archief/jaar-6-1997/dec-1997/Voet%20van%20Winsen-1997.pdf;http://igitur-archive.library.uu.nl/sabine/2012-0423-202050/UUindex.html","Aanbrengpremies in vroeger jaren G Voet van Winsen 19 1997")</f>
        <v>0</v>
      </c>
    </row>
    <row r="7429" spans="2:4">
      <c r="B7429">
        <v>61</v>
      </c>
      <c r="C7429" s="1">
        <f>hyperlink("https://hetutrechtsarchief.nl/collectie/F5F848B937A951AAAF9AE8043617AD49","Buys Ballot bezongen Co Winnips 19 1998")</f>
        <v>0</v>
      </c>
      <c r="D7429" s="1">
        <f>hyperlink("http://www.historischekringdebilt.nl/dbg/archief/jaar-6-1997/dec-1997/Winnips-1997.pdf;http://igitur-archive.library.uu.nl/sabine/2012-0423-202047/UUindex.html","Was er echt een Biltse beer Co Winnips 17 1997")</f>
        <v>0</v>
      </c>
    </row>
    <row r="7430" spans="2:4">
      <c r="B7430">
        <v>66</v>
      </c>
      <c r="C7430" s="1">
        <f>hyperlink("https://hetutrechtsarchief.nl/collectie/26714B7F22655F6C9063AA70824D9FCA","Afscheid van de Domstad A Herstel 16 1987")</f>
        <v>0</v>
      </c>
      <c r="D7430" s="1">
        <f>hyperlink("http://www.historischekringdebilt.nl/dbg/archief/jaar-6-1997/juni-1997/Groot-1997.pdf;http://igitur-archive.library.uu.nl/sabine/2012-0423-202111/UUindex.html","Afscheid van Phaedo Hans de Groot 17-18 1997")</f>
        <v>0</v>
      </c>
    </row>
    <row r="7431" spans="2:4">
      <c r="B7431">
        <v>62</v>
      </c>
      <c r="C7431" s="1">
        <f>hyperlink("https://hetutrechtsarchief.nl/collectie/9946F46E575253988AD12D28D4527099","De Leyen deel 7 Lies Haan-Beerends 120-128 2007")</f>
        <v>0</v>
      </c>
      <c r="D7431" s="1">
        <f>hyperlink("http://www.historischekringdebilt.nl/dbg/archief/jaar-6-1997/juni-1997/Haan-1997.pdf;http://igitur-archive.library.uu.nl/sabine/2012-0423-202034/UUindex.html","Natte voeten ook in De Bilt 1747 E M Haan-Beerends 9-12 1997")</f>
        <v>0</v>
      </c>
    </row>
    <row r="7432" spans="2:4">
      <c r="B7432">
        <v>74</v>
      </c>
      <c r="C7432" s="1">
        <f>hyperlink("https://hetutrechtsarchief.nl/collectie/0ED5F556B61D5E188027337CB261A117","Zorgvliet een renteniershuis aan de Dorpsstraat Jan van der Heijden 7-11 ill 1998")</f>
        <v>0</v>
      </c>
      <c r="D7432" s="1">
        <f>hyperlink("http://www.historischekringdebilt.nl/dbg/archief/jaar-6-1997/juni-1997/Heijden-1997.pdf;http://igitur-archive.library.uu.nl/sabine/2012-0423-202032/UUindex.html","Terre Neuve aan de Dorpsstraat Jan van der Heijden 2-9 1997")</f>
        <v>0</v>
      </c>
    </row>
    <row r="7433" spans="2:4">
      <c r="B7433">
        <v>69</v>
      </c>
      <c r="C7433" s="1">
        <f>hyperlink("https://hetutrechtsarchief.nl/collectie/98D094C5E0F4571BA44896D8E753467B","Bedrijven in De Bilt IIIa Inventum negentig jaar oud Frans Nas 7-13 ill 1999")</f>
        <v>0</v>
      </c>
      <c r="D7433" s="1">
        <f>hyperlink("http://www.historischekringdebilt.nl/dbg/archief/jaar-6-1997/juni-1997/Nas-1997.pdf;http://igitur-archive.library.uu.nl/sabine/2012-0423-202036/UUindex.html","Bedrijven in De Bilt I firma Meijer Greeven Frans Nas 12-16 1997")</f>
        <v>0</v>
      </c>
    </row>
    <row r="7434" spans="2:4">
      <c r="B7434">
        <v>58</v>
      </c>
      <c r="C7434" s="1">
        <f>hyperlink("https://hetutrechtsarchief.nl/collectie/5BF9C364CD7B5244BA502D53A09B5E2E","De Dorpsstraat en het verkeer in de vorige eeuw Tjitse Langerveld 34-40 2017")</f>
        <v>0</v>
      </c>
      <c r="D7434" s="1">
        <f>hyperlink("http://www.historischekringdebilt.nl/dbg/archief/jaar-6-1997/maart-1997/Langerveld-1997.pdf;http://igitur-archive.library.uu.nl/sabine/2012-0423-202027/UUindex.html","Het KNMI 100 jaar in De Bilt Tjitse Langerveld 2-8 1997")</f>
        <v>0</v>
      </c>
    </row>
    <row r="7435" spans="2:4">
      <c r="B7435">
        <v>55</v>
      </c>
      <c r="C7435" s="1">
        <f>hyperlink("https://hetutrechtsarchief.nl/collectie/5BF9C364CD7B5244BA502D53A09B5E2E","De Dorpsstraat en het verkeer in de vorige eeuw Tjitse Langerveld 34-40 2017")</f>
        <v>0</v>
      </c>
      <c r="D7435" s="1">
        <f>hyperlink("http://www.historischekringdebilt.nl/dbg/archief/jaar-6-1997/maart-1997/Langerveld2-1997.pdf;http://igitur-archive.library.uu.nl/sabine/2012-0423-202030/UUindex.html","De eerste luchtvaartmaatschappij begon in 1919 in Bilthoven Tjitse Langerveld 19-20 1997")</f>
        <v>0</v>
      </c>
    </row>
    <row r="7436" spans="2:4">
      <c r="B7436">
        <v>65</v>
      </c>
      <c r="C7436" s="1">
        <f>hyperlink("https://hetutrechtsarchief.nl/collectie/8789FC3D22EE58518194D2E0D4D57C2C","Herinneringen van een verkeersagent Het waren er zes 2 1984")</f>
        <v>0</v>
      </c>
      <c r="D7436" s="1">
        <f>hyperlink("http://www.historischekringdebilt.nl/dbg/archief/jaar-6-1997/maart-1997/Storm-1997.pdf;http://igitur-archive.library.uu.nl/sabine/2012-0423-202029/UUindex.html","Herinneringen van een oud-werker Bart Storm 15-18 1997")</f>
        <v>0</v>
      </c>
    </row>
    <row r="7437" spans="2:4">
      <c r="B7437">
        <v>61</v>
      </c>
      <c r="C7437" s="1">
        <f>hyperlink("https://hetutrechtsarchief.nl/collectie/39E32BA7567B5D95A403D854C14D7114","Het Biltse Grift-terrein Willem Luyten 4 -5 ill 1985")</f>
        <v>0</v>
      </c>
      <c r="D7437" s="1">
        <f>hyperlink("http://www.historischekringdebilt.nl/dbg/archief/jaar-6-1997/sept-1997/Drees-1997.pdf;http://igitur-archive.library.uu.nl/sabine/2012-0423-201956/UUindex.html","De Biltse Grift Ellen Drees 2-5 1997")</f>
        <v>0</v>
      </c>
    </row>
    <row r="7438" spans="2:4">
      <c r="B7438">
        <v>63</v>
      </c>
      <c r="C7438" s="1">
        <f>hyperlink("https://hetutrechtsarchief.nl/collectie/AEDF42AEA0D352288F24BAE5E3992AE7","Het dagelijks leven in de Biltse Grift 1 en 6 1984")</f>
        <v>0</v>
      </c>
      <c r="D7438" s="1">
        <f>hyperlink("http://www.historischekringdebilt.nl/dbg/archief/jaar-6-1997/sept-1997/Groot3-1997.pdf;http://igitur-archive.library.uu.nl/sabine/2012-0423-202038/UUindex.html","De barensweee n van De Biltse Grift Hans de Groot 6-8 1997")</f>
        <v>0</v>
      </c>
    </row>
    <row r="7439" spans="2:4">
      <c r="B7439">
        <v>67</v>
      </c>
      <c r="C7439" s="1">
        <f>hyperlink("https://hetutrechtsarchief.nl/collectie/7CA88529B2B227F3E0534701000A9B73","De Maatschappij van Weldadigheid en De Bilt Lies Haan-Beerends 98-107 2018")</f>
        <v>0</v>
      </c>
      <c r="D7439" s="1">
        <f>hyperlink("http://www.historischekringdebilt.nl/dbg/archief/jaar-6-1997/sept-1997/Haan2-1997.pdf;http://igitur-archive.library.uu.nl/sabine/2012-0423-202000/UUindex.html","Schippers in De Bilt Lies Haan-Beerends 9-15 1997")</f>
        <v>0</v>
      </c>
    </row>
    <row r="7440" spans="2:4">
      <c r="B7440">
        <v>71</v>
      </c>
      <c r="C7440" s="1">
        <f>hyperlink("https://hetutrechtsarchief.nl/collectie/C9EDEEB2992E5E5FB817AFE1DFF20804","Bedrijven in De Bilt IIIb Inventum 90 jaar oud nas Frans Nas 47-52 1999")</f>
        <v>0</v>
      </c>
      <c r="D7440" s="1">
        <f>hyperlink("http://www.historischekringdebilt.nl/dbg/archief/jaar-6-1997/sept-1997/Nas2-1997.pdf;http://igitur-archive.library.uu.nl/sabine/2012-0423-202039/UUindex.html","Bedrijven in De Bilt II de vingerhoedsmolen Frans Nas 16-20 1997")</f>
        <v>0</v>
      </c>
    </row>
    <row r="7441" spans="2:4">
      <c r="B7441">
        <v>65</v>
      </c>
      <c r="C7441" s="1">
        <f>hyperlink("https://hetutrechtsarchief.nl/collectie/A6C8CD42455957B8BDE9E7D53C93CF64","Een grondoverdracht in vroeger jaren transcr Jan van der Heijden 20 1998")</f>
        <v>0</v>
      </c>
      <c r="D7441" s="1">
        <f>hyperlink("http://www.historischekringdebilt.nl/dbg/archief/jaar-7-1998/dec-1998/Barendsen-1998.pdf;http://igitur-archive.library.uu.nl/sabine/2012-0423-202054/UUindex.html","Gelegenheden tot overnachten in vroeger jaren Ard Barendsen 18-19 1998")</f>
        <v>0</v>
      </c>
    </row>
    <row r="7442" spans="2:4">
      <c r="B7442">
        <v>90</v>
      </c>
      <c r="C7442" s="1">
        <f>hyperlink("https://hetutrechtsarchief.nl/collectie/BBA71B63AF6557E5BFB65897C44B4728","Het huis dat Meijenhagen genoemd werd J W H Meijer 2-8 ill plgr tek 1998")</f>
        <v>0</v>
      </c>
      <c r="D7442" s="1">
        <f>hyperlink("http://www.historischekringdebilt.nl/dbg/archief/jaar-7-1998/dec-1998/Meijer-1998.pdf;http://igitur-archive.library.uu.nl/sabine/2012-0423-201040/UUindex.html","Het huis dat Meijenhagen genoemd werd J W H Meijer 2-8 1998")</f>
        <v>0</v>
      </c>
    </row>
    <row r="7443" spans="2:4">
      <c r="B7443">
        <v>97</v>
      </c>
      <c r="C7443" s="1">
        <f>hyperlink("https://hetutrechtsarchief.nl/collectie/B4CE2F0C7F075F64822ECFA09AFB9BBC","Sanderus predikant in De Bilt en Utrecht Co Winnips 9-12 ill 1998")</f>
        <v>0</v>
      </c>
      <c r="D7443" s="1">
        <f>hyperlink("http://www.historischekringdebilt.nl/dbg/archief/jaar-7-1998/dec-1998/Winnips3-1998.pdf;http://igitur-archive.library.uu.nl/sabine/2012-0423-201041/UUindex.html","Sanderus predikant in De Bilt en Utrecht Co Winnips 9-12 1998")</f>
        <v>0</v>
      </c>
    </row>
    <row r="7444" spans="2:4">
      <c r="B7444">
        <v>62</v>
      </c>
      <c r="C7444" s="1">
        <f>hyperlink("https://hetutrechtsarchief.nl/collectie/17E9DBDE132E5CCD976D618B118975ED","De Bilt gem Maartensdijk Kees Floor 54-60 2017")</f>
        <v>0</v>
      </c>
      <c r="D7444" s="1">
        <f>hyperlink("http://www.historischekringdebilt.nl/dbg/archief/jaar-7-1998/juni-1998/Floor-1998.pdf;http://igitur-archive.library.uu.nl/sabine/2012-0423-202052/UUindex.html","De Biltse Grift eens wereldwijd bekend Kees Floor 18 1998")</f>
        <v>0</v>
      </c>
    </row>
    <row r="7445" spans="2:4">
      <c r="B7445">
        <v>83</v>
      </c>
      <c r="C7445" s="1">
        <f>hyperlink("https://hetutrechtsarchief.nl/collectie/A6C8CD42455957B8BDE9E7D53C93CF64","Een grondoverdracht in vroeger jaren transcr Jan van der Heijden 20 1998")</f>
        <v>0</v>
      </c>
      <c r="D7445" s="1">
        <f>hyperlink("http://www.historischekringdebilt.nl/dbg/archief/jaar-7-1998/juni-1998/Graaf-1998.pdf;http://igitur-archive.library.uu.nl/sabine/2012-0423-201054/UUindex.html","Een grondoverdracht in vroeger jaren A Heijden Jan van der Prangsma 20 1998")</f>
        <v>0</v>
      </c>
    </row>
    <row r="7446" spans="2:4">
      <c r="B7446">
        <v>96</v>
      </c>
      <c r="C7446" s="1">
        <f>hyperlink("https://hetutrechtsarchief.nl/collectie/1B9ABC7279A2546BA8D82E7A9838DB45","1898 het gedenken waard Lies Haan-Beerends 2-5 ill 1998")</f>
        <v>0</v>
      </c>
      <c r="D7446" s="1">
        <f>hyperlink("http://www.historischekringdebilt.nl/dbg/archief/jaar-7-1998/juni-1998/Haan2-1998.pdf;http://igitur-archive.library.uu.nl/sabine/2012-0423-201051/UUindex.html","1898 het gedenken waard Lies Haan-Beerends 2-5 1998")</f>
        <v>0</v>
      </c>
    </row>
    <row r="7447" spans="2:4">
      <c r="B7447">
        <v>56</v>
      </c>
      <c r="C7447" s="1">
        <f>hyperlink("https://hetutrechtsarchief.nl/collectie/CE928F75AB7850FBB4066315E8D6CE38","Biltse straten en wegen lanen en stegen I Lies Haan-Beerends 10-13 ill krt 1998")</f>
        <v>0</v>
      </c>
      <c r="D7447" s="1">
        <f>hyperlink("http://www.historischekringdebilt.nl/dbg/archief/jaar-7-1998/juni-1998/Haan3-1998.pdf /
http://www.historischekringdebilt.nl/dbg/archief/jaar-8-1999/maart-1999/Haan-1999.pdf /
http://www.historischekringdebilt.nl/dbg/archief/jaar-9-2000/juni-2000/Haan2-2000.pdf;http://igitur-archive.library.uu.nl/sabine/2011-1011-200451/UUindex.html","Biltse straten en wegen lanen en stegen Lies Haan-Beerends 10-13 jg 8 1999 nr 1 p 14-18 jg 9 2000 nr 2 p 33-37 nr 3 p 52-54 10 2001 nr 2 p 33-37 jg 13 2004 nr 2 p 44-51 1998-2004")</f>
        <v>0</v>
      </c>
    </row>
    <row r="7448" spans="2:4">
      <c r="B7448">
        <v>78</v>
      </c>
      <c r="C7448" s="1">
        <f>hyperlink("https://hetutrechtsarchief.nl/collectie/D182B14F6E2053F58842CEFA469DE8EC","Vluchteling in De Bilt Dr K J Hahn Anneke Iseger 6-9 ill portr 1998")</f>
        <v>0</v>
      </c>
      <c r="D7448" s="1">
        <f>hyperlink("http://www.historischekringdebilt.nl/dbg/archief/jaar-7-1998/juni-1998/Iseger-1998.pdf;http://igitur-archive.library.uu.nl/sabine/2012-0423-201052/UUindex.html","Vluchteling in De Bilt Dr K J Hahn K J Iseger Anneke Hahn 6-9 1998")</f>
        <v>0</v>
      </c>
    </row>
    <row r="7449" spans="2:4">
      <c r="B7449">
        <v>86</v>
      </c>
      <c r="C7449" s="1">
        <f>hyperlink("https://hetutrechtsarchief.nl/collectie/D7E6F74DA218557EB267076016594884","Een aanbesteding in vroeger jaren 19-20 1998")</f>
        <v>0</v>
      </c>
      <c r="D7449" s="1">
        <f>hyperlink("http://www.historischekringdebilt.nl/dbg/archief/jaar-7-1998/maart-1998/Burman-1998.pdf;http://igitur-archive.library.uu.nl/sabine/2012-0423-201049/UUindex.html","Een aanbesteding in vroeger jaren Kaspar Burman 19-20 1998")</f>
        <v>0</v>
      </c>
    </row>
    <row r="7450" spans="2:4">
      <c r="B7450">
        <v>93</v>
      </c>
      <c r="C7450" s="1">
        <f>hyperlink("https://hetutrechtsarchief.nl/collectie/40AC8911142753A7B9DCB8C5B1B22018","1672 ook voor De Bilt een veelbewogen jaar Lies Haan-Beerends 2-6 ill portr 1998")</f>
        <v>0</v>
      </c>
      <c r="D7450" s="1">
        <f>hyperlink("http://www.historischekringdebilt.nl/dbg/archief/jaar-7-1998/maart-1998/Haan-1998.pdf;http://igitur-archive.library.uu.nl/sabine/2012-0423-201043/UUindex.html","1672 ook voor De Bilt een veelbewogen jaar Lies Haan-Beerends 2-6 1998")</f>
        <v>0</v>
      </c>
    </row>
    <row r="7451" spans="2:4">
      <c r="B7451">
        <v>97</v>
      </c>
      <c r="C7451" s="1">
        <f>hyperlink("https://hetutrechtsarchief.nl/collectie/0ED5F556B61D5E188027337CB261A117","Zorgvliet een renteniershuis aan de Dorpsstraat Jan van der Heijden 7-11 ill 1998")</f>
        <v>0</v>
      </c>
      <c r="D7451" s="1">
        <f>hyperlink("http://www.historischekringdebilt.nl/dbg/archief/jaar-7-1998/maart-1998/Heijden-1998.pdf;http://igitur-archive.library.uu.nl/sabine/2012-0423-201045/UUindex.html","Zorgvliet een renteniershuis aan de Dorpsstraat Jan van der Heijden 7-11 1998")</f>
        <v>0</v>
      </c>
    </row>
    <row r="7452" spans="2:4">
      <c r="B7452">
        <v>97</v>
      </c>
      <c r="C7452" s="1">
        <f>hyperlink("https://hetutrechtsarchief.nl/collectie/72EA29B4A19C5EB9BA3563CFED20772A","Landgoed Vollenhoven Liline Haitsma Mulier-Van Marwijk Kooy 16-19 ill 1998")</f>
        <v>0</v>
      </c>
      <c r="D7452" s="1">
        <f>hyperlink("http://www.historischekringdebilt.nl/dbg/archief/jaar-7-1998/maart-1998/Mulier-1998.pdf;http://igitur-archive.library.uu.nl/sabine/2012-0423-201047/UUindex.html","Landgoed Vollenhoven Liline Haitsma Mulier-Van Marwijk Kooy 16-19 1998")</f>
        <v>0</v>
      </c>
    </row>
    <row r="7453" spans="2:4">
      <c r="B7453">
        <v>76</v>
      </c>
      <c r="C7453" s="1">
        <f>hyperlink("https://hetutrechtsarchief.nl/collectie/A621EB723C505930A6F1597D888AE72C","Van wildernisse tot villadorp door Mr P H Damst bew door Frans Nas 7-15 ill 1998")</f>
        <v>0</v>
      </c>
      <c r="D7453" s="1">
        <f>hyperlink("http://www.historischekringdebilt.nl/dbg/archief/jaar-7-1998/sept-1998/Damste-1998.pdf;http://igitur-archive.library.uu.nl/sabine/2012-0423-201036/UUindex.html","Van wildernisse tot villadorp Frans Damst P H Nas 7-15 1998")</f>
        <v>0</v>
      </c>
    </row>
    <row r="7454" spans="2:4">
      <c r="B7454">
        <v>97</v>
      </c>
      <c r="C7454" s="1">
        <f>hyperlink("https://hetutrechtsarchief.nl/collectie/E61B2F06F4B15DA2AA922A0D5AA02A12","Mr P H Damst 1902-1985 de Biltse gemeentesecretaris en historicus Jan van der Heijden 2-6 portr 1998")</f>
        <v>0</v>
      </c>
      <c r="D7454" s="1">
        <f>hyperlink("http://www.historischekringdebilt.nl/dbg/archief/jaar-7-1998/sept-1998/Heijden2-1998.pdf;http://igitur-archive.library.uu.nl/sabine/2012-0423-201034/UUindex.html","Mr P H Damst 1902-1985 de Biltse gemeentesecretaris en historicus Jan van der Heijden 2-6 1998")</f>
        <v>0</v>
      </c>
    </row>
    <row r="7455" spans="2:4">
      <c r="B7455">
        <v>95</v>
      </c>
      <c r="C7455" s="1">
        <f>hyperlink("https://hetutrechtsarchief.nl/collectie/D5941F3E4A7A57728D2B3B52AF1C5392","Gunning emeritus met visie op Bilthoven Co Winnips 16-20 portr 1998")</f>
        <v>0</v>
      </c>
      <c r="D7455" s="1">
        <f>hyperlink("http://www.historischekringdebilt.nl/dbg/archief/jaar-7-1998/sept-1998/Winnips2-1998.pdf;http://igitur-archive.library.uu.nl/sabine/2012-0423-201038/UUindex.html","Gunning emeritus met visie op Bilthoven Co Winnips 16-20 1998")</f>
        <v>0</v>
      </c>
    </row>
    <row r="7456" spans="2:4">
      <c r="B7456">
        <v>99</v>
      </c>
      <c r="C7456" s="1">
        <f>hyperlink("https://hetutrechtsarchief.nl/collectie/EEE73DDE83FF5AEAA53533E7B9FE1771","De toestand was gelijk aan vorige jaren De Bilt in het jaar 1900 Ellen Drees 62-70 1999")</f>
        <v>0</v>
      </c>
      <c r="D7456" s="1">
        <f>hyperlink("http://www.historischekringdebilt.nl/dbg/archief/jaar-8-1999/dec-1999/Drees-1999.pdf;http://igitur-archive.library.uu.nl/sabine/2012-0423-201103/UUindex.html","De toestand was gelijk aan vorige jaren De Bilt in het jaar 1900 Ellen Drees 63-70 1999")</f>
        <v>0</v>
      </c>
    </row>
    <row r="7457" spans="2:4">
      <c r="B7457">
        <v>93</v>
      </c>
      <c r="C7457" s="1">
        <f>hyperlink("https://hetutrechtsarchief.nl/collectie/2B82D4D771D55EB3AF462A5E199D644A","Oude ansichten III de school op Berg en Bosch te De Bilt Jan van der Heijden 80 1999")</f>
        <v>0</v>
      </c>
      <c r="D7457" s="1">
        <f>hyperlink("http://www.historischekringdebilt.nl/dbg/archief/jaar-8-1999/dec-1999/Heijden3-1999.pdf;http://igitur-archive.library.uu.nl/sabine/2012-0423-201107/UUindex.html","Oude ansichten III de school op Berg en Bosch Jan van der Heijden 80 1999")</f>
        <v>0</v>
      </c>
    </row>
    <row r="7458" spans="2:4">
      <c r="B7458">
        <v>100</v>
      </c>
      <c r="C7458" s="1">
        <f>hyperlink("https://hetutrechtsarchief.nl/collectie/EE2B0C092BA95BF2A8C417CDE94E5096","Cabinet van ongewoone saecken J W H Meijer 77-79 1999")</f>
        <v>0</v>
      </c>
      <c r="D7458" s="1">
        <f>hyperlink("http://www.historischekringdebilt.nl/dbg/archief/jaar-8-1999/dec-1999/Meijer-1999.pdf;http://igitur-archive.library.uu.nl/sabine/2012-0423-201105/UUindex.html","Cabinet van ongewoone saecken J W H Meijer 77-79 1999")</f>
        <v>0</v>
      </c>
    </row>
    <row r="7459" spans="2:4">
      <c r="B7459">
        <v>61</v>
      </c>
      <c r="C7459" s="1">
        <f>hyperlink("https://hetutrechtsarchief.nl/collectie/9F6521D6D8E8015EE0534701000A4009","Uit het Reglement van Politie de gemeente Zuylen anno 1857 Wally Smits 31-36 2020")</f>
        <v>0</v>
      </c>
      <c r="D7459" s="1">
        <f>hyperlink("http://www.historischekringdebilt.nl/dbg/archief/jaar-8-1999/dec-1999/Politie-1999.pdf;http://igitur-archive.library.uu.nl/sabine/2012-0423-202103/UUindex.html","Reglement van politie voor de gemeente De Bilt 62 1999")</f>
        <v>0</v>
      </c>
    </row>
    <row r="7460" spans="2:4">
      <c r="B7460">
        <v>96</v>
      </c>
      <c r="C7460" s="1">
        <f>hyperlink("https://hetutrechtsarchief.nl/collectie/1D25CC2A73EA5F2FBB62F177BB205ED5","Julius R ntgen in Bilthoven Martin de Boer 31-34 ill 1999")</f>
        <v>0</v>
      </c>
      <c r="D7460" s="1">
        <f>hyperlink("http://www.historischekringdebilt.nl/dbg/archief/jaar-8-1999/juni-1999/Boer-1999.pdf;http://igitur-archive.library.uu.nl/sabine/2012-0423-202057/UUindex.html","Julius R ntgen in Bilthoven Martin de Boer 31-34 1999")</f>
        <v>0</v>
      </c>
    </row>
    <row r="7461" spans="2:4">
      <c r="B7461">
        <v>97</v>
      </c>
      <c r="C7461" s="1">
        <f>hyperlink("https://hetutrechtsarchief.nl/collectie/2151AAE14EAA59C6AD4CE5DCDFF8681B","Vondelinge Johanna Clara Cornelia van Sandwijck Lies Haan-Beerends 29-30 ill 1999")</f>
        <v>0</v>
      </c>
      <c r="D7461" s="1">
        <f>hyperlink("http://www.historischekringdebilt.nl/dbg/archief/jaar-8-1999/juni-1999/Haan2-1999.pdf;http://igitur-archive.library.uu.nl/sabine/2012-0423-202056/UUindex.html","Vondelinge Johanna Clara Cornelia van Sandwijck Lies Haan-Beerends 29-30 1999")</f>
        <v>0</v>
      </c>
    </row>
    <row r="7462" spans="2:4">
      <c r="B7462">
        <v>63</v>
      </c>
      <c r="C7462" s="1">
        <f>hyperlink("https://hetutrechtsarchief.nl/collectie/9EBF4C53AF0C503B860FF01935AA08EB","Krantenberichten uit 1884 betreffende een sluiswachter Lies Haan-Beerends 16-19 2017")</f>
        <v>0</v>
      </c>
      <c r="D7462" s="1">
        <f>hyperlink("http://www.historischekringdebilt.nl/dbg/archief/jaar-8-1999/juni-1999/Haan3-1999.pdf;http://igitur-archive.library.uu.nl/sabine/2012-0423-202101/UUindex.html","Waarschuwing betreffende het snijden van klaver Lies Haan-Beerends 40 1999")</f>
        <v>0</v>
      </c>
    </row>
    <row r="7463" spans="2:4">
      <c r="B7463">
        <v>81</v>
      </c>
      <c r="C7463" s="1">
        <f>hyperlink("https://hetutrechtsarchief.nl/collectie/EFE13AF6BB215BDB8C7F79420ACB70C0","Oude ansichten II De Biltse Fanfare Jan van der Heijden 60 1999")</f>
        <v>0</v>
      </c>
      <c r="D7463" s="1">
        <f>hyperlink("http://www.historischekringdebilt.nl/dbg/archief/jaar-8-1999/juni-1999/Heijden-1999.pdf;http://igitur-archive.library.uu.nl/sabine/2012-0423-201357/UUindex.html","Oude ansichten I Kamp De Pan in de Biltse Duinen Jan van der Heijden 39 1999")</f>
        <v>0</v>
      </c>
    </row>
    <row r="7464" spans="2:4">
      <c r="B7464">
        <v>65</v>
      </c>
      <c r="C7464" s="1">
        <f>hyperlink("https://hetutrechtsarchief.nl/collectie/2E42D48EABBA5A00A657747ACDD0EA12","Het Biltsche Meertje een levensgeschiedenis Hans de Groot 2-7 ill portr 1999")</f>
        <v>0</v>
      </c>
      <c r="D7464" s="1">
        <f>hyperlink("http://www.historischekringdebilt.nl/dbg/archief/jaar-8-1999/maart-1999/Groot-1999.pdf; http://www.historischekringdebilt.nl/dbg/archief/jaar-8-1999/sept-1999/Groot4-1999.pdf; http://www.historischekringdebilt.nl/dbg/archief/jaar-8-1999/dec-1999/Groot5-1999.pdf;http://igitur-archive.library.uu.nl/sabine/2012-0423-201056/UUindex.html","Het Biltsche Meertje Hans de Groot 2-7 nr 3 p 52-59 nr 4 p 70-77 1999")</f>
        <v>0</v>
      </c>
    </row>
    <row r="7465" spans="2:4">
      <c r="B7465">
        <v>90</v>
      </c>
      <c r="C7465" s="1">
        <f>hyperlink("https://hetutrechtsarchief.nl/collectie/98D094C5E0F4571BA44896D8E753467B","Bedrijven in De Bilt IIIa Inventum negentig jaar oud Frans Nas 7-13 ill 1999")</f>
        <v>0</v>
      </c>
      <c r="D7465" s="1">
        <f>hyperlink("http://www.historischekringdebilt.nl/dbg/archief/jaar-8-1999/maart-1999/Nas-1999.pdf; http://www.historischekringdebilt.nl/dbg/archief/jaar-8-1999/sept-1999/Nas2-1999.pdf;http://igitur-archive.library.uu.nl/sabine/2012-0423-201109/UUindex.html","Bedrijven in De Bilt III Inventum negentig jaar oud Frans Nas 7-13 nr 3 p 47-52 1999")</f>
        <v>0</v>
      </c>
    </row>
    <row r="7466" spans="2:4">
      <c r="B7466">
        <v>100</v>
      </c>
      <c r="C7466" s="1">
        <f>hyperlink("https://hetutrechtsarchief.nl/collectie/EFE13AF6BB215BDB8C7F79420ACB70C0","Oude ansichten II De Biltse Fanfare Jan van der Heijden 60 1999")</f>
        <v>0</v>
      </c>
      <c r="D7466" s="1">
        <f>hyperlink("http://www.historischekringdebilt.nl/dbg/archief/jaar-8-1999/sept-1999/Heijden2-1999.pdf;http://igitur-archive.library.uu.nl/sabine/2012-0423-201101/UUindex.html","Oude ansichten II De Biltse Fanfare Jan van der Heijden 60 1999")</f>
        <v>0</v>
      </c>
    </row>
    <row r="7467" spans="2:4">
      <c r="B7467">
        <v>100</v>
      </c>
      <c r="C7467" s="1">
        <f>hyperlink("https://hetutrechtsarchief.nl/collectie/9511ED85E9325EF190A09F8E3E3121D4","Wetenswaardigheden uit het Biltse correspondentiearchief van 1900 Lies Haan-Beerends 62-69 2000")</f>
        <v>0</v>
      </c>
      <c r="D7467" s="1">
        <f>hyperlink("http://www.historischekringdebilt.nl/dbg/archief/jaar-9-2000/dec-2000/Haan7-2000.pdf;http://igitur-archive.library.uu.nl/sabine/2012-0423-201418/UUindex.html","Wetenswaardigheden uit het Biltse correspondentiearchief van 1900 Lies Haan-Beerends 62-69 2000")</f>
        <v>0</v>
      </c>
    </row>
    <row r="7468" spans="2:4">
      <c r="B7468">
        <v>100</v>
      </c>
      <c r="C7468" s="1">
        <f>hyperlink("https://hetutrechtsarchief.nl/collectie/DDA80B577DF2517AB3769C465796A561","Een toevallige ontdekking Tjitse Langerveld 69-72 2000")</f>
        <v>0</v>
      </c>
      <c r="D7468" s="1">
        <f>hyperlink("http://www.historischekringdebilt.nl/dbg/archief/jaar-9-2000/dec-2000/Langerveld-2000.pdf;http://igitur-archive.library.uu.nl/sabine/2012-0423-201420/UUindex.html","Een toevallige ontdekking Tjitse Langerveld 69-72 2000")</f>
        <v>0</v>
      </c>
    </row>
    <row r="7469" spans="2:4">
      <c r="B7469">
        <v>100</v>
      </c>
      <c r="C7469" s="1">
        <f>hyperlink("https://hetutrechtsarchief.nl/collectie/61023C20776A5D7893B75C20584B0329","Bouwactiviteiten in De Bilt rond 1900 hoe metselaar en timmerman ons dorp een nieuw gezicht gaven Hans de Groot 27-33 2000")</f>
        <v>0</v>
      </c>
      <c r="D7469" s="1">
        <f>hyperlink("http://www.historischekringdebilt.nl/dbg/archief/jaar-9-2000/juni-2000/Groot2-2000.pdf;http://igitur-archive.library.uu.nl/sabine/2012-0423-201407/UUindex.html","Bouwactiviteiten in De Bilt rond 1900 hoe metselaar en timmerman ons dorp een nieuw gezicht gaven Hans de Groot 27-33 2000")</f>
        <v>0</v>
      </c>
    </row>
    <row r="7470" spans="2:4">
      <c r="B7470">
        <v>100</v>
      </c>
      <c r="C7470" s="1">
        <f>hyperlink("https://hetutrechtsarchief.nl/collectie/84D6B1B500E35793A5E7F1AD0CD39BEE","Een koninklijke verloving in 1900 Lies Haan-Beerends 22-26 2000")</f>
        <v>0</v>
      </c>
      <c r="D7470" s="1">
        <f>hyperlink("http://www.historischekringdebilt.nl/dbg/archief/jaar-9-2000/juni-2000/Haan-2000.pdf;http://igitur-archive.library.uu.nl/sabine/2012-0423-201405/UUindex.html","Een koninklijke verloving in 1900 Lies Haan-Beerends 22-26 2000")</f>
        <v>0</v>
      </c>
    </row>
    <row r="7471" spans="2:4">
      <c r="B7471">
        <v>100</v>
      </c>
      <c r="C7471" s="1">
        <f>hyperlink("https://hetutrechtsarchief.nl/collectie/A777B1E318955ADE8E4236A6337219E7","Vondelinge Vondelina van De Bilt Lies Haan-Beerends 40 2000")</f>
        <v>0</v>
      </c>
      <c r="D7471" s="1">
        <f>hyperlink("http://www.historischekringdebilt.nl/dbg/archief/jaar-9-2000/juni-2000/Haan3-2000.pdf;http://igitur-archive.library.uu.nl/sabine/2012-0423-201410/UUindex.html","Vondelinge Vondelina van De Bilt Lies Haan-Beerends 40 2000")</f>
        <v>0</v>
      </c>
    </row>
    <row r="7472" spans="2:4">
      <c r="B7472">
        <v>100</v>
      </c>
      <c r="C7472" s="1">
        <f>hyperlink("https://hetutrechtsarchief.nl/collectie/4CB2D799F29F5DE38052B182AE480B33","Oude ansichten V de eerste winkel in Bilthoven Jan van der Heijden 39 2000")</f>
        <v>0</v>
      </c>
      <c r="D7472" s="1">
        <f>hyperlink("http://www.historischekringdebilt.nl/dbg/archief/jaar-9-2000/juni-2000/Heijden2-2000.pdf;http://igitur-archive.library.uu.nl/sabine/2012-0423-201409/UUindex.html","Oude ansichten V de eerste winkel in Bilthoven Jan van der Heijden 39 2000")</f>
        <v>0</v>
      </c>
    </row>
    <row r="7473" spans="2:4">
      <c r="B7473">
        <v>100</v>
      </c>
      <c r="C7473" s="1">
        <f>hyperlink("https://hetutrechtsarchief.nl/collectie/2A28C07B220459288D042142A1F434BD","Oude ansichten IV Hotel Poll in vuur en vlam Jan van der Heijden 19-20 2000")</f>
        <v>0</v>
      </c>
      <c r="D7473" s="1">
        <f>hyperlink("http://www.historischekringdebilt.nl/dbg/archief/jaar-9-2000/maart-2000/Heijden-2000.pdf;http://igitur-archive.library.uu.nl/sabine/2012-0423-201403/UUindex.html","Oude ansichten IV Hotel Poll in vuur en vlam Jan van der Heijden 19-20 2000")</f>
        <v>0</v>
      </c>
    </row>
    <row r="7474" spans="2:4">
      <c r="B7474">
        <v>100</v>
      </c>
      <c r="C7474" s="1">
        <f>hyperlink("https://hetutrechtsarchief.nl/collectie/33E7F302772F538C81B3896FAE1D866E","Wandeling met een historische terugblik J W H Meijer 11-19 2000")</f>
        <v>0</v>
      </c>
      <c r="D7474" s="1">
        <f>hyperlink("http://www.historischekringdebilt.nl/dbg/archief/jaar-9-2000/maart-2000/Meijer-2000.pdf;http://igitur-archive.library.uu.nl/sabine/2012-0423-201401/UUindex.html","Wandeling met een historische terugblik J W H Meijer 11-19 2000")</f>
        <v>0</v>
      </c>
    </row>
    <row r="7475" spans="2:4">
      <c r="B7475">
        <v>100</v>
      </c>
      <c r="C7475" s="1">
        <f>hyperlink("https://hetutrechtsarchief.nl/collectie/448FE4F92E265789B2ECE1F2F367E1EC","Elektriciteit rond 1900 Jo Neus 2-5 2000")</f>
        <v>0</v>
      </c>
      <c r="D7475" s="1">
        <f>hyperlink("http://www.historischekringdebilt.nl/dbg/archief/jaar-9-2000/maart-2000/Neus-2000.pdf;http://igitur-archive.library.uu.nl/sabine/2012-0423-201359/UUindex.html","Elektriciteit rond 1900 Jo Neus 2-5 2000")</f>
        <v>0</v>
      </c>
    </row>
    <row r="7476" spans="2:4">
      <c r="B7476">
        <v>64</v>
      </c>
      <c r="C7476" s="1">
        <f>hyperlink("https://hetutrechtsarchief.nl/collectie/95A547B52D490455E0534701000A8F9D","Een gemeentelijke herindeling die niet doorging Lies Haan-Beerends 53-61 2007")</f>
        <v>0</v>
      </c>
      <c r="D7476" s="1">
        <f>hyperlink("http://www.historischekringdebilt.nl/dbg/archief/jaar-9-2000/sept-2000/Haan5-2000.pdf;http://igitur-archive.library.uu.nl/sabine/2012-0423-202108/UUindex.html","Hoe men in de achttiende eeuw met kleine criminaliteit omging Lies Haan-Beerends 54-55 2000")</f>
        <v>0</v>
      </c>
    </row>
    <row r="7477" spans="2:4">
      <c r="B7477">
        <v>67</v>
      </c>
      <c r="C7477" s="1">
        <f>hyperlink("https://hetutrechtsarchief.nl/collectie/F261F74F6D52515EB53D36ADC2A0E6E5","Biltse straten en wegen lanen en stegen IV Lies Haan-Beerends 52-54 2000")</f>
        <v>0</v>
      </c>
      <c r="D7477" s="1">
        <f>hyperlink("http://www.historischekringdebilt.nl/dbg/archief/jaar-9-2000/sept-2000/Haan6-2000.pdf;http://igitur-archive.library.uu.nl/sabine/2012-0423-202109/UUindex.html","Toen ordonnanties en wetten nog een lange levensduur kenden Lies Haan-Beerends 60 2000")</f>
        <v>0</v>
      </c>
    </row>
    <row r="7478" spans="2:4">
      <c r="B7478">
        <v>100</v>
      </c>
      <c r="C7478" s="1">
        <f>hyperlink("https://hetutrechtsarchief.nl/collectie/DC9C4A5695A25E5D9E23CF8FFA5873B8","Anales de la seigneurie d Oostbroek J W H Meijer 42-46 2000")</f>
        <v>0</v>
      </c>
      <c r="D7478" s="1">
        <f>hyperlink("http://www.historischekringdebilt.nl/dbg/archief/jaar-9-2000/sept-2000/Meijer2-2000.pdf;http://igitur-archive.library.uu.nl/sabine/2012-0423-201414/UUindex.html","Anales de la seigneurie d Oostbroek J W H Meijer 42-46 2000")</f>
        <v>0</v>
      </c>
    </row>
    <row r="7479" spans="2:4">
      <c r="B7479">
        <v>100</v>
      </c>
      <c r="C7479" s="1">
        <f>hyperlink("https://hetutrechtsarchief.nl/collectie/377D44E0BB465D388DC6450EAA100F2B","Bedrijvigheid in de Bilt rond 1800 Frans Nas 48-51 2000")</f>
        <v>0</v>
      </c>
      <c r="D7479" s="1">
        <f>hyperlink("http://www.historischekringdebilt.nl/dbg/archief/jaar-9-2000/sept-2000/Nas-2000.pdf;http://igitur-archive.library.uu.nl/sabine/2012-0423-201416/UUindex.html","Bedrijvigheid in de Bilt rond 1800 Frans Nas 48-51 2000")</f>
        <v>0</v>
      </c>
    </row>
    <row r="7480" spans="2:4">
      <c r="B7480">
        <v>87</v>
      </c>
      <c r="C7480" s="1">
        <f>hyperlink("https://hetutrechtsarchief.nl/collectie/A25A74C7DA3A5298BC94568760F9B06A","Revolutie op het Hogeland het einde van de heerlijke rechten van Hoogland en Emiclaer 1795-1848 deel 1 Gerard Raven 104-107 1999")</f>
        <v>0</v>
      </c>
      <c r="D7480" s="1">
        <f>hyperlink("http://www.historischekringhoogland.nl/pagina100.html;http://www.historischekringhoogland.nl/pagina104.html","Revolutie op het Hogeland het einde van de heerlijke rechten van Hoogland en Emiclaer 1795-1848 Gerard Raven 104-107 jg 6 2000 no 3 p 75-84 1999-2000")</f>
        <v>0</v>
      </c>
    </row>
    <row r="7481" spans="2:4">
      <c r="B7481">
        <v>73</v>
      </c>
      <c r="C7481" s="1">
        <f>hyperlink("https://hetutrechtsarchief.nl/collectie/46823889DA0C5A598AA3C6B9EF0AAA0A","Het huis Groot Weede deel 1 Gijs Hilhorst 89-92 2000")</f>
        <v>0</v>
      </c>
      <c r="D7481" s="1">
        <f>hyperlink("http://www.historischekringhoogland.nl/pagina105.html;http://www.historischekringhoogland.nl/pagina109.html","Het Huis Groot Weede Gijs Hilhorst 89-92 jg 7 2001 no 1 p 6-11 2000-2001")</f>
        <v>0</v>
      </c>
    </row>
    <row r="7482" spans="2:4">
      <c r="B7482">
        <v>100</v>
      </c>
      <c r="C7482" s="1">
        <f>hyperlink("https://hetutrechtsarchief.nl/collectie/552BA051558C51C2B543266B85EF3ADB","Vrouwenwerk rond 1900 M A Brouwer 93-94 2000")</f>
        <v>0</v>
      </c>
      <c r="D7482" s="1">
        <f>hyperlink("http://www.historischekringhoogland.nl/pagina106.html","Vrouwenwerk rond 1900 M A Brouwer 93-94 2000")</f>
        <v>0</v>
      </c>
    </row>
    <row r="7483" spans="2:4">
      <c r="B7483">
        <v>65</v>
      </c>
      <c r="C7483" s="1">
        <f>hyperlink("https://hetutrechtsarchief.nl/collectie/97ED9649F74A5A31B2AB330CFEEC09AE","De malenhoeve Ten Bosch herontdekt Bosserdijk 1400-1650 deel 1 Gerard Raven 95-102 2000")</f>
        <v>0</v>
      </c>
      <c r="D7483" s="1">
        <f>hyperlink("http://www.historischekringhoogland.nl/pagina107.html;http://www.historischekringhoogland.nl/pagina110.html;http://www.historischekringhoogland.nl/pagina114.html;http://www.historischekringhoogland.nl/pagina118.html;http://www.historischekringhoogland.nl/pagina121.html","De malenhoeve Ten Bosch herontdekt Bosserdijk 1400-1650 Gerard Raven 95-102 jg 7 2001 no 1 p 12-16 no 3 p 112-116 no 4 p 128-133 jg 8 2002 no 101-110 2000-2002")</f>
        <v>0</v>
      </c>
    </row>
    <row r="7484" spans="2:4">
      <c r="B7484">
        <v>100</v>
      </c>
      <c r="C7484" s="1">
        <f>hyperlink("https://hetutrechtsarchief.nl/collectie/7B66DBD1099358E6959B3F1505385215","Een levensgenieter rond 1790 het kasboek van huis Groot Weede Dirk Steenbeek 2-5 2001")</f>
        <v>0</v>
      </c>
      <c r="D7484" s="1">
        <f>hyperlink("http://www.historischekringhoogland.nl/pagina108.html","Een levensgenieter rond 1790 het kasboek van huis Groot Weede Dirk Steenbeek 2-5 2001")</f>
        <v>0</v>
      </c>
    </row>
    <row r="7485" spans="2:4">
      <c r="B7485">
        <v>100</v>
      </c>
      <c r="C7485" s="1">
        <f>hyperlink("https://hetutrechtsarchief.nl/collectie/2D01E69753325D81A06BB1B888BFD6A0","Eennige aantekenningen weersgesteltheid het weer in Hoogland 1879-1911 Arie van den Heuvel 101-105 2001")</f>
        <v>0</v>
      </c>
      <c r="D7485" s="1">
        <f>hyperlink("http://www.historischekringhoogland.nl/pagina111.html","Eennige aantekenningen weersgesteltheid het weer in Hoogland 1879-1911 Arie van den Heuvel 101-105 2001")</f>
        <v>0</v>
      </c>
    </row>
    <row r="7486" spans="2:4">
      <c r="B7486">
        <v>98</v>
      </c>
      <c r="C7486" s="1">
        <f>hyperlink("https://hetutrechtsarchief.nl/collectie/9E1BCFAD7CB45D0A8A274685E6D62282","Vier generaties Keizer Schilderwerken Wim Keizer jr 106-110 2001")</f>
        <v>0</v>
      </c>
      <c r="D7486" s="1">
        <f>hyperlink("http://www.historischekringhoogland.nl/pagina112.html","Vier generaties Keizer Schilderwerken Wim Keizer 106-110 2001")</f>
        <v>0</v>
      </c>
    </row>
    <row r="7487" spans="2:4">
      <c r="B7487">
        <v>100</v>
      </c>
      <c r="C7487" s="1">
        <f>hyperlink("https://hetutrechtsarchief.nl/collectie/79719379F8185700801C333C051CDA10","Timmerwerk op Hoogland door Hendrikus Penterman rond 1900 Jan Penterman 121-124 2001")</f>
        <v>0</v>
      </c>
      <c r="D7487" s="1">
        <f>hyperlink("http://www.historischekringhoogland.nl/pagina116.html","Timmerwerk op Hoogland door Hendrikus Penterman rond 1900 Jan Penterman 121-124 2001")</f>
        <v>0</v>
      </c>
    </row>
    <row r="7488" spans="2:4">
      <c r="B7488">
        <v>100</v>
      </c>
      <c r="C7488" s="1">
        <f>hyperlink("https://hetutrechtsarchief.nl/collectie/5C34B082556C5EB0B05CA93CA56E2623","De ouwe tijd herinneringen aan Hoogland rond 1930 Wim Kisner 125-127 2001")</f>
        <v>0</v>
      </c>
      <c r="D7488" s="1">
        <f>hyperlink("http://www.historischekringhoogland.nl/pagina117.html","De ouwe tijd herinneringen aan Hoogland rond 1930 Wim Kisner 125-127 2001")</f>
        <v>0</v>
      </c>
    </row>
    <row r="7489" spans="2:4">
      <c r="B7489">
        <v>100</v>
      </c>
      <c r="C7489" s="1">
        <f>hyperlink("https://hetutrechtsarchief.nl/collectie/A49F8E5C832459289CAFA4D7B96B7D37","Herinneringen aan Coelhorst hoe wij woonden werkten en plezier hadden als familie Voskuilen-Walet 1928-1955 Han Voskuilen 94-97 2002")</f>
        <v>0</v>
      </c>
      <c r="D7489" s="1">
        <f>hyperlink("http://www.historischekringhoogland.nl/pagina120.html","Herinneringen aan Coelhorst hoe wij woonden werkten en plezier hadden als familie Voskuilen-Walet 1928-1955 Han Voskuilen 94-97 2002")</f>
        <v>0</v>
      </c>
    </row>
    <row r="7490" spans="2:4">
      <c r="B7490">
        <v>72</v>
      </c>
      <c r="C7490" s="1">
        <f>hyperlink("https://hetutrechtsarchief.nl/collectie/E5FC42D2300652038D8919EC8D7023A6","De eigenaren en bewoners van boerderij De Oude Hooft 1596-1987 deel 1 Gerard Pommer en Arie van den Heuvel 141-147 2002")</f>
        <v>0</v>
      </c>
      <c r="D7490" s="1">
        <f>hyperlink("http://www.historischekringhoogland.nl/pagina122.html;http://www.historischekringhoogland.nl/pagina131.html;http://www.historischekringhoogland.nl/pagina133.html;http://www.historischekringhoogland.nl/pagina141.html","Eigenaren en bewoners van boerderij De Oude Hooft 1596-1987 Arie van den Pommer Gerard Heuvel 141-147 jg 9 2003 no 1 p 12-16 no 2 p 25-32 2002-2003")</f>
        <v>0</v>
      </c>
    </row>
    <row r="7491" spans="2:4">
      <c r="B7491">
        <v>100</v>
      </c>
      <c r="C7491" s="1">
        <f>hyperlink("https://hetutrechtsarchief.nl/collectie/95333EDBF95A5E9B96E83831FABC9ACA","Hoogland begroef zijn doden in Leusden Wim Bos 149-153 2002")</f>
        <v>0</v>
      </c>
      <c r="D7491" s="1">
        <f>hyperlink("http://www.historischekringhoogland.nl/pagina123.html","Hoogland begroef zijn doden in Leusden Wim Bos 149-153 2002")</f>
        <v>0</v>
      </c>
    </row>
    <row r="7492" spans="2:4">
      <c r="B7492">
        <v>100</v>
      </c>
      <c r="C7492" s="1">
        <f>hyperlink("https://hetutrechtsarchief.nl/collectie/DBEBB941F7FE5D7998A1EE82BE9D8F13","De familienaam Van Westerlaak Jan van den Boom 117-121 2002")</f>
        <v>0</v>
      </c>
      <c r="D7492" s="1">
        <f>hyperlink("http://www.historischekringhoogland.nl/pagina124.html","De familienaam Van Westerlaak Jan van den Boom 117-121 2002")</f>
        <v>0</v>
      </c>
    </row>
    <row r="7493" spans="2:4">
      <c r="B7493">
        <v>100</v>
      </c>
      <c r="C7493" s="1">
        <f>hyperlink("https://hetutrechtsarchief.nl/collectie/22966F725F0C54479C8F514550E7FC11","De grenzen van de Hamseweg Berend Drok 122-126 2002")</f>
        <v>0</v>
      </c>
      <c r="D7493" s="1">
        <f>hyperlink("http://www.historischekringhoogland.nl/pagina125.html","De grenzen van de Hamseweg Berend Drok 122-126 2002")</f>
        <v>0</v>
      </c>
    </row>
    <row r="7494" spans="2:4">
      <c r="B7494">
        <v>66</v>
      </c>
      <c r="C7494" s="1">
        <f>hyperlink("https://hetutrechtsarchief.nl/collectie/84D2BD636E4B5FAFA7E3661CDB0BCE5B","De post in Hoogland 1854-2001 Gerard Raven 127-133 2002")</f>
        <v>0</v>
      </c>
      <c r="D7494" s="1">
        <f>hyperlink("http://www.historischekringhoogland.nl/pagina126.html;http://www.historischekringhoogland.nl/pagina128.html;http://www.historischekringhoogland.nl/pagina132.html;http://www.historischekringhoogland.nl/pagina135.html","De post in Hoogland 1854-2001 Gerard Raven 127-133 no 4 p 154-162 jg 9 2003 no 1 p 17-21 no 2 p 35-41 2002-2003")</f>
        <v>0</v>
      </c>
    </row>
    <row r="7495" spans="2:4">
      <c r="B7495">
        <v>100</v>
      </c>
      <c r="C7495" s="1">
        <f>hyperlink("https://hetutrechtsarchief.nl/collectie/62F3F20775A1551AB0A4B8B45CDCE92E","Bert van Vulpen een Canadese boer uit Hoogland Nellie van Vulpen 1-6 2003")</f>
        <v>0</v>
      </c>
      <c r="D7495" s="1">
        <f>hyperlink("http://www.historischekringhoogland.nl/pagina129.html","Bert van Vulpen een Canadese boer uit Hoogland Nellie van Vulpen 1-6 2003")</f>
        <v>0</v>
      </c>
    </row>
    <row r="7496" spans="2:4">
      <c r="B7496">
        <v>100</v>
      </c>
      <c r="C7496" s="1">
        <f>hyperlink("https://hetutrechtsarchief.nl/collectie/887C4FD1D8FF5B9587B5F34116D837C1","De kapel van Coelhorst bevindingen tijdens het restauratieproces Willem van Loon 7-11 2003")</f>
        <v>0</v>
      </c>
      <c r="D7496" s="1">
        <f>hyperlink("http://www.historischekringhoogland.nl/pagina130.html","De kapel van Coelhorst bevindingen tijdens het restauratieproces Willem van Loon 7-11 2003")</f>
        <v>0</v>
      </c>
    </row>
    <row r="7497" spans="2:4">
      <c r="B7497">
        <v>100</v>
      </c>
      <c r="C7497" s="1">
        <f>hyperlink("https://hetutrechtsarchief.nl/collectie/0E6D3E5B58B058EBB5870938A80AF3B5","Bankenpacht en boterzuur Jaap Voorburg 33-34 2003")</f>
        <v>0</v>
      </c>
      <c r="D7497" s="1">
        <f>hyperlink("http://www.historischekringhoogland.nl/pagina134.html","Bankenpacht en boterzuur Jaap Voorburg 33-34 2003")</f>
        <v>0</v>
      </c>
    </row>
    <row r="7498" spans="2:4">
      <c r="B7498">
        <v>100</v>
      </c>
      <c r="C7498" s="1">
        <f>hyperlink("https://hetutrechtsarchief.nl/collectie/CB76F6E586DD57158E14B368CC2D74E1","Bert van Vulpen n van de velen naoorlogse migratie Jaap Voorburg 42-45 2003")</f>
        <v>0</v>
      </c>
      <c r="D7498" s="1">
        <f>hyperlink("http://www.historischekringhoogland.nl/pagina136.html","Bert van Vulpen n van de velen naoorlogse migratie Jaap Voorburg 42-45 2003")</f>
        <v>0</v>
      </c>
    </row>
    <row r="7499" spans="2:4">
      <c r="B7499">
        <v>100</v>
      </c>
      <c r="C7499" s="1">
        <f>hyperlink("https://hetutrechtsarchief.nl/collectie/F9559C2CDE1A597BA4FC838839E5EFD4","Wie liggen er begraven in de kapel van Coelhorst Gerard Raven 49-60 2003")</f>
        <v>0</v>
      </c>
      <c r="D7499" s="1">
        <f>hyperlink("http://www.historischekringhoogland.nl/pagina137.html","Wie liggen er begraven in de kapel van Coelhorst Gerard Raven 49-60 2003")</f>
        <v>0</v>
      </c>
    </row>
    <row r="7500" spans="2:4">
      <c r="B7500">
        <v>100</v>
      </c>
      <c r="C7500" s="1">
        <f>hyperlink("https://hetutrechtsarchief.nl/collectie/15E5A423EDD75CA6AB939D308F44F43A","Sinterklaas op Hoogland Jaap Voorburg 60-61 2003")</f>
        <v>0</v>
      </c>
      <c r="D7500" s="1">
        <f>hyperlink("http://www.historischekringhoogland.nl/pagina138.html","Sinterklaas op Hoogland Jaap Voorburg 60-61 2003")</f>
        <v>0</v>
      </c>
    </row>
    <row r="7501" spans="2:4">
      <c r="B7501">
        <v>100</v>
      </c>
      <c r="C7501" s="1">
        <f>hyperlink("https://hetutrechtsarchief.nl/collectie/D016203E48E25893A9E3213B29AA465D","De familie Smitt in Hoogland Gerard Raven 62-63 2003")</f>
        <v>0</v>
      </c>
      <c r="D7501" s="1">
        <f>hyperlink("http://www.historischekringhoogland.nl/pagina139.html","De familie Smitt in Hoogland Gerard Raven 62-63 2003")</f>
        <v>0</v>
      </c>
    </row>
    <row r="7502" spans="2:4">
      <c r="B7502">
        <v>59</v>
      </c>
      <c r="C7502" s="1">
        <f>hyperlink("https://hetutrechtsarchief.nl/collectie/2A3B46DD269B5338920090082A6AB9DD","Bammens 90 jaar in Maarssen 160 jaar geleden gesticht Arie de Zwart 18-29 2010")</f>
        <v>0</v>
      </c>
      <c r="D7502" s="1">
        <f>hyperlink("http://www.historischekringhoogland.nl/pagina13a.html","De Sint-Martinuskerk 300 jaar geleden gesticht Gijs Hilhorst 23-27 1996")</f>
        <v>0</v>
      </c>
    </row>
    <row r="7503" spans="2:4">
      <c r="B7503">
        <v>100</v>
      </c>
      <c r="C7503" s="1">
        <f>hyperlink("https://hetutrechtsarchief.nl/collectie/80E3B5DD155E557984A27DDC9A2D55A1","Particuliere post Jaap Voorburg 65-66 2003")</f>
        <v>0</v>
      </c>
      <c r="D7503" s="1">
        <f>hyperlink("http://www.historischekringhoogland.nl/pagina140.html","Particuliere post Jaap Voorburg 65-66 2003")</f>
        <v>0</v>
      </c>
    </row>
    <row r="7504" spans="2:4">
      <c r="B7504">
        <v>100</v>
      </c>
      <c r="C7504" s="1">
        <f>hyperlink("https://hetutrechtsarchief.nl/collectie/CC43DE430B805A9AB8A4DFD0F663D2D5","Boerderij Hoogerhorst Parel aan de Eem Albert van Engelenhoven 1-9 2004")</f>
        <v>0</v>
      </c>
      <c r="D7504" s="1">
        <f>hyperlink("http://www.historischekringhoogland.nl/pagina142.html","Boerderij Hoogerhorst Parel aan de Eem Albert van Engelenhoven 1-9 2004")</f>
        <v>0</v>
      </c>
    </row>
    <row r="7505" spans="2:4">
      <c r="B7505">
        <v>100</v>
      </c>
      <c r="C7505" s="1">
        <f>hyperlink("https://hetutrechtsarchief.nl/collectie/110FFC1F2D6C5A0AA9C4B1B9CDD6C2C6","Wousje en de oorlog Jaap Voorburg 15-17 2004")</f>
        <v>0</v>
      </c>
      <c r="D7505" s="1">
        <f>hyperlink("http://www.historischekringhoogland.nl/pagina144.html","Wousje en de oorlog Jaap Voorburg 15-17 2004")</f>
        <v>0</v>
      </c>
    </row>
    <row r="7506" spans="2:4">
      <c r="B7506">
        <v>100</v>
      </c>
      <c r="C7506" s="1">
        <f>hyperlink("https://hetutrechtsarchief.nl/collectie/2F037E94AF0C5A80B6795D8D91E5CF6D","Dossier De oud-verpleegde van Zandbergen verslag van een recherche-onderzoek 1925-1934 Arie van den Heuvel 25-36 2004")</f>
        <v>0</v>
      </c>
      <c r="D7506" s="1">
        <f>hyperlink("http://www.historischekringhoogland.nl/pagina146.html;http://www.historischekringhoogland.nl/pagina155.html","Dossier De oud-verpleegde van Zandbergen verslag van een recherche-onderzoek 1925-1934 Arie van den Heuvel 25-36 2004")</f>
        <v>0</v>
      </c>
    </row>
    <row r="7507" spans="2:4">
      <c r="B7507">
        <v>100</v>
      </c>
      <c r="C7507" s="1">
        <f>hyperlink("https://hetutrechtsarchief.nl/collectie/33C7B09157C1587EBD21C36917770E97","Oud-werknemers over de melkfabriek van Hoogland Atty Davidse 37-43 2004")</f>
        <v>0</v>
      </c>
      <c r="D7507" s="1">
        <f>hyperlink("http://www.historischekringhoogland.nl/pagina147.html","Oud-werknemers over de melkfabriek van Hoogland Atty Davidse 37-43 2004")</f>
        <v>0</v>
      </c>
    </row>
    <row r="7508" spans="2:4">
      <c r="B7508">
        <v>100</v>
      </c>
      <c r="C7508" s="1">
        <f>hyperlink("https://hetutrechtsarchief.nl/collectie/471588D3778A5C8B914549D98C89801B","Veevervoer naar de polder 100 jaar geleden Jaap Voorburg 45-46 2004")</f>
        <v>0</v>
      </c>
      <c r="D7508" s="1">
        <f>hyperlink("http://www.historischekringhoogland.nl/pagina149.html","Veevervoer naar de polder 100 jaar geleden Jaap Voorburg 45-46 2004")</f>
        <v>0</v>
      </c>
    </row>
    <row r="7509" spans="2:4">
      <c r="B7509">
        <v>68</v>
      </c>
      <c r="C7509" s="1">
        <f>hyperlink("https://hetutrechtsarchief.nl/collectie/62F3F20775A1551AB0A4B8B45CDCE92E","Bert van Vulpen een Canadese boer uit Hoogland Nellie van Vulpen 1-6 2003")</f>
        <v>0</v>
      </c>
      <c r="D7509" s="1">
        <f>hyperlink("http://www.historischekringhoogland.nl/pagina150.html","Verkenners op Hoogland Nellie van Vulpen 49-55 2004")</f>
        <v>0</v>
      </c>
    </row>
    <row r="7510" spans="2:4">
      <c r="B7510">
        <v>65</v>
      </c>
      <c r="C7510" s="1">
        <f>hyperlink("https://hetutrechtsarchief.nl/collectie/80E3B5DD155E557984A27DDC9A2D55A1","Particuliere post Jaap Voorburg 65-66 2003")</f>
        <v>0</v>
      </c>
      <c r="D7510" s="1">
        <f>hyperlink("http://www.historischekringhoogland.nl/pagina151.html","Ruilverkaveling Beoosten de Eem Jaap Voorburg 56-60 2004")</f>
        <v>0</v>
      </c>
    </row>
    <row r="7511" spans="2:4">
      <c r="B7511">
        <v>65</v>
      </c>
      <c r="C7511" s="1">
        <f>hyperlink("https://hetutrechtsarchief.nl/collectie/12EF9FFD592558A687F8BC5537F4AA33","Bollenburg opzienbarende datering en bouwgeschiedenis Gerard Raven 8-9 2017")</f>
        <v>0</v>
      </c>
      <c r="D7511" s="1">
        <f>hyperlink("http://www.historischekringhoogland.nl/pagina152.html","Hoogland in de regionale geschiedenis Gerard Raven 61-68 2004")</f>
        <v>0</v>
      </c>
    </row>
    <row r="7512" spans="2:4">
      <c r="B7512">
        <v>100</v>
      </c>
      <c r="C7512" s="1">
        <f>hyperlink("https://hetutrechtsarchief.nl/collectie/736E3441157553FA80B2227385AB2F9B","Zorgelijke dagen of avontuurlijk vakantiereisje herinneringen aan de evacuatie van mei 1940 Gerard Raven 1-27 2005")</f>
        <v>0</v>
      </c>
      <c r="D7512" s="1">
        <f>hyperlink("http://www.historischekringhoogland.nl/pagina153.html","Zorgelijke dagen of avontuurlijk vakantiereisje herinneringen aan de evacuatie van mei 1940 Gerard Raven 1-27 2005")</f>
        <v>0</v>
      </c>
    </row>
    <row r="7513" spans="2:4">
      <c r="B7513">
        <v>100</v>
      </c>
      <c r="C7513" s="1">
        <f>hyperlink("https://hetutrechtsarchief.nl/collectie/C942D49B9912552C9C100392BC85210F","Joden in Hoogland 1940-1945 Jaap Voorburg 28-30 2005")</f>
        <v>0</v>
      </c>
      <c r="D7513" s="1">
        <f>hyperlink("http://www.historischekringhoogland.nl/pagina154.html","Joden in Hoogland 1940-1945 Jaap Voorburg 28-30 2005")</f>
        <v>0</v>
      </c>
    </row>
    <row r="7514" spans="2:4">
      <c r="B7514">
        <v>100</v>
      </c>
      <c r="C7514" s="1">
        <f>hyperlink("https://hetutrechtsarchief.nl/collectie/360411E033B2588D96284B5D864A7F25","Vroege historici van Hoogland sjieke heren en dorpshistorici Gerard Raven 37-46 2005")</f>
        <v>0</v>
      </c>
      <c r="D7514" s="1">
        <f>hyperlink("http://www.historischekringhoogland.nl/pagina156.html","Vroege historici van Hoogland sjieke heren en dorpshistorici Gerard Raven 37-46 2005")</f>
        <v>0</v>
      </c>
    </row>
    <row r="7515" spans="2:4">
      <c r="B7515">
        <v>100</v>
      </c>
      <c r="C7515" s="1">
        <f>hyperlink("https://hetutrechtsarchief.nl/collectie/A2E4716782C255E68A3B74E85EC6DDE7","Plannen voor een historische kring 1981-1995 opvallend laat Gerard Raven 47-50 2005")</f>
        <v>0</v>
      </c>
      <c r="D7515" s="1">
        <f>hyperlink("http://www.historischekringhoogland.nl/pagina157.html","Plannen voor een historische kring 1981-1995 opvallend laat Gerard Raven 47-50 2005")</f>
        <v>0</v>
      </c>
    </row>
    <row r="7516" spans="2:4">
      <c r="B7516">
        <v>92</v>
      </c>
      <c r="C7516" s="1">
        <f>hyperlink("https://hetutrechtsarchief.nl/collectie/106A6482FD665354BADBF983EF1C244C","Het Electriciteitsbedrijf van Hoogland het korte avontuur van een gemeentebedrijf 85-91 2005")</f>
        <v>0</v>
      </c>
      <c r="D7516" s="1">
        <f>hyperlink("http://www.historischekringhoogland.nl/pagina158.html","Het Electriciteitsbedrijf van Hoogland het korte avontuur van een gemeentebedrijf Dirk Steenbeek 85-91 2005")</f>
        <v>0</v>
      </c>
    </row>
    <row r="7517" spans="2:4">
      <c r="B7517">
        <v>100</v>
      </c>
      <c r="C7517" s="1">
        <f>hyperlink("https://hetutrechtsarchief.nl/collectie/58F4BC0DF6A75950BD82B75506898323","Jan Goes een priester tussen de oude en de nieuwe tijd Nellie van Vulpen 92-96 2005")</f>
        <v>0</v>
      </c>
      <c r="D7517" s="1">
        <f>hyperlink("http://www.historischekringhoogland.nl/pagina159.html","Jan Goes een priester tussen de oude en de nieuwe tijd Nellie van Vulpen 92-96 2005")</f>
        <v>0</v>
      </c>
    </row>
    <row r="7518" spans="2:4">
      <c r="B7518">
        <v>100</v>
      </c>
      <c r="C7518" s="1">
        <f>hyperlink("https://hetutrechtsarchief.nl/collectie/E5396B98E336518E9024FD0FFA0EFACA","Van kapel van Coelhorst naar hervormde kerk de beginjaren en de kerkbouw Piet Smink 97-102 2005")</f>
        <v>0</v>
      </c>
      <c r="D7518" s="1">
        <f>hyperlink("http://www.historischekringhoogland.nl/pagina160.html","Van kapel van Coelhorst naar hervormde kerk de beginjaren en de kerkbouw Piet Smink 97-102 2005")</f>
        <v>0</v>
      </c>
    </row>
    <row r="7519" spans="2:4">
      <c r="B7519">
        <v>100</v>
      </c>
      <c r="C7519" s="1">
        <f>hyperlink("https://hetutrechtsarchief.nl/collectie/21F18CA67D9E59058C9A4213564D1353","Hout maken van hakhout ging niets verloren Joep van Burgsteden 1-5 2006")</f>
        <v>0</v>
      </c>
      <c r="D7519" s="1">
        <f>hyperlink("http://www.historischekringhoogland.nl/pagina161.html","Hout maken van hakhout ging niets verloren Joep van Burgsteden 1-5 2006")</f>
        <v>0</v>
      </c>
    </row>
    <row r="7520" spans="2:4">
      <c r="B7520">
        <v>100</v>
      </c>
      <c r="C7520" s="1">
        <f>hyperlink("https://hetutrechtsarchief.nl/collectie/573E074350CE528D969882284862F195","Hoogland en de wereldgeschiedenis 9 november 1939 - 1 mei 1945 Jaap Voorburg 6-9 2006")</f>
        <v>0</v>
      </c>
      <c r="D7520" s="1">
        <f>hyperlink("http://www.historischekringhoogland.nl/pagina162.html","Hoogland en de wereldgeschiedenis 9 november 1939 - 1 mei 1945 Jaap Voorburg 6-9 2006")</f>
        <v>0</v>
      </c>
    </row>
    <row r="7521" spans="2:4">
      <c r="B7521">
        <v>100</v>
      </c>
      <c r="C7521" s="1">
        <f>hyperlink("https://hetutrechtsarchief.nl/collectie/3B065A51B9525574A30E71A375219879","De mysterieuze directiekeet een raadsel uit het laatste oorlogsjaar Rob Goedvolk 10-14 2006")</f>
        <v>0</v>
      </c>
      <c r="D7521" s="1">
        <f>hyperlink("http://www.historischekringhoogland.nl/pagina163.html","De mysterieuze directiekeet een raadsel uit het laatste oorlogsjaar Rob Goedvolk 10-14 2006")</f>
        <v>0</v>
      </c>
    </row>
    <row r="7522" spans="2:4">
      <c r="B7522">
        <v>100</v>
      </c>
      <c r="C7522" s="1">
        <f>hyperlink("https://hetutrechtsarchief.nl/collectie/EDCC38C5C69C5D26BB10392483B66FBC","Emigreren naar Australi een spannend avontuur de familie Pommer uit en thuis 1952-1966 Nellie van Vulpen 25-34 2006")</f>
        <v>0</v>
      </c>
      <c r="D7522" s="1">
        <f>hyperlink("http://www.historischekringhoogland.nl/pagina164.html","Emigreren naar Australi een spannend avontuur de familie Pommer uit en thuis 1952-1966 Nellie van Vulpen 25-34 2006")</f>
        <v>0</v>
      </c>
    </row>
    <row r="7523" spans="2:4">
      <c r="B7523">
        <v>100</v>
      </c>
      <c r="C7523" s="1">
        <f>hyperlink("https://hetutrechtsarchief.nl/collectie/4C608BDE589F5A8C9E2BFC8CA64E24F3","Boerderij Kraaijkamp gerestaureerd historisch karakter boerenerf hersteld Albert van Engelenhoven 35-41 2006")</f>
        <v>0</v>
      </c>
      <c r="D7523" s="1">
        <f>hyperlink("http://www.historischekringhoogland.nl/pagina165.html","Boerderij Kraaijkamp gerestaureerd historisch karakter boerenerf hersteld Albert van Engelenhoven 35-41 2006")</f>
        <v>0</v>
      </c>
    </row>
    <row r="7524" spans="2:4">
      <c r="B7524">
        <v>100</v>
      </c>
      <c r="C7524" s="1">
        <f>hyperlink("https://hetutrechtsarchief.nl/collectie/6F764D60855353BE972EF34C83A1F0A6","De grote vakantie van de boerenjeugd voor 1948 kinderfeesten ranja apenoten en schoekertje Jaap Voorburg 42-44 2006")</f>
        <v>0</v>
      </c>
      <c r="D7524" s="1">
        <f>hyperlink("http://www.historischekringhoogland.nl/pagina166.html","De grote vakantie van de boerenjeugd voor 1948 kinderfeesten ranja apenoten en schoekertje Jaap Voorburg 42-44 2006")</f>
        <v>0</v>
      </c>
    </row>
    <row r="7525" spans="2:4">
      <c r="B7525">
        <v>100</v>
      </c>
      <c r="C7525" s="1">
        <f>hyperlink("https://hetutrechtsarchief.nl/collectie/D476D8CDB12C53B896493B294B705057","Priester Ren van Eijden herinneringen bij een menukaart Jaap Voorburg 49-55 2006")</f>
        <v>0</v>
      </c>
      <c r="D7525" s="1">
        <f>hyperlink("http://www.historischekringhoogland.nl/pagina167.html","Priester Ren van Eijden herinneringen bij een menukaart Jaap Voorburg 49-55 2006")</f>
        <v>0</v>
      </c>
    </row>
    <row r="7526" spans="2:4">
      <c r="B7526">
        <v>100</v>
      </c>
      <c r="C7526" s="1">
        <f>hyperlink("https://hetutrechtsarchief.nl/collectie/54753A8E5D8557EA8107DA5B4836B9A7","Frederik Johannes Spruijt geneesheer te Hoogland 1867-1873 Nellie van Vulpen 56-58 2006")</f>
        <v>0</v>
      </c>
      <c r="D7526" s="1">
        <f>hyperlink("http://www.historischekringhoogland.nl/pagina168.html","Frederik Johannes Spruijt geneesheer te Hoogland 1867-1873 Nellie van Vulpen 56-58 2006")</f>
        <v>0</v>
      </c>
    </row>
    <row r="7527" spans="2:4">
      <c r="B7527">
        <v>86</v>
      </c>
      <c r="C7527" s="1">
        <f>hyperlink("https://hetutrechtsarchief.nl/collectie/19157BB14CED53399CE641E8B1007B2E","Klein Emiclaer tweeling van Bosserdijk het verhaal van Ten Bosch eindelijk compleet deel 1 Gerard Raven 59-67 2006")</f>
        <v>0</v>
      </c>
      <c r="D7527" s="1">
        <f>hyperlink("http://www.historischekringhoogland.nl/pagina169.html;http://www.historischekringhoogland.nl/pagina173.html","Klein Emiclaer tweeling van Bosserdijk het verhaal van Ten Bosch eindelijk compleet Gerard Raven 59-67 jg 13 2007 nr 1 p 14-25 2006-2007")</f>
        <v>0</v>
      </c>
    </row>
    <row r="7528" spans="2:4">
      <c r="B7528">
        <v>100</v>
      </c>
      <c r="C7528" s="1">
        <f>hyperlink("https://hetutrechtsarchief.nl/collectie/E2284494EFBF569C8767C32E3249FFD6","Bouwonderneming Van Bekkum tachtig jaar en drie generaties vakwerk Cees van den Heuvel 1-7 2007")</f>
        <v>0</v>
      </c>
      <c r="D7528" s="1">
        <f>hyperlink("http://www.historischekringhoogland.nl/pagina171.html","Bouwonderneming Van Bekkum tachtig jaar en drie generaties vakwerk Cees van den Heuvel 1-7 2007")</f>
        <v>0</v>
      </c>
    </row>
    <row r="7529" spans="2:4">
      <c r="B7529">
        <v>85</v>
      </c>
      <c r="C7529" s="1">
        <f>hyperlink("https://hetutrechtsarchief.nl/collectie/E580A2D42C9757779E9684D0ABBBBDE5","Dichtbij en toch vreemd het laatste oorlogsjaar 1944-1945 Jaap Voorburg 8-13 2007")</f>
        <v>0</v>
      </c>
      <c r="D7529" s="1">
        <f>hyperlink("http://www.historischekringhoogland.nl/pagina172.html","Dichtbij en toch vreemd het laatste oorlogsjaar 1944-1945 Cato Voorburg Jaap Hansen-van Velp 8-13 2007")</f>
        <v>0</v>
      </c>
    </row>
    <row r="7530" spans="2:4">
      <c r="B7530">
        <v>74</v>
      </c>
      <c r="C7530" s="1">
        <f>hyperlink("https://hetutrechtsarchief.nl/collectie/5B79511B6D06528B9BA425EDA00A4745","Uit het archief Hamseweg in mei 1940 Gijs Hilhorst fotogr Bernard van Dam 25 2007")</f>
        <v>0</v>
      </c>
      <c r="D7530" s="1">
        <f>hyperlink("http://www.historischekringhoogland.nl/pagina174.html","Uit het archief Hamseweg in mei 1940 Bernard van Hilhorst Gijs Dam 1-7 2007")</f>
        <v>0</v>
      </c>
    </row>
    <row r="7531" spans="2:4">
      <c r="B7531">
        <v>100</v>
      </c>
      <c r="C7531" s="1">
        <f>hyperlink("https://hetutrechtsarchief.nl/collectie/2A39808BEE705DC2B836BFFA3F211C8D","Firma Kreijne drie generaties garage- en pomphouder Gerda van Piggelen-Voskuilen 33-40 2007")</f>
        <v>0</v>
      </c>
      <c r="D7531" s="1">
        <f>hyperlink("http://www.historischekringhoogland.nl/pagina175.html","Firma Kreijne drie generaties garage- en pomphouder Gerda van Piggelen-Voskuilen 33-40 2007")</f>
        <v>0</v>
      </c>
    </row>
    <row r="7532" spans="2:4">
      <c r="B7532">
        <v>100</v>
      </c>
      <c r="C7532" s="1">
        <f>hyperlink("https://hetutrechtsarchief.nl/collectie/B7AB48E93606546E8060B3B3474D4450","Watersnoodramp 1916 de overstroming van de Eempolders in 1916 Robert Vos 61-69 2007")</f>
        <v>0</v>
      </c>
      <c r="D7532" s="1">
        <f>hyperlink("http://www.historischekringhoogland.nl/pagina177.html","Watersnoodramp 1916 de overstroming van de Eempolders in 1916 Robert Vos 61-69 2007")</f>
        <v>0</v>
      </c>
    </row>
    <row r="7533" spans="2:4">
      <c r="B7533">
        <v>63</v>
      </c>
      <c r="C7533" s="1">
        <f>hyperlink("https://hetutrechtsarchief.nl/collectie/D53CE33AC80D5865A3A5B41A0BFA7C61","Kleine geneugten 3 jeugdherinneringen Gon van den Beld-van Willigenburg 42-45 2008")</f>
        <v>0</v>
      </c>
      <c r="D7533" s="1">
        <f>hyperlink("http://www.historischekringhoogland.nl/pagina178.html;http://www.historischekringhoogland.nl/pagina195.html;http://www.historischekringhoogland.nl/pagina203.html;http://www.historischekringhoogland.nl/pagina207.html;http://www.historischekringhoogland.nl/pagina231.html;http://www.historischekringhoogland.nl/pagina247.html","Kleine geneugten jeugdherinneringen Gon van den Beld-van Willigenburg 70-75 jg 14 2008 nr 1 p 10-15 nr 2 p 42-45 nr 3 p 72-75 jg 15 2009 nr 1 p 8-10 nr 3 p 128-132 2007-2009")</f>
        <v>0</v>
      </c>
    </row>
    <row r="7534" spans="2:4">
      <c r="B7534">
        <v>81</v>
      </c>
      <c r="C7534" s="1">
        <f>hyperlink("https://hetutrechtsarchief.nl/collectie/AF971EB2EB5A5E668A8820D1B1E34FD4","Vreemdelingen in Hoogland 1955-1964 hoe integreerden de nieuwkomers 3 Gerard Raven 48-52 2008")</f>
        <v>0</v>
      </c>
      <c r="D7534" s="1">
        <f>hyperlink("http://www.historischekringhoogland.nl/pagina179.html;http://www.historischekringhoogland.nl/pagina196.html;http://www.historischekringhoogland.nl/pagina204.html","Vreemdelingen in Hoogland 1955-1964 hoe integreerden de nieuwkomers Gerard Raven 76-79 jg 14 2008 nr 1 p 16-19 nr 2 p 48-52 2007-2008")</f>
        <v>0</v>
      </c>
    </row>
    <row r="7535" spans="2:4">
      <c r="B7535">
        <v>100</v>
      </c>
      <c r="C7535" s="1">
        <f>hyperlink("https://hetutrechtsarchief.nl/collectie/398BDE71685D547695726763E3AB2E86","Hoe vonden zij elkaar deresklitsen en ander jeugdvermaak Jaap Voorburg 80-83 2007")</f>
        <v>0</v>
      </c>
      <c r="D7535" s="1">
        <f>hyperlink("http://www.historischekringhoogland.nl/pagina180.html","Hoe vonden zij elkaar deresklitsen en ander jeugdvermaak Jaap Voorburg 80-83 2007")</f>
        <v>0</v>
      </c>
    </row>
    <row r="7536" spans="2:4">
      <c r="B7536">
        <v>100</v>
      </c>
      <c r="C7536" s="1">
        <f>hyperlink("https://hetutrechtsarchief.nl/collectie/E72249305CAE5002BE749412C87BA8AE","Het bestuur vijf voor twaalf Gijs Hilhorst 51-53 2005")</f>
        <v>0</v>
      </c>
      <c r="D7536" s="1">
        <f>hyperlink("http://www.historischekringhoogland.nl/pagina187.html","Het bestuur vijf voor twaalf Gijs Hilhorst 51-53 2005")</f>
        <v>0</v>
      </c>
    </row>
    <row r="7537" spans="2:4">
      <c r="B7537">
        <v>100</v>
      </c>
      <c r="C7537" s="1">
        <f>hyperlink("https://hetutrechtsarchief.nl/collectie/1F9DF4B267365CAE8AAEA2F19509AF93","Een levende vereniging groei en bloei Ria Hilhorst 54-56 2005")</f>
        <v>0</v>
      </c>
      <c r="D7537" s="1">
        <f>hyperlink("http://www.historischekringhoogland.nl/pagina188.html","Een levende vereniging groei en bloei Ria Hilhorst 54-56 2005")</f>
        <v>0</v>
      </c>
    </row>
    <row r="7538" spans="2:4">
      <c r="B7538">
        <v>88</v>
      </c>
      <c r="C7538" s="1">
        <f>hyperlink("https://hetutrechtsarchief.nl/collectie/A017178D43995551A5B6DFDB88B30466","Het documentatiecentrum bron van kennis en gezelligheid Peter Kok en Arie van den Heuvel 57-62 2005")</f>
        <v>0</v>
      </c>
      <c r="D7538" s="1">
        <f>hyperlink("http://www.historischekringhoogland.nl/pagina189.html","Het documentatiecentrum bron van kennis en gezelligheid Arie van den Kok Peter Heuvel 57-62 2005")</f>
        <v>0</v>
      </c>
    </row>
    <row r="7539" spans="2:4">
      <c r="B7539">
        <v>100</v>
      </c>
      <c r="C7539" s="1">
        <f>hyperlink("https://hetutrechtsarchief.nl/collectie/4B39689FF9C05A69A814A23BC46B3EBA","De Bewaarsman het tijdschrift met veel kopij Nellie van Vulpen 63-68 2005")</f>
        <v>0</v>
      </c>
      <c r="D7539" s="1">
        <f>hyperlink("http://www.historischekringhoogland.nl/pagina190.html","De Bewaarsman het tijdschrift met veel kopij Nellie van Vulpen 63-68 2005")</f>
        <v>0</v>
      </c>
    </row>
    <row r="7540" spans="2:4">
      <c r="B7540">
        <v>100</v>
      </c>
      <c r="C7540" s="1">
        <f>hyperlink("https://hetutrechtsarchief.nl/collectie/EBB9D065080852C18ED0AAFD99F7B829","De Hooglandse Historische Reeks van nmalig themanummer tot serie Arie van den Heuvel 69-75 2005")</f>
        <v>0</v>
      </c>
      <c r="D7540" s="1">
        <f>hyperlink("http://www.historischekringhoogland.nl/pagina191.html","De Hooglandse Historische Reeks van nmalig themanummer tot serie Arie van den Heuvel 69-75 2005")</f>
        <v>0</v>
      </c>
    </row>
    <row r="7541" spans="2:4">
      <c r="B7541">
        <v>100</v>
      </c>
      <c r="C7541" s="1">
        <f>hyperlink("https://hetutrechtsarchief.nl/collectie/4C2E71B63B325BE087F8F7A15F40B2B9","Groot Calveen geboortehuis op schilderij Ria Hilhorst 76-77 2005")</f>
        <v>0</v>
      </c>
      <c r="D7541" s="1">
        <f>hyperlink("http://www.historischekringhoogland.nl/pagina192.html","Groot Calveen geboortehuis op schilderij Ria Hilhorst 76-77 2005")</f>
        <v>0</v>
      </c>
    </row>
    <row r="7542" spans="2:4">
      <c r="B7542">
        <v>100</v>
      </c>
      <c r="C7542" s="1">
        <f>hyperlink("https://hetutrechtsarchief.nl/collectie/ACDDE1DDAA18559581D8C20723B1B912","Pieken en dalen transportbedrijf Hoogland b v 1928-2008 Cees van den Heuvel 1-8 2008")</f>
        <v>0</v>
      </c>
      <c r="D7542" s="1">
        <f>hyperlink("http://www.historischekringhoogland.nl/pagina194.html","Pieken en dalen transportbedrijf Hoogland b v 1928-2008 Cees van den Heuvel 1-8 2008")</f>
        <v>0</v>
      </c>
    </row>
    <row r="7543" spans="2:4">
      <c r="B7543">
        <v>100</v>
      </c>
      <c r="C7543" s="1">
        <f>hyperlink("https://hetutrechtsarchief.nl/collectie/39C67643ED46501B8F07E4F90FAA2D72","Jeugdclub t Splintertje Hooglandse jongeren in de jaren vijftig Nellie van Vulpen 29-34 2008")</f>
        <v>0</v>
      </c>
      <c r="D7543" s="1">
        <f>hyperlink("http://www.historischekringhoogland.nl/pagina200.html","Jeugdclub t Splintertje Hooglandse jongeren in de jaren vijftig Nellie van Vulpen 29-34 2008")</f>
        <v>0</v>
      </c>
    </row>
    <row r="7544" spans="2:4">
      <c r="B7544">
        <v>100</v>
      </c>
      <c r="C7544" s="1">
        <f>hyperlink("https://hetutrechtsarchief.nl/collectie/C56D8934A4205056A74B7AF4BDC9DBF7","Veiling van een erfenis Dirk Penterman s vierde portie in een malenhoef Jan Penterman 35-37 2008")</f>
        <v>0</v>
      </c>
      <c r="D7544" s="1">
        <f>hyperlink("http://www.historischekringhoogland.nl/pagina201.html","Veiling van een erfenis Dirk Penterman s vierde portie in een malenhoef Jan Penterman 35-37 2008")</f>
        <v>0</v>
      </c>
    </row>
    <row r="7545" spans="2:4">
      <c r="B7545">
        <v>100</v>
      </c>
      <c r="C7545" s="1">
        <f>hyperlink("https://hetutrechtsarchief.nl/collectie/698C1397513C5D4897E4486020FB2560","Watersnood in Eemland in 1916 herinnneringen van de familie Rooke Ineke Bos-Rooke 38-41 2008")</f>
        <v>0</v>
      </c>
      <c r="D7545" s="1">
        <f>hyperlink("http://www.historischekringhoogland.nl/pagina202.html","Watersnood in Eemland in 1916 herinnneringen van de familie Rooke Ineke Bos-Rooke 38-41 2008")</f>
        <v>0</v>
      </c>
    </row>
    <row r="7546" spans="2:4">
      <c r="B7546">
        <v>100</v>
      </c>
      <c r="C7546" s="1">
        <f>hyperlink("https://hetutrechtsarchief.nl/collectie/82DB4D19524B53A4AC20E467A79605F9","Het Houteveen 1918-2008 onderdeel van Houtrust een dynamisch bedrijf Cees van den Heuvel 57-68 2008")</f>
        <v>0</v>
      </c>
      <c r="D7546" s="1">
        <f>hyperlink("http://www.historischekringhoogland.nl/pagina205.html","Het Houteveen 1918-2008 onderdeel van Houtrust een dynamisch bedrijf Cees van den Heuvel 57-68 2008")</f>
        <v>0</v>
      </c>
    </row>
    <row r="7547" spans="2:4">
      <c r="B7547">
        <v>86</v>
      </c>
      <c r="C7547" s="1">
        <f>hyperlink("https://hetutrechtsarchief.nl/collectie/7A9AAF93EB735ABF933DC70CF947DC84","Bronswerkers in Hoogland 1 ervaringen van Wil en Jannie Mertens 1961-1975 Gerard Raven 69-71 2008")</f>
        <v>0</v>
      </c>
      <c r="D7547" s="1">
        <f>hyperlink("http://www.historischekringhoogland.nl/pagina206.html;http://www.historischekringhoogland.nl/pagina233.html","Bronswerkers in Hoogland ervaringen van Wil en Jannie Mertens 1961-1975 Gerard Raven 69-71 jg 15 2009 nr 1 p 20-23 2008-2009")</f>
        <v>0</v>
      </c>
    </row>
    <row r="7548" spans="2:4">
      <c r="B7548">
        <v>100</v>
      </c>
      <c r="C7548" s="1">
        <f>hyperlink("https://hetutrechtsarchief.nl/collectie/BA500FAF967954268EABAA83024F735F","Niet spuwen pruimtabak een gat in de markt Jaap Voorburg 76-77 2008")</f>
        <v>0</v>
      </c>
      <c r="D7548" s="1">
        <f>hyperlink("http://www.historischekringhoogland.nl/pagina208.html","Niet spuwen pruimtabak een gat in de markt Jaap Voorburg 76-77 2008")</f>
        <v>0</v>
      </c>
    </row>
    <row r="7549" spans="2:4">
      <c r="B7549">
        <v>100</v>
      </c>
      <c r="C7549" s="1">
        <f>hyperlink("https://hetutrechtsarchief.nl/collectie/BDCA7D34A20250BCA8783C4D05ADE38D","Recht door zee een belijdenisprent uit 1944 Gerard Raven 78-79 2008")</f>
        <v>0</v>
      </c>
      <c r="D7549" s="1">
        <f>hyperlink("http://www.historischekringhoogland.nl/pagina209.html","Recht door zee een belijdenisprent uit 1944 Gerard Raven 78-79 2008")</f>
        <v>0</v>
      </c>
    </row>
    <row r="7550" spans="2:4">
      <c r="B7550">
        <v>100</v>
      </c>
      <c r="C7550" s="1">
        <f>hyperlink("https://hetutrechtsarchief.nl/collectie/A3C5CF128A2953C49848A6A48097320B","Jeugdecho een braaf jongerenblad uit de jaren vijftig Leen Keizer 1-7 2009")</f>
        <v>0</v>
      </c>
      <c r="D7550" s="1">
        <f>hyperlink("http://www.historischekringhoogland.nl/pagina230.html","Jeugdecho een braaf jongerenblad uit de jaren vijftig Leen Keizer 1-7 2009")</f>
        <v>0</v>
      </c>
    </row>
    <row r="7551" spans="2:4">
      <c r="B7551">
        <v>100</v>
      </c>
      <c r="C7551" s="1">
        <f>hyperlink("https://hetutrechtsarchief.nl/collectie/02FFE73B34255C1A8781FEDE7B0375FD","Eggenkamp een familie van rietdekkers Jan Penterman 11-19 2009")</f>
        <v>0</v>
      </c>
      <c r="D7551" s="1">
        <f>hyperlink("http://www.historischekringhoogland.nl/pagina232.html","Eggenkamp een familie van rietdekkers Jan Penterman 11-19 2009")</f>
        <v>0</v>
      </c>
    </row>
    <row r="7552" spans="2:4">
      <c r="B7552">
        <v>100</v>
      </c>
      <c r="C7552" s="1">
        <f>hyperlink("https://hetutrechtsarchief.nl/collectie/A7238CB8D2BD52B88B590B862C8E4060","Onder de plak Hoogland en Amersfoort in de Middeleeuwen Gerard Raven 31-38 2009")</f>
        <v>0</v>
      </c>
      <c r="D7552" s="1">
        <f>hyperlink("http://www.historischekringhoogland.nl/pagina235.html","Onder de plak Hoogland en Amersfoort in de Middeleeuwen Gerard Raven 31-38 2009")</f>
        <v>0</v>
      </c>
    </row>
    <row r="7553" spans="2:4">
      <c r="B7553">
        <v>100</v>
      </c>
      <c r="C7553" s="1">
        <f>hyperlink("https://hetutrechtsarchief.nl/collectie/BCB0C229692957DB9D2DC174EA5B1969","Een Amersfoortse heer in Hoogland de landerijen van Johan van Oldenbarnevelt Gerard Raven 39-45 2009")</f>
        <v>0</v>
      </c>
      <c r="D7553" s="1">
        <f>hyperlink("http://www.historischekringhoogland.nl/pagina236.html","Een Amersfoortse heer in Hoogland de landerijen van Johan van Oldenbarnevelt Gerard Raven 39-45 2009")</f>
        <v>0</v>
      </c>
    </row>
    <row r="7554" spans="2:4">
      <c r="B7554">
        <v>100</v>
      </c>
      <c r="C7554" s="1">
        <f>hyperlink("https://hetutrechtsarchief.nl/collectie/67284F38D5D952A08C74115CE8D46514","Hoogland en Amersfoort een nieuwe tijd nieuwe verhoudingen de invloed van bestuur en burgers van Amersfoort op Hoogland 1800-1974 Ria Hilhorst 62-72 2009")</f>
        <v>0</v>
      </c>
      <c r="D7554" s="1">
        <f>hyperlink("http://www.historischekringhoogland.nl/pagina238.html","Hoogland en Amersfoort een nieuwe tijd nieuwe verhoudingen de invloed van bestuur en burgers van Amersfoort op Hoogland 1800-1974 Ria Hilhorst 62-72 2009")</f>
        <v>0</v>
      </c>
    </row>
    <row r="7555" spans="2:4">
      <c r="B7555">
        <v>100</v>
      </c>
      <c r="C7555" s="1">
        <f>hyperlink("https://hetutrechtsarchief.nl/collectie/A5D3C5FA071052B0A0E4232590AFB99D","De gebiedsverliezen van Hoogland in 1940 en 1960 het Welvaren en Klein Liendert in de maalstroom Henk Tolboom 79-84 2009")</f>
        <v>0</v>
      </c>
      <c r="D7555" s="1">
        <f>hyperlink("http://www.historischekringhoogland.nl/pagina239.html","De gebiedsverliezen van Hoogland in 1940 en 1960 het Welvaren en Klein Liendert in de maalstroom Henk Tolboom 79-84 2009")</f>
        <v>0</v>
      </c>
    </row>
    <row r="7556" spans="2:4">
      <c r="B7556">
        <v>100</v>
      </c>
      <c r="C7556" s="1">
        <f>hyperlink("https://hetutrechtsarchief.nl/collectie/A8BB21BC74065D2B895BBCFE189B0810","Herinneringen aan de annexatie van Hoogland interviews met vier Hooglanders Paul Jansen 93-103 2009")</f>
        <v>0</v>
      </c>
      <c r="D7556" s="1">
        <f>hyperlink("http://www.historischekringhoogland.nl/pagina240.html","Herinneringen aan de annexatie van Hoogland interviews met vier Hooglanders Paul Jansen 93-103 2009")</f>
        <v>0</v>
      </c>
    </row>
    <row r="7557" spans="2:4">
      <c r="B7557">
        <v>100</v>
      </c>
      <c r="C7557" s="1">
        <f>hyperlink("https://hetutrechtsarchief.nl/collectie/ED49AD10140157988716E8DD88EBCD5C","Sint Joris en de draak herinneringen aan Amersfoort in de jaren dertig Jaap Voorburg 73-78 2009")</f>
        <v>0</v>
      </c>
      <c r="D7557" s="1">
        <f>hyperlink("http://www.historischekringhoogland.nl/pagina241.html","Sint Joris en de draak herinneringen aan Amersfoort in de jaren dertig Jaap Voorburg 73-78 2009")</f>
        <v>0</v>
      </c>
    </row>
    <row r="7558" spans="2:4">
      <c r="B7558">
        <v>100</v>
      </c>
      <c r="C7558" s="1">
        <f>hyperlink("https://hetutrechtsarchief.nl/collectie/8889B2ECCCC75226A9A6D9AD7A6596FF","Van studentenkamers naar vier gezinnen onder n dak boerderij Groot Liendert van Van t Klooster Guido de Wijs 85-92 2009")</f>
        <v>0</v>
      </c>
      <c r="D7558" s="1">
        <f>hyperlink("http://www.historischekringhoogland.nl/pagina243.html","Van studentenkamers naar vier gezinnen onder n dak boerderij Groot Liendert van Van t Klooster Guido de Wijs 85-92 2009")</f>
        <v>0</v>
      </c>
    </row>
    <row r="7559" spans="2:4">
      <c r="B7559">
        <v>89</v>
      </c>
      <c r="C7559" s="1">
        <f>hyperlink("https://hetutrechtsarchief.nl/collectie/DC1C6689DDD35C119F3D9F296E1FF231","Dubbel-Zeskamp en Spel zonder Grenzen Hoogland levert sportieve strijd in annexatietijd 1 Arie van den Heuvel 109-117 2009")</f>
        <v>0</v>
      </c>
      <c r="D7559" s="1">
        <f>hyperlink("http://www.historischekringhoogland.nl/pagina244.html","Dubbel-Zeskamp en Spel zonder Grenzen Hoogland levert sportieve strijd in annexatietijd Arie van den Heuvel 109-117 jg 16 2010 nr 1 p 1-9 2009-2010")</f>
        <v>0</v>
      </c>
    </row>
    <row r="7560" spans="2:4">
      <c r="B7560">
        <v>100</v>
      </c>
      <c r="C7560" s="1">
        <f>hyperlink("https://hetutrechtsarchief.nl/collectie/105F7768375D5DFDB76694C0DB71BC75","Hoogland-Amersfoort meer dan 750 jaar buren Guido de Wijs 118-123 2009")</f>
        <v>0</v>
      </c>
      <c r="D7560" s="1">
        <f>hyperlink("http://www.historischekringhoogland.nl/pagina245.html","Hoogland-Amersfoort meer dan 750 jaar buren Guido de Wijs 118-123 2009")</f>
        <v>0</v>
      </c>
    </row>
    <row r="7561" spans="2:4">
      <c r="B7561">
        <v>100</v>
      </c>
      <c r="C7561" s="1">
        <f>hyperlink("https://hetutrechtsarchief.nl/collectie/2BD209F21F6750798C12051E0FACE9E5","Darwin en de stier van de bewaarsman selectie en productiviteit Jaap Voorburg 124-127 2009")</f>
        <v>0</v>
      </c>
      <c r="D7561" s="1">
        <f>hyperlink("http://www.historischekringhoogland.nl/pagina246.html","Darwin en de stier van de bewaarsman selectie en productiviteit Jaap Voorburg 124-127 2009")</f>
        <v>0</v>
      </c>
    </row>
    <row r="7562" spans="2:4">
      <c r="B7562">
        <v>61</v>
      </c>
      <c r="C7562" s="1">
        <f>hyperlink("https://hetutrechtsarchief.nl/collectie/4D3E5C5EF2755B779A8505E58803C0B4","Een boek van belang Daan H Werner 15-19 1999")</f>
        <v>0</v>
      </c>
      <c r="D7562" s="1">
        <f>hyperlink("http://www.historischekringhoogland.nl/pagina45.html","Het beroep van bewaarsman Wim de Ridder 3-6 1996")</f>
        <v>0</v>
      </c>
    </row>
    <row r="7563" spans="2:4">
      <c r="B7563">
        <v>57</v>
      </c>
      <c r="C7563" s="1">
        <f>hyperlink("https://hetutrechtsarchief.nl/collectie/C04B2B56C33E529AA263848262FB6291","Bidprentje Gijsbert Hilhorst 31-32 2008")</f>
        <v>0</v>
      </c>
      <c r="D7563" s="1">
        <f>hyperlink("http://www.historischekringhoogland.nl/pagina46.html","Boerderij Kattenbroek Gijs Hilhorst 7-13 1996")</f>
        <v>0</v>
      </c>
    </row>
    <row r="7564" spans="2:4">
      <c r="B7564">
        <v>57</v>
      </c>
      <c r="C7564" s="1">
        <f>hyperlink("https://hetutrechtsarchief.nl/collectie/7033290667B45D69B67FA69D6A9E519E","De Co peratieve Boerenleenbank te Waverveen Joop Frankenhuizen 17-25 ill portr 1998")</f>
        <v>0</v>
      </c>
      <c r="D7564" s="1">
        <f>hyperlink("http://www.historischekringhoogland.nl/pagina49.html","De Co peratieve Rabobank 100 jaar Gijs Hilhorst 33 1996")</f>
        <v>0</v>
      </c>
    </row>
    <row r="7565" spans="2:4">
      <c r="B7565">
        <v>51</v>
      </c>
      <c r="C7565" s="1">
        <f>hyperlink("https://hetutrechtsarchief.nl/collectie/94F05477A2541657E0534701000A51DB","Ik wist goed waar vraag naar was In gesprek met antiquaar Andr Swertz J F Heijbroek en Nick ter Wal 46-53 2019")</f>
        <v>0</v>
      </c>
      <c r="D7565" s="1">
        <f>hyperlink("http://www.historischekringhoogland.nl/pagina5.html","Flerik Botterbloem 100 jaar vraaggesprek met Paul Jansen 9 februari 1996 Paul Jansen 19-22 1996")</f>
        <v>0</v>
      </c>
    </row>
    <row r="7566" spans="2:4">
      <c r="B7566">
        <v>59</v>
      </c>
      <c r="C7566" s="1">
        <f>hyperlink("https://hetutrechtsarchief.nl/collectie/9208DFAC951256AF8FDA454E6A14A8B7","Boerderij De Geer onderdak Albert van Engelenhoven 16 2006")</f>
        <v>0</v>
      </c>
      <c r="D7566" s="1">
        <f>hyperlink("http://www.historischekringhoogland.nl/pagina50.html","Boerderij De Geer Hans den Hilhorst Gijs Jansen Paul Boer 34-40 1996")</f>
        <v>0</v>
      </c>
    </row>
    <row r="7567" spans="2:4">
      <c r="B7567">
        <v>60</v>
      </c>
      <c r="C7567" s="1">
        <f>hyperlink("https://hetutrechtsarchief.nl/collectie/3272C0D836715D54AEA99E54F1566F71","Naamgevers van straten in de Hooglandse wijk De Biezen deel 1 Nellie van Vulpen 97-101 1999")</f>
        <v>0</v>
      </c>
      <c r="D7567" s="1">
        <f>hyperlink("http://www.historischekringhoogland.nl/pagina51.html","Wegemis re in Hoogland de Calveensche weg niet te gebruiken Nellie van Vulpen 41-42 1996")</f>
        <v>0</v>
      </c>
    </row>
    <row r="7568" spans="2:4">
      <c r="B7568">
        <v>54</v>
      </c>
      <c r="C7568" s="1">
        <f>hyperlink("https://hetutrechtsarchief.nl/collectie/C37C1E2F4C235F1CA51A285C065BADF1","Lutheranen in Baarn Gerard Raven 34-40 2012")</f>
        <v>0</v>
      </c>
      <c r="D7568" s="1">
        <f>hyperlink("http://www.historischekringhoogland.nl/pagina52.html","50 maal Paardesportdag Gerard Raven 42-43 1996")</f>
        <v>0</v>
      </c>
    </row>
    <row r="7569" spans="2:4">
      <c r="B7569">
        <v>62</v>
      </c>
      <c r="C7569" s="1">
        <f>hyperlink("https://hetutrechtsarchief.nl/collectie/3272C0D836715D54AEA99E54F1566F71","Naamgevers van straten in de Hooglandse wijk De Biezen deel 1 Nellie van Vulpen 97-101 1999")</f>
        <v>0</v>
      </c>
      <c r="D7569" s="1">
        <f>hyperlink("http://www.historischekringhoogland.nl/pagina53.html","50 jaar voetballen in Hoogland en Hooglanderveen Nellie van Vulpen 44-46 1996")</f>
        <v>0</v>
      </c>
    </row>
    <row r="7570" spans="2:4">
      <c r="B7570">
        <v>60</v>
      </c>
      <c r="C7570" s="1">
        <f>hyperlink("https://hetutrechtsarchief.nl/collectie/43E2C77838195BDD81BA946B11F1F8F7","Boederij De Geer het behouden waard Gerard Raven 18-20 2006")</f>
        <v>0</v>
      </c>
      <c r="D7570" s="1">
        <f>hyperlink("http://www.historischekringhoogland.nl/pagina54.html","Boerderij Sneul toen en straks Gerard Raven 46-47 1996")</f>
        <v>0</v>
      </c>
    </row>
    <row r="7571" spans="2:4">
      <c r="B7571">
        <v>58</v>
      </c>
      <c r="C7571" s="1">
        <f>hyperlink("https://hetutrechtsarchief.nl/collectie/39B5BC6558CA5D348B340AB5274C2C8F","De Groene Waterman - Kees 4-5 1985")</f>
        <v>0</v>
      </c>
      <c r="D7571" s="1">
        <f>hyperlink("http://www.historischekringhoogland.nl/pagina55.html","De Hooglandse Waterschappen Piet Smink 49-54 1996")</f>
        <v>0</v>
      </c>
    </row>
    <row r="7572" spans="2:4">
      <c r="B7572">
        <v>64</v>
      </c>
      <c r="C7572" s="1">
        <f>hyperlink("https://hetutrechtsarchief.nl/collectie/3272C0D836715D54AEA99E54F1566F71","Naamgevers van straten in de Hooglandse wijk De Biezen deel 1 Nellie van Vulpen 97-101 1999")</f>
        <v>0</v>
      </c>
      <c r="D7572" s="1">
        <f>hyperlink("http://www.historischekringhoogland.nl/pagina56.html","De belevenissen van een Hooglandse dominee rond 1900 Nellie van Vulpen 54-58 1996")</f>
        <v>0</v>
      </c>
    </row>
    <row r="7573" spans="2:4">
      <c r="B7573">
        <v>55</v>
      </c>
      <c r="C7573" s="1">
        <f>hyperlink("https://hetutrechtsarchief.nl/collectie/8B9584AD24896B62E0534701000A1ABA","Droogmalen met paardenkracht Jan van Es 48-49 2019")</f>
        <v>0</v>
      </c>
      <c r="D7573" s="1">
        <f>hyperlink("http://www.historischekringhoogland.nl/pagina57.html","Hoogland in het rampjaar 1672 Gerard Boom Jan van de Pommer 59-60 1996")</f>
        <v>0</v>
      </c>
    </row>
    <row r="7574" spans="2:4">
      <c r="B7574">
        <v>66</v>
      </c>
      <c r="C7574" s="1">
        <f>hyperlink("https://hetutrechtsarchief.nl/collectie/F5514BE2EA4D58258AE43A7CEFCD7A25","De Hamseweg van 1905 tot 1955 huisje voor huisje 3 Truus Kok-Lasseur 25-30 1998")</f>
        <v>0</v>
      </c>
      <c r="D7574" s="1">
        <f>hyperlink("http://www.historischekringhoogland.nl/pagina59.html","De Hamseweg rond 1905 huisje voor huisje herinneringen van Marie van Putten-Rooke Truus Kok-Lasseur 1-5 1997")</f>
        <v>0</v>
      </c>
    </row>
    <row r="7575" spans="2:4">
      <c r="B7575">
        <v>51</v>
      </c>
      <c r="C7575" s="1">
        <f>hyperlink("https://hetutrechtsarchief.nl/collectie/D216002B9CBF5DA683CF06DD6B738B45","Museale krachten gebundeld in GOUD Mariska Brasser-de Fouw 14-15 2010")</f>
        <v>0</v>
      </c>
      <c r="D7575" s="1">
        <f>hyperlink("http://www.historischekringhoogland.nl/pagina60.html","Streekdracht gedragen in Hoogland Marja Bl court Louis de Buenk Boukje Leijtens 4-7 1997")</f>
        <v>0</v>
      </c>
    </row>
    <row r="7576" spans="2:4">
      <c r="B7576">
        <v>53</v>
      </c>
      <c r="C7576" s="1">
        <f>hyperlink("https://hetutrechtsarchief.nl/collectie/A7AA2E31500B56D390B48BB170ACF09D","Vijf huwelijken der famili n van der Muelen en Verschoor - J C v d M 73 1885")</f>
        <v>0</v>
      </c>
      <c r="D7576" s="1">
        <f>hyperlink("http://www.historischekringhoogland.nl/pagina61.html","De vijf huwelijken van Ebeltje Zandhaar ca 1640- ca 1710 Gerard Pommer 8-10 1997")</f>
        <v>0</v>
      </c>
    </row>
    <row r="7577" spans="2:4">
      <c r="B7577">
        <v>62</v>
      </c>
      <c r="C7577" s="1">
        <f>hyperlink("https://hetutrechtsarchief.nl/collectie/3272C0D836715D54AEA99E54F1566F71","Naamgevers van straten in de Hooglandse wijk De Biezen deel 1 Nellie van Vulpen 97-101 1999")</f>
        <v>0</v>
      </c>
      <c r="D7577" s="1">
        <f>hyperlink("http://www.historischekringhoogland.nl/pagina62.html","Opgravingen in Hoogland brengen talrijke vondsten aan het licht Nellie van Vulpen 10-12 1997")</f>
        <v>0</v>
      </c>
    </row>
    <row r="7578" spans="2:4">
      <c r="B7578">
        <v>60</v>
      </c>
      <c r="C7578" s="1">
        <f>hyperlink("https://hetutrechtsarchief.nl/collectie/D016203E48E25893A9E3213B29AA465D","De familie Smitt in Hoogland Gerard Raven 62-63 2003")</f>
        <v>0</v>
      </c>
      <c r="D7578" s="1">
        <f>hyperlink("http://www.historischekringhoogland.nl/pagina63.html","Amersfoortse architecten bouwden ook in Hoogland Gerard Raven 12-13 1997")</f>
        <v>0</v>
      </c>
    </row>
    <row r="7579" spans="2:4">
      <c r="B7579">
        <v>52</v>
      </c>
      <c r="C7579" s="1">
        <f>hyperlink("https://hetutrechtsarchief.nl/collectie/EE31C8B223505003B1DB935366CD7A49","De malenhoeve Ten Bosch herontdekt Bosserdijk 1300-1650 deel 3 Gerard Raven 112-116 2001")</f>
        <v>0</v>
      </c>
      <c r="D7579" s="1">
        <f>hyperlink("http://www.historischekringhoogland.nl/pagina64.html;http://www.historischekringhoogland.nl/pagina69.html;http://www.historischekringhoogland.nl/pagina71.html","Boerderij Bosserdijk sinds 1620 Gerard Raven 17-21 no 3 p 42-46 no 4 p 50-59 1997")</f>
        <v>0</v>
      </c>
    </row>
    <row r="7580" spans="2:4">
      <c r="B7580">
        <v>88</v>
      </c>
      <c r="C7580" s="1">
        <f>hyperlink("https://hetutrechtsarchief.nl/collectie/F5514BE2EA4D58258AE43A7CEFCD7A25","De Hamseweg van 1905 tot 1955 huisje voor huisje 3 Truus Kok-Lasseur 25-30 1998")</f>
        <v>0</v>
      </c>
      <c r="D7580" s="1">
        <f>hyperlink("http://www.historischekringhoogland.nl/pagina65.html;http://www.historischekringhoogland.nl/pagina68.html","De Hamseweg van 1905 tot 1955 huisje voor huisje Truus Kok-Lasseur 22-28 no 3 p 34-42 1997")</f>
        <v>0</v>
      </c>
    </row>
    <row r="7581" spans="2:4">
      <c r="B7581">
        <v>56</v>
      </c>
      <c r="C7581" s="1">
        <f>hyperlink("https://hetutrechtsarchief.nl/collectie/2ED6242ECF6D5ABBA38ED1204E92F2B1","Een kerkenpad in 1934 Johan Hut 2-6 2011")</f>
        <v>0</v>
      </c>
      <c r="D7581" s="1">
        <f>hyperlink("http://www.historischekringhoogland.nl/pagina67.html","Een begrafenis in 1910 Jan Kaas 33-34 1997")</f>
        <v>0</v>
      </c>
    </row>
    <row r="7582" spans="2:4">
      <c r="B7582">
        <v>59</v>
      </c>
      <c r="C7582" s="1">
        <f>hyperlink("https://hetutrechtsarchief.nl/collectie/BA1C9FE3A83F5027BA61F13F2BD71CB6","Nogmaals de Utrechtse straatnamen Wim van Beusekom 25-29 1949")</f>
        <v>0</v>
      </c>
      <c r="D7582" s="1">
        <f>hyperlink("http://www.historischekringhoogland.nl/pagina70.html","Hooglanderveense straatnamen An Verheul-van Burgsteden 49-50 1997")</f>
        <v>0</v>
      </c>
    </row>
    <row r="7583" spans="2:4">
      <c r="B7583">
        <v>62</v>
      </c>
      <c r="C7583" s="1">
        <f>hyperlink("https://hetutrechtsarchief.nl/collectie/F56A06D957625D3CA6EDF7AE7379B94E","Religieus erfgoed Gerard Raven et al 2-20 2008")</f>
        <v>0</v>
      </c>
      <c r="D7583" s="1">
        <f>hyperlink("http://www.historischekringhoogland.nl/pagina73.html","Hooglands erfgoed Gerard Raven 62 1997")</f>
        <v>0</v>
      </c>
    </row>
    <row r="7584" spans="2:4">
      <c r="B7584">
        <v>100</v>
      </c>
      <c r="C7584" s="1">
        <f>hyperlink("https://hetutrechtsarchief.nl/collectie/AC9F2D76160F5267935C3514F3A89618","Herinneringen van een dorpsonderwijzer brieven van meester P van Dijk over Hoogland in 1920-1923 Liesbeth van Mispelaar 1-3 1998")</f>
        <v>0</v>
      </c>
      <c r="D7584" s="1">
        <f>hyperlink("http://www.historischekringhoogland.nl/pagina84.html","Herinneringen van een dorpsonderwijzer brieven van meester P van Dijk over Hoogland in 1920-1923 Liesbeth van Mispelaar 1-3 1998")</f>
        <v>0</v>
      </c>
    </row>
    <row r="7585" spans="2:4">
      <c r="B7585">
        <v>97</v>
      </c>
      <c r="C7585" s="1">
        <f>hyperlink("https://hetutrechtsarchief.nl/collectie/817D80A11FB2518DABF00C64F81297D5","Historische fietsroute door Hooglanderveen toekomstig Vathorst tekst Gijs Hilhorst 5-11 1998")</f>
        <v>0</v>
      </c>
      <c r="D7585" s="1">
        <f>hyperlink("http://www.historischekringhoogland.nl/pagina86.html","Historische fietsroute door Hooglanderveen toekomstig Vathorst Gijs Hilhorst 5-11 1998")</f>
        <v>0</v>
      </c>
    </row>
    <row r="7586" spans="2:4">
      <c r="B7586">
        <v>82</v>
      </c>
      <c r="C7586" s="1">
        <f>hyperlink("https://hetutrechtsarchief.nl/collectie/707655041A805260BB3D5CF6630C445F","Wateroverlast rond de Laak 1597-1648 Gerard Pommer en Liesbeth van Mispelaar 17-20 1998")</f>
        <v>0</v>
      </c>
      <c r="D7586" s="1">
        <f>hyperlink("http://www.historischekringhoogland.nl/pagina87.html","Wateroverlast rond de Laak 1597-1648 Liesbeth van Pommer Gerard Mispelaar 17-20 1998")</f>
        <v>0</v>
      </c>
    </row>
    <row r="7587" spans="2:4">
      <c r="B7587">
        <v>100</v>
      </c>
      <c r="C7587" s="1">
        <f>hyperlink("https://hetutrechtsarchief.nl/collectie/4929553F31965E55BAA47F6D8B2995F9","Daan Gerritsz de kooiman ca 1655-1703 de oorsprong van de familienaam Van de Kooy Jan van den Boom 20-24 1998")</f>
        <v>0</v>
      </c>
      <c r="D7587" s="1">
        <f>hyperlink("http://www.historischekringhoogland.nl/pagina88.html","Daan Gerritsz de kooiman ca 1655-1703 de oorsprong van de familienaam Van de Kooy Jan van den Boom 20-24 1998")</f>
        <v>0</v>
      </c>
    </row>
    <row r="7588" spans="2:4">
      <c r="B7588">
        <v>100</v>
      </c>
      <c r="C7588" s="1">
        <f>hyperlink("https://hetutrechtsarchief.nl/collectie/0A7EC1E5A3FC521083287627996721C2","Het beroep van bereboer Paul Jansen 33-37 1998")</f>
        <v>0</v>
      </c>
      <c r="D7588" s="1">
        <f>hyperlink("http://www.historischekringhoogland.nl/pagina91.html","Het beroep van bereboer Paul Jansen 33-37 1998")</f>
        <v>0</v>
      </c>
    </row>
    <row r="7589" spans="2:4">
      <c r="B7589">
        <v>84</v>
      </c>
      <c r="C7589" s="1">
        <f>hyperlink("https://hetutrechtsarchief.nl/collectie/72288470B6AC5EEEBD95CD2DCDF1B918","Boerderij Kouwenhoven en de familie Van Kouwenhoven 1400-1650 2 Marcel Kemp en Gerard Raven 53-59 1998")</f>
        <v>0</v>
      </c>
      <c r="D7589" s="1">
        <f>hyperlink("http://www.historischekringhoogland.nl/pagina92.html;http://www.historischekringhoogland.nl/pagina96.html","Boerderij Kouwenhoven en de familie Van Kouwenhoven 1400-1650 Gerard Kemp Marcel Raven 37-43 no 4 p 53-59 1998")</f>
        <v>0</v>
      </c>
    </row>
    <row r="7590" spans="2:4">
      <c r="B7590">
        <v>94</v>
      </c>
      <c r="C7590" s="1">
        <f>hyperlink("https://hetutrechtsarchief.nl/collectie/4C085F3C24E358F79F93262B0F0D2938","Derusklitsen en andere volksgebruiken in Drenthe en Hoogland M A Brouwer J Kaas en H Kremer 81-86 1999")</f>
        <v>0</v>
      </c>
      <c r="D7590" s="1">
        <f>hyperlink("http://www.historischekringhoogland.nl/pagina94.html","Derusklitsen en andere volksgebruiken in Drenthe en Hoogland H Brouwer M A Kaas J Kremer 81-86 1999")</f>
        <v>0</v>
      </c>
    </row>
    <row r="7591" spans="2:4">
      <c r="B7591">
        <v>100</v>
      </c>
      <c r="C7591" s="1">
        <f>hyperlink("https://hetutrechtsarchief.nl/collectie/4322C450C05E53A58A4818F0EFBE7B79","Vinkenhoef Ayolt Brongers 87-94 1999")</f>
        <v>0</v>
      </c>
      <c r="D7591" s="1">
        <f>hyperlink("http://www.historischekringhoogland.nl/pagina97.html","Vinkenhoef Ayolt Brongers 87-94 1999")</f>
        <v>0</v>
      </c>
    </row>
    <row r="7592" spans="2:4">
      <c r="B7592">
        <v>79</v>
      </c>
      <c r="C7592" s="1">
        <f>hyperlink("https://hetutrechtsarchief.nl/collectie/3272C0D836715D54AEA99E54F1566F71","Naamgevers van straten in de Hooglandse wijk De Biezen deel 1 Nellie van Vulpen 97-101 1999")</f>
        <v>0</v>
      </c>
      <c r="D7592" s="1">
        <f>hyperlink("http://www.historischekringhoogland.nl/pagina98.html;http://www.historischekringhoogland.nl/pagina101.html;http://www.historischekringhoogland.nl/pagina103.html","Naamgevers van straten in de Hooglandse wijk De Biezen Nellie van Vulpen 97-101 jg 6 2000 no 1 p 1-8 no 3 p 69-74 1999-2000")</f>
        <v>0</v>
      </c>
    </row>
    <row r="7593" spans="2:4">
      <c r="B7593">
        <v>56</v>
      </c>
      <c r="C7593" s="1">
        <f>hyperlink("https://hetutrechtsarchief.nl/collectie/1421348450025E74B279D47A6B5DCC5A","De Ronde Venen wie keert de wereld om Wim Bos 101-122 1999")</f>
        <v>0</v>
      </c>
      <c r="D7593" s="1">
        <f>hyperlink("http://www.historischekringhoogland.nl/pagina99.html","Bidprentjes en cijfertjes Gerard Pommer 102-103 1999")</f>
        <v>0</v>
      </c>
    </row>
    <row r="7594" spans="2:4">
      <c r="B7594">
        <v>50</v>
      </c>
      <c r="C7594" s="1">
        <f>hyperlink("https://hetutrechtsarchief.nl/collectie/57CA02A83E8C5CAFBB68B019232E280E","Een viertal oude portretten op het kasteel Oudegein R T Muschart 332-336 1932")</f>
        <v>0</v>
      </c>
      <c r="D7594" s="1">
        <f>hyperlink("http://www.historischekringmaarssen.nl/00000194e91323a0e/00000194ea1025206.html","Een fietstocht door Maarssen rond het thema Steengoed H Pouderoyen et al H Pouderoyen 1998")</f>
        <v>0</v>
      </c>
    </row>
    <row r="7595" spans="2:4">
      <c r="B7595">
        <v>100</v>
      </c>
      <c r="C7595" s="1">
        <f>hyperlink("https://hetutrechtsarchief.nl/collectie/3E2C17E34DC0546597CF5913F79A6588","De radicalisering van SS-voorman Feldmeijer Bas Kromhout 30-39 2012")</f>
        <v>0</v>
      </c>
      <c r="D7595" s="1">
        <f>hyperlink("http://www.historischnieuwsblad.nl/nl/artikel/28861/de-radicalisering-van-ss-voorman-feldmeijer.html","De radicalisering van SS-voorman Feldmeijer Bas Kromhout 30-39 2012")</f>
        <v>0</v>
      </c>
    </row>
    <row r="7596" spans="2:4">
      <c r="B7596">
        <v>56</v>
      </c>
      <c r="C7596" s="1">
        <f>hyperlink("https://hetutrechtsarchief.nl/collectie/578D50B0421E585DA716D25E75F7FC43","Hervormd kerkelijk leven in Veenendaal 1860-1866 E J van Beek 3-12 2009")</f>
        <v>0</v>
      </c>
      <c r="D7596" s="1">
        <f>hyperlink("http://www.hogenda.nl/Docs/DocumentView.aspx?KeyValue={50538610-4363-4e43-a61e-334a57a163f8}","Huwelijken Veenendaal 1672-1689 en 1701-1811 M J van Dijken 1987")</f>
        <v>0</v>
      </c>
    </row>
    <row r="7597" spans="2:4">
      <c r="B7597">
        <v>52</v>
      </c>
      <c r="C7597" s="1">
        <f>hyperlink("https://hetutrechtsarchief.nl/collectie/0F4BDBBA998B5E7E8F887865EFCA4E91","Veenendaal en de tram Jan van Oeveren 64-70 2010")</f>
        <v>0</v>
      </c>
      <c r="D7597" s="1">
        <f>hyperlink("http://www.hogenda.nl/hogenda-bronnen/?id=1210","Veenendaal doopboek 1674-1810 G W Brouwer-Verheijen 1990")</f>
        <v>0</v>
      </c>
    </row>
    <row r="7598" spans="2:4">
      <c r="B7598">
        <v>100</v>
      </c>
      <c r="C7598" s="1">
        <f>hyperlink("https://hetutrechtsarchief.nl/collectie/B93EDDAA2207506BB329B2A051E4E18E","Rouwborden De Geer uit de kerk van Jutphaas E J Wolleswinkel 84-88 2008")</f>
        <v>0</v>
      </c>
      <c r="D7598" s="1">
        <f>hyperlink("http://www.hogeraadvanadel.nl/Rouwborden_DeGeer.pdf","Rouwborden De Geer uit de kerk van Jutphaas E J Wolleswinkel 84-88 2008")</f>
        <v>0</v>
      </c>
    </row>
    <row r="7599" spans="2:4">
      <c r="B7599">
        <v>100</v>
      </c>
      <c r="C7599" s="1">
        <f>hyperlink("https://hetutrechtsarchief.nl/collectie/EA7F1ACF5B21504997F10AC607646E2D","Uit de collecties van de Hoge Raad van Adel een zeventiende-eeuws kwartierwapenboek van Joost van Atteveld E J Wolleswinkel 15-25 2010")</f>
        <v>0</v>
      </c>
      <c r="D7599" s="1">
        <f>hyperlink("http://www.hogeraadvanadel.nl/Uit%20de%20collecties%20NL%20127%20(2010)%20015-025.pdf","Uit de collecties van de Hoge Raad van Adel een zeventiende-eeuws kwartierwapenboek van Joost van Atteveld E J Wolleswinkel 15-25 2010")</f>
        <v>0</v>
      </c>
    </row>
    <row r="7600" spans="2:4">
      <c r="B7600">
        <v>53</v>
      </c>
      <c r="C7600" s="1">
        <f>hyperlink("https://hetutrechtsarchief.nl/collectie/FEBEFD3058B453ADAC48171314FA138C","Gereanimeerd erfgoed Nationaal Project Nieuwe Hollandse Waterlinie als format voor het landschapsbeleid Eric Luiten 223-230 2011")</f>
        <v>0</v>
      </c>
      <c r="D7600" s="1">
        <f>hyperlink("http://www.hollandsewaterlinie.nl/uploads/File/Voorbeeldenboek%20NHW-2007-72dpi.pdf","Linie-vormgeving Nieuwe Hollandse Waterlinie inspiratieboek opgesteld door Feddes Olthof Landschapsarchitecten Feddes Olthof Landschapsarchitecten 2007")</f>
        <v>0</v>
      </c>
    </row>
    <row r="7601" spans="2:4">
      <c r="B7601">
        <v>54</v>
      </c>
      <c r="C7601" s="1">
        <f>hyperlink("https://hetutrechtsarchief.nl/collectie/DCA185EE494B55F690386242D4012E69","Vakmanschap restauratie Utrechtse werven pas na stabilisatie 18-20 2011")</f>
        <v>0</v>
      </c>
      <c r="D7601" s="1">
        <f>hyperlink("http://www.idea-utrecht.nl/idea/ondersteuning/de_karavaan","Karavaan stem van kleurrijk Utereg Utrechtse migrantenorganisaties 2006-")</f>
        <v>0</v>
      </c>
    </row>
    <row r="7602" spans="2:4">
      <c r="B7602">
        <v>53</v>
      </c>
      <c r="C7602" s="1">
        <f>hyperlink("https://hetutrechtsarchief.nl/collectie/7141F1E027D4CFECE0534701000A2CF5","Het lager onderwijs in Vianen in de eerste helft van de 19e eeuw Froukje Leeuwenberg-Steegh en Ankie Overgauw 23-29 2015")</f>
        <v>0</v>
      </c>
      <c r="D7602" s="1">
        <f>hyperlink("http://www.iisg.nl/publications/respap43.pdf","Immigranten in Nederland in de eerste helft van de 19e eeuw een onderzoek op basis van de Utrechtse volkstellingen van 1829 en 1839 Jelle van Lottum 2004")</f>
        <v>0</v>
      </c>
    </row>
    <row r="7603" spans="2:4">
      <c r="B7603">
        <v>59</v>
      </c>
      <c r="C7603" s="1">
        <f>hyperlink("https://hetutrechtsarchief.nl/collectie/7C14B4FB35E45F2CBA20D194B79C84BA","De Utrechtse Paulusabdij en de Baarnse Pauluskerk Hans Bronkhorst 2-5 2001")</f>
        <v>0</v>
      </c>
      <c r="D7603" s="1">
        <f>hyperlink("http://www.intermediair.nl/artikel/archief/65201/ecorys-utrecht-bij-economische-top-in-europa.html","Utrecht topstad van Europa Bart van Kwast Paul van der Oosterhout 12-15 2008")</f>
        <v>0</v>
      </c>
    </row>
    <row r="7604" spans="2:4">
      <c r="B7604">
        <v>52</v>
      </c>
      <c r="C7604" s="1">
        <f>hyperlink("https://hetutrechtsarchief.nl/collectie/BC45ADD184625DC79D9814FD4E512FFE","Beschrijving van eenige romeinsche oudheden gevonden te Vechten W J A van Romondt 409 -414 1 pl 1840")</f>
        <v>0</v>
      </c>
      <c r="D7604" s="1">
        <f>hyperlink("http://www.johannesdedoper.com/userfiles/File/BeschrijvingVanDeNieuweKerkTeMontoort.pdf","Beschrijving van de Nieuwe Kerk te Montfoort toegewijd aan den H Joannes den Dooper onder den titel Geboorte van St Joan de Dooper C M J Spaan 1925")</f>
        <v>0</v>
      </c>
    </row>
    <row r="7605" spans="2:4">
      <c r="B7605">
        <v>100</v>
      </c>
      <c r="C7605" s="1">
        <f>hyperlink("https://hetutrechtsarchief.nl/collectie/D90B7CDA5B465F3E9F8772A804E25133","De Cirkel en de antroposofie Jojanneke Clarijs 12-13 2008")</f>
        <v>0</v>
      </c>
      <c r="D7605" s="1">
        <f>hyperlink("http://www.jojannekeclarijs.nl/nieuws1.htm","De Cirkel en de antroposofie Jojanneke Clarijs 12-13 2008")</f>
        <v>0</v>
      </c>
    </row>
    <row r="7606" spans="2:4">
      <c r="B7606">
        <v>100</v>
      </c>
      <c r="C7606" s="1">
        <f>hyperlink("https://hetutrechtsarchief.nl/collectie/DAEC90AEC289527B814E33C5BE3F414E","Markante gebouwen in het Bergkwartier Jojanneke Clarijs 8-9 2008")</f>
        <v>0</v>
      </c>
      <c r="D7606" s="1">
        <f>hyperlink("http://www.jojannekeclarijs.nl/nieuws2.htm","Markante gebouwen in het Bergkwartier Jojanneke Clarijs 8-9 2008")</f>
        <v>0</v>
      </c>
    </row>
    <row r="7607" spans="2:4">
      <c r="B7607">
        <v>55</v>
      </c>
      <c r="C7607" s="1">
        <f>hyperlink("https://hetutrechtsarchief.nl/collectie/73D2DCE12BBC5F19840DA6F2C5E2B491","Het postkantoor te Utrecht H v d Brug 28-30 1935")</f>
        <v>0</v>
      </c>
      <c r="D7607" s="1">
        <f>hyperlink("http://www.jstor.org/stable/1843786","A note on the negotiations for the Peace of Utrecht H N Fieldhouse 274-278 1935")</f>
        <v>0</v>
      </c>
    </row>
    <row r="7608" spans="2:4">
      <c r="B7608">
        <v>55</v>
      </c>
      <c r="C7608" s="1">
        <f>hyperlink("https://hetutrechtsarchief.nl/collectie/6AD738C035B0502BB77BDFF166D7D1CF","Jan van Ekris vertelt Piet Bakker 13-20 2016")</f>
        <v>0</v>
      </c>
      <c r="D7608" s="1">
        <f>hyperlink("http://www.jstor.org/stable/20722585","With Rembrandt and Furnerius to Amersfoort Boudewijn Bakker 198-206 2010")</f>
        <v>0</v>
      </c>
    </row>
    <row r="7609" spans="2:4">
      <c r="B7609">
        <v>67</v>
      </c>
      <c r="C7609" s="1">
        <f>hyperlink("https://hetutrechtsarchief.nl/collectie/1D0D4C5C0EDC523BA4421A85A87ECC4F","De buitenplaats VreedenHoff aan de Vecht Wiesje Dijkxhoorn 60-61 2008")</f>
        <v>0</v>
      </c>
      <c r="D7609" s="1">
        <f>hyperlink("http://www.jstor.org/stable/42723729","Het ijzeren hek van de buitenplaats Vreedenhoff aan de Vecht 39 -40 1889")</f>
        <v>0</v>
      </c>
    </row>
    <row r="7610" spans="2:4">
      <c r="B7610">
        <v>53</v>
      </c>
      <c r="C7610" s="1">
        <f>hyperlink("https://hetutrechtsarchief.nl/collectie/32244E09CA475E8C8B32190A59C0FBFA","Geert Groote en de Domtoren van Utrecht A E Rientjes 51-59 1932")</f>
        <v>0</v>
      </c>
      <c r="D7610" s="1">
        <f>hyperlink("http://www.jstor.org/stable/553430","The Jersey period of the negotiations leading to the Peace of Utrecht G M Trevelyan 100-105 1934")</f>
        <v>0</v>
      </c>
    </row>
    <row r="7611" spans="2:4">
      <c r="B7611">
        <v>59</v>
      </c>
      <c r="C7611" s="1">
        <f>hyperlink("https://hetutrechtsarchief.nl/collectie/0A2E76839DFA57C7B85CED1CCBCC025F","Nog meer ontsnappingen uit Kamp Amersfoort Wicher Zeilmaker 10 2007")</f>
        <v>0</v>
      </c>
      <c r="D7611" s="1">
        <f>hyperlink("http://www.kampamersfoort.nl/fls/dagboekdwfolmer.pdf","Dagboek uit Kamp Amersfoort 1942 Dirk Willem Folmer 2005")</f>
        <v>0</v>
      </c>
    </row>
    <row r="7612" spans="2:4">
      <c r="B7612">
        <v>88</v>
      </c>
      <c r="C7612" s="1">
        <f>hyperlink("https://hetutrechtsarchief.nl/collectie/21CFFD275FFE55B3A043E4BBAA4FBD56","Conservatief op zijn mooist Grand Hotel Karel V tekst Jason van de Veltmaete fotogr Hans Kokx 62-63 2009")</f>
        <v>0</v>
      </c>
      <c r="D7612" s="1">
        <f>hyperlink("http://www.karelv.nl/downloads/Artikel_Utrecht_Business_pagina1.pdf ; http://www.karelv.nl/downloads/Artikel_Utrecht_Business_pagina2.pdf","Conservatief op zijn mooist Grand Hotel Karel V Jason van de Veltmaete 62-63 2009")</f>
        <v>0</v>
      </c>
    </row>
    <row r="7613" spans="2:4">
      <c r="B7613">
        <v>56</v>
      </c>
      <c r="C7613" s="1">
        <f>hyperlink("https://hetutrechtsarchief.nl/collectie/067E8A2841495A3CBE55DC50F580FA67","Open huizen en ridderhofsteden in het Nedersticht I W van Iterson 62-108 ill 1954")</f>
        <v>0</v>
      </c>
      <c r="D7613" s="1">
        <f>hyperlink("http://www.kastelenbeeldbank.nl/_themas/Castellogica/arts/1/p.%20003-017%20De%20afkomst%20der%20Zuilen's%20en%20hun%20optreden%20in%20het%20St.pdf","De afkomst der Zuilen s en hun optreden in het Sticht J M M Wielinga 3-17 1983-1987")</f>
        <v>0</v>
      </c>
    </row>
    <row r="7614" spans="2:4">
      <c r="B7614">
        <v>58</v>
      </c>
      <c r="C7614" s="1">
        <f>hyperlink("https://hetutrechtsarchief.nl/collectie/312A862F6A615A2197666ED6EED9BBA8","De Opkerk te Dorestad als voorgangster van de Parochiale kerk van Sint Johannes de Doper te Wijk bij Duurstede A Johanna Maris 89-107 1971")</f>
        <v>0</v>
      </c>
      <c r="D7614" s="1">
        <f>hyperlink("http://www.kastelenbeeldbank.nl/_themas/Castellogica/arts/1/p.%20089-090%20Een%20brokje%20actualiteit.%20De%20restauratie%20van%20de%20vie.pdf","Een brokje actualiteit de restauratie van de vierkante toren te Wijk bij Duurstede is aangevangen J G N Renaud 89-90 1983-1987")</f>
        <v>0</v>
      </c>
    </row>
    <row r="7615" spans="2:4">
      <c r="B7615">
        <v>54</v>
      </c>
      <c r="C7615" s="1">
        <f>hyperlink("https://hetutrechtsarchief.nl/collectie/E6483A5DFE11578694A2FA5E99F43BDB","De trawanten van het kasteel Vredenburg een oplossing P van Hees 108 1978")</f>
        <v>0</v>
      </c>
      <c r="D7615" s="1">
        <f>hyperlink("http://www.kastelenbeeldbank.nl/_themas/Castellogica/arts/1/p.%20173-184%20De%20donjon%20van%20kasteel%20Duurstede.pdf","De Donjon van Kasteel Duurstede speurtocht naar de oorsprong R J Top 173-184 1983-1987")</f>
        <v>0</v>
      </c>
    </row>
    <row r="7616" spans="2:4">
      <c r="B7616">
        <v>54</v>
      </c>
      <c r="C7616" s="1">
        <f>hyperlink("https://hetutrechtsarchief.nl/collectie/1A5B3A1395AA5A438A32FE3D3DCF44BA","Notities over het kampveld Zeist J Belonje 12-16 ill 1968")</f>
        <v>0</v>
      </c>
      <c r="D7616" s="1">
        <f>hyperlink("http://www.kastelenbeeldbank.nl/_themas/Castellogica/arts/1/p.%20201-204%20Nieuws%20van%20het%20bleekveld%20te%20Zuylen.pdf","Nieuws van het bleekveld te Zuylen J G N Renaud 201-204 1983-1987")</f>
        <v>0</v>
      </c>
    </row>
    <row r="7617" spans="2:4">
      <c r="B7617">
        <v>56</v>
      </c>
      <c r="C7617" s="1">
        <f>hyperlink("https://hetutrechtsarchief.nl/collectie/E5A4FC584D625B4D94222D3D683D2762","Mr Nicolaas Frederik van Nooten J J van Geuns 257 -263 portr 1896")</f>
        <v>0</v>
      </c>
      <c r="D7617" s="1">
        <f>hyperlink("http://www.kastelenbeeldbank.nl/_themas/Castellogica/arts/1/p.%20279-282%20Waar%20zat%20Hendrik%20van%20Montfoort.....pdf","Waar zat Hendrik van Montfoort J G N Renaud 279-282 1983-1987")</f>
        <v>0</v>
      </c>
    </row>
    <row r="7618" spans="2:4">
      <c r="B7618">
        <v>52</v>
      </c>
      <c r="C7618" s="1">
        <f>hyperlink("https://hetutrechtsarchief.nl/collectie/9A0DEFEAAD67D45DE0534701000A7667","Wat lazen zij Leescultuur in Amersfoort 1700-1900 Hans Smit 112-135 2019")</f>
        <v>0</v>
      </c>
      <c r="D7618" s="1">
        <f>hyperlink("http://www.kastelenbeeldbank.nl/_themas/Castellogica/arts/2/p.%20120-130%20Het%20verdwenen%20bisschoppelijk%20kasteel%20Stoutenburg%20.pdf; http://www.kastelenbeeldbank.nl/_themas/Castellogica/arts/2/p.%20131-139%20Het%20verdwenen%20bisschoppelijk%20kast","Het verdwenen bisschoppelijk kasteel Stoutenburg bij Amersfoort 1259-1543 Hans L Janssen 120-130 131-137 1988-1992")</f>
        <v>0</v>
      </c>
    </row>
    <row r="7619" spans="2:4">
      <c r="B7619">
        <v>60</v>
      </c>
      <c r="C7619" s="1">
        <f>hyperlink("https://hetutrechtsarchief.nl/collectie/B1CC2F8A33555083B2D115EA57FF367A","Twee vondsten van middeleeuws brons J G N Renaud 1-12 ill 1963")</f>
        <v>0</v>
      </c>
      <c r="D7619" s="1">
        <f>hyperlink("http://www.kastelenbeeldbank.nl/_themas/Castellogica/arts/2/p.%20186-191%20Woerden,%20Woerden%20en%20nog%20eens%20Woerden.pdf","Woerden Woerden en nog eens Woerden J G N Renaud 186-191 1988")</f>
        <v>0</v>
      </c>
    </row>
    <row r="7620" spans="2:4">
      <c r="B7620">
        <v>57</v>
      </c>
      <c r="C7620" s="1">
        <f>hyperlink("https://hetutrechtsarchief.nl/collectie/74A8EBE6A7DB53D5A28BD5BF7A5616DC","Het kasteel Amerongen A W J Mulder 90-93 1929")</f>
        <v>0</v>
      </c>
      <c r="D7620" s="1">
        <f>hyperlink("http://www.kastelenbeeldbank.nl/_themas/Castellogica/arts/2/p.%20258-260%20Het%20kasteel%20van%20Montfoort%20(U).pdf","Het kasteel van Montfoort U H Sarfatij 258-260 1988-1992")</f>
        <v>0</v>
      </c>
    </row>
    <row r="7621" spans="2:4">
      <c r="B7621">
        <v>57</v>
      </c>
      <c r="C7621" s="1">
        <f>hyperlink("https://hetutrechtsarchief.nl/collectie/E31AD4C4882854529D6436F45AED7797","Het Slot te Zeist R P M Rhoen 3-30 1999")</f>
        <v>0</v>
      </c>
      <c r="D7621" s="1">
        <f>hyperlink("http://www.kastelenbeeldbank.nl/_themas/Castellogica/arts/2/p.%20319-322%20Heemstede%20en%20Heemstede.pdf","Heemstede en Heemstede J G N Renaud 319-322 1988-1992")</f>
        <v>0</v>
      </c>
    </row>
    <row r="7622" spans="2:4">
      <c r="B7622">
        <v>64</v>
      </c>
      <c r="C7622" s="1">
        <f>hyperlink("https://hetutrechtsarchief.nl/collectie/226B0CFC271258A7ACFEE33323A54D48","Duiventillen en -torens in het Kromme Rijngebied C C S Wilmer 1-6 ill 1991")</f>
        <v>0</v>
      </c>
      <c r="D7622" s="1">
        <f>hyperlink("http://www.kastelenbeeldbank.nl/_themas/Castellogica/arts/3/p.%20007-010%20De%20Lunenburg,%20woontoren%20in%20het%20Kromme%20Rijngebied.pdf","De Lunenburg woontoren in het Kromme Rijngebied N Bullinga 7-10 1993-1999")</f>
        <v>0</v>
      </c>
    </row>
    <row r="7623" spans="2:4">
      <c r="B7623">
        <v>62</v>
      </c>
      <c r="C7623" s="1">
        <f>hyperlink("https://hetutrechtsarchief.nl/collectie/F0B7171EE5A9580EBF7B5396A331914A","Bewoners van het kasteel IJsselstein van 1795 tot 1813 Tj Visser 17-20 2011")</f>
        <v>0</v>
      </c>
      <c r="D7623" s="1">
        <f>hyperlink("http://www.kastelenbeeldbank.nl/_themas/Castellogica/arts/3/p.%20018-030%20Jan%20van%20Stolk%20en%20kasteel%20IJsselstein%20in%201769.pdf","Jan van Stolk en Kasteel IJsselstein in 1769 D B M Hermans 18-30 1993-1999")</f>
        <v>0</v>
      </c>
    </row>
    <row r="7624" spans="2:4">
      <c r="B7624">
        <v>54</v>
      </c>
      <c r="C7624" s="1">
        <f>hyperlink("https://hetutrechtsarchief.nl/collectie/C86D0E6A62CE5D77A93E7E6C95FBFBAD","De bisschoppen van Utrecht van 750-850 J W C van Campen 23-39 1953")</f>
        <v>0</v>
      </c>
      <c r="D7624" s="1">
        <f>hyperlink("http://www.kastelenbeeldbank.nl/_themas/Castellogica/arts/3/p.%20031-048%20Het%20bisschoppelijk%20kasteel%20Vreeland%20ca.%201258-ca.%20.pdf; http://www.kastelenbeeldbank.nl/_themas/Castellogica/arts/3/p.%20049-072%20Het%20bisschoppelijk%20kasteel%20Vree","Het bisschoppelijk Kasteel Vreeland ca 1258 - ca 1700 Hans L Janssen 31-48 49-72 1993-1999")</f>
        <v>0</v>
      </c>
    </row>
    <row r="7625" spans="2:4">
      <c r="B7625">
        <v>53</v>
      </c>
      <c r="C7625" s="1">
        <f>hyperlink("https://hetutrechtsarchief.nl/collectie/34033F6E48DB58579D1F3DA6190586CE","Kastelen en buitenplaatsen op de Heuvelrug en de Vallei B Olde Meierink 19 ill 1992")</f>
        <v>0</v>
      </c>
      <c r="D7625" s="1">
        <f>hyperlink("http://www.kastelenbeeldbank.nl/_themas/Castellogica/arts/3/p.%20109-118%20Huis%20Doorn.pdf","Huis Doorn D B M Hermans en J Kamphuis B Hermans D B M Kamphuis J Olde Meierink 109-118 1993")</f>
        <v>0</v>
      </c>
    </row>
    <row r="7626" spans="2:4">
      <c r="B7626">
        <v>53</v>
      </c>
      <c r="C7626" s="1">
        <f>hyperlink("https://hetutrechtsarchief.nl/collectie/B906D2BDBEA8555990EB91F8E9E6E7CC","Trekhond een hondenbaan de geschiedenis van de trekhond in IJsselstein L Murk en K Peeters 1-18 1999")</f>
        <v>0</v>
      </c>
      <c r="D7626" s="1">
        <f>hyperlink("http://www.kastelenbeeldbank.nl/_themas/Castellogica/arts/3/p.%20135-138%20Het%20speelhuysje%20voor%20Joachim%20Ferdinand%20de%20Baeufor.pdf","Het Speelhuysje voor Joachim Ferdinand de Beaufort Drossaard te IJsselstein P W A Broeders 135-138 1993-1999")</f>
        <v>0</v>
      </c>
    </row>
    <row r="7627" spans="2:4">
      <c r="B7627">
        <v>57</v>
      </c>
      <c r="C7627" s="1">
        <f>hyperlink("https://hetutrechtsarchief.nl/collectie/522CC2A9BF6D54D2986793E5F9E4489F","Iets over de provincie en stad Utrecht 9 -18 1835")</f>
        <v>0</v>
      </c>
      <c r="D7627" s="1">
        <f>hyperlink("http://www.kb.nl/bladerboek/utrecht/browse/page_titlep.html","Beschryvinge der stadt Utrecht Cornelis Booth 1685")</f>
        <v>0</v>
      </c>
    </row>
    <row r="7628" spans="2:4">
      <c r="B7628">
        <v>56</v>
      </c>
      <c r="C7628" s="1">
        <f>hyperlink("https://hetutrechtsarchief.nl/collectie/9450E0E44E6D50A68051B62AAC336000","Over het spel van Herodes in den Dom te Utrecht C Catharina van de Graft 71-102 1924")</f>
        <v>0</v>
      </c>
      <c r="D7628" s="1">
        <f>hyperlink("http://www.kinderzorg-utrecht.nl/wp-content/uploads/2012/03/kinderzorg-utrecht-geschiedenis-web.pdf","Verleden en heden van de Hervormde Vereniging Kinderzorg-Utrecht J C van den Moed C Bosch 1992")</f>
        <v>0</v>
      </c>
    </row>
    <row r="7629" spans="2:4">
      <c r="B7629">
        <v>100</v>
      </c>
      <c r="C7629" s="1">
        <f>hyperlink("https://hetutrechtsarchief.nl/collectie/1B34F2868F255F0C9FE7A005E2874DAA","Beiaard van de Cuneratoren te Rhenen gerestaureerd Foeke de Wolf 1-3 2003")</f>
        <v>0</v>
      </c>
      <c r="D7629" s="1">
        <f>hyperlink("http://www.klokkenspel.org/dynamic_frame.htm?http://www.klokkenspel.org/klok&amp;klepel/indexkk/vereniging.htm","Beiaard van de Cuneratoren te Rhenen gerestaureerd Foeke de Wolf 1-3 2003")</f>
        <v>0</v>
      </c>
    </row>
    <row r="7630" spans="2:4">
      <c r="B7630">
        <v>100</v>
      </c>
      <c r="C7630" s="1">
        <f>hyperlink("https://hetutrechtsarchief.nl/collectie/B80825F794BB5E0BA397766A80962E9E","Nieuwe beiaard voor Vleuten Arie Abbenes 2-5 2010")</f>
        <v>0</v>
      </c>
      <c r="D7630" s="1">
        <f>hyperlink("http://www.klokkenspel.org/dynamic_frame.htm?http://www.klokkenspel.org/klok&amp;klepel/indexkk/vereniging.htm","Nieuwe beiaard voor Vleuten Arie Abbenes 2-5 2010")</f>
        <v>0</v>
      </c>
    </row>
    <row r="7631" spans="2:4">
      <c r="B7631">
        <v>59</v>
      </c>
      <c r="C7631" s="1">
        <f>hyperlink("https://hetutrechtsarchief.nl/collectie/D46DCBA139475FC1A9AD33630FB46BD5","Genealogische aanteekeningen betreffende personen voerende den naam van Alphen medeged door - J C v d M 43-44 1887")</f>
        <v>0</v>
      </c>
      <c r="D7631" s="1">
        <f>hyperlink("http://www.knggw.nl/raadplegen/de-nederlandsche-leeuw/1883-1/72/","Genealogische aanteekeningen betreffende het uitgestorven geslacht Foeck Foock Fock te Utrecht von Brucken Fock 1883")</f>
        <v>0</v>
      </c>
    </row>
    <row r="7632" spans="2:4">
      <c r="B7632">
        <v>75</v>
      </c>
      <c r="C7632" s="1">
        <f>hyperlink("https://hetutrechtsarchief.nl/collectie/5BC1920D18255A969A9D540400EBC7A0","32 kwartieren van Mr Edward Huydecoper van Nigtevecht 78-79 1885")</f>
        <v>0</v>
      </c>
      <c r="D7632" s="1">
        <f>hyperlink("http://www.knggw.nl/raadplegen/de-nederlandsche-leeuw/1883-1/9/","Mr Edward Huydecoper van Nigtevecht 1883")</f>
        <v>0</v>
      </c>
    </row>
    <row r="7633" spans="2:4">
      <c r="B7633">
        <v>61</v>
      </c>
      <c r="C7633" s="1">
        <f>hyperlink("https://hetutrechtsarchief.nl/collectie/7BA0B707E403548CAC85183DE5208A31","Grepen uit de archieven burengerucht J N van der Meulen 118 1978")</f>
        <v>0</v>
      </c>
      <c r="D7633" s="1">
        <f>hyperlink("http://www.knggw.nl/raadplegen/de-nederlandsche-leeuw/1884-2/73/;http://www.knggw.nl/raadplegen/de-nederlandsche-leeuw/1884-2/87/","De Voocht van Rijnevelt J C van der Meulen 1884")</f>
        <v>0</v>
      </c>
    </row>
    <row r="7634" spans="2:4">
      <c r="B7634">
        <v>65</v>
      </c>
      <c r="C7634" s="1">
        <f>hyperlink("https://hetutrechtsarchief.nl/collectie/A710FD926E2256F78DE23BE855337F84","Bijdrage tot de genealogie van het geslacht Van Wijkerslooth E B F F Wittert van Hoogland 497 -522 1902")</f>
        <v>0</v>
      </c>
      <c r="D7634" s="1">
        <f>hyperlink("http://www.knggw.nl/raadplegen/de-nederlandsche-leeuw/1884-2/96/","Bijdrage tot eene genealogie van het geslacht van Dompselaer M A van Rhede van der Kloot 1884")</f>
        <v>0</v>
      </c>
    </row>
    <row r="7635" spans="2:4">
      <c r="B7635">
        <v>89</v>
      </c>
      <c r="C7635" s="1">
        <f>hyperlink("https://hetutrechtsarchief.nl/collectie/0C0AC2CC8F8A54D5966B543E45F7CF73","Mr Carel Joseph van der Muelen 9 ill 1885")</f>
        <v>0</v>
      </c>
      <c r="D7635" s="1">
        <f>hyperlink("http://www.knggw.nl/raadplegen/de-nederlandsche-leeuw/1885-3/13/","Mr Carel Joseph van der Meulen 1885")</f>
        <v>0</v>
      </c>
    </row>
    <row r="7636" spans="2:4">
      <c r="B7636">
        <v>83</v>
      </c>
      <c r="C7636" s="1">
        <f>hyperlink("https://hetutrechtsarchief.nl/collectie/415FD3BE760F5ABD89500A6BC1ED5CF7","Mr Pieter Verloren van Themaat - A A V v O 10 1885")</f>
        <v>0</v>
      </c>
      <c r="D7636" s="1">
        <f>hyperlink("http://www.knggw.nl/raadplegen/de-nederlandsche-leeuw/1885-3/14/","Mr Pieter VerLoren van Themaat A A Vorsterman van Oyen 1885")</f>
        <v>0</v>
      </c>
    </row>
    <row r="7637" spans="2:4">
      <c r="B7637">
        <v>87</v>
      </c>
      <c r="C7637" s="1">
        <f>hyperlink("https://hetutrechtsarchief.nl/collectie/3CB57116F90C5F29A4D08AB87803AA25","Genealogie van het geslacht de Maleprade - J C v d M 11-12 1885")</f>
        <v>0</v>
      </c>
      <c r="D7637" s="1">
        <f>hyperlink("http://www.knggw.nl/raadplegen/de-nederlandsche-leeuw/1885-3/15/;http://www.knggw.nl/raadplegen/de-nederlandsche-leeuw/1885-3/63/;http://www.knggw.nl/raadplegen/de-nederlandsche-leeuw/1885-3/71/;http://www.knggw.nl/raadplegen/de-nederlandsche-leeuw/1885-3/78/","Genealogie van het geslacht de Maleprade J C van der Meulen 1885")</f>
        <v>0</v>
      </c>
    </row>
    <row r="7638" spans="2:4">
      <c r="B7638">
        <v>84</v>
      </c>
      <c r="C7638" s="1">
        <f>hyperlink("https://hetutrechtsarchief.nl/collectie/1BA537754ECC5484AB7757FF1201CF69","Genealogien samengesteld door de gebroeders van Atteveld - J C v d M 49-50 56-59 1887")</f>
        <v>0</v>
      </c>
      <c r="D7638" s="1">
        <f>hyperlink("http://www.knggw.nl/raadplegen/de-nederlandsche-leeuw/1885-3/78/;http://www.knggw.nl/raadplegen/de-nederlandsche-leeuw/1884-2/17/;http://www.knggw.nl/raadplegen/de-nederlandsche-leeuw/1884-2/73/;http://www.knggw.nl/raadplegen/de-nederlandsche-leeuw/1887-5/57/;http://www.knggw.nl/raadplegen/de-nederlandsche-leeuw/1887-5/64/","Genealogi n samengesteld door de gebroeders van Atteveld J C van der Muelen 1883-1887")</f>
        <v>0</v>
      </c>
    </row>
    <row r="7639" spans="2:4">
      <c r="B7639">
        <v>91</v>
      </c>
      <c r="C7639" s="1">
        <f>hyperlink("https://hetutrechtsarchief.nl/collectie/A7AA2E31500B56D390B48BB170ACF09D","Vijf huwelijken der famili n van der Muelen en Verschoor - J C v d M 73 1885")</f>
        <v>0</v>
      </c>
      <c r="D7639" s="1">
        <f>hyperlink("http://www.knggw.nl/raadplegen/de-nederlandsche-leeuw/1885-3/79/","Vijf huwelijken der famili n Van der Muelen en Verschoor J C van der Muelen 1885")</f>
        <v>0</v>
      </c>
    </row>
    <row r="7640" spans="2:4">
      <c r="B7640">
        <v>95</v>
      </c>
      <c r="C7640" s="1">
        <f>hyperlink("https://hetutrechtsarchief.nl/collectie/5BC1920D18255A969A9D540400EBC7A0","32 kwartieren van Mr Edward Huydecoper van Nigtevecht 78-79 1885")</f>
        <v>0</v>
      </c>
      <c r="D7640" s="1">
        <f>hyperlink("http://www.knggw.nl/raadplegen/de-nederlandsche-leeuw/1885-3/84/","32 kwartieren van Mr Edward Huydecoper van Nigtevecht 1885")</f>
        <v>0</v>
      </c>
    </row>
    <row r="7641" spans="2:4">
      <c r="B7641">
        <v>54</v>
      </c>
      <c r="C7641" s="1">
        <f>hyperlink("https://hetutrechtsarchief.nl/collectie/66D4473068E75510AAEF38447BEF06BC","Johan van Oldenbarnevelt verdient meer aandacht Yvonne Tanke 6-7 2006")</f>
        <v>0</v>
      </c>
      <c r="D7641" s="1">
        <f>hyperlink("http://www.knggw.nl/raadplegen/de-nederlandsche-leeuw/1886-4/50/","Van Oldenbarneveld P R D van de Kasteele 1886")</f>
        <v>0</v>
      </c>
    </row>
    <row r="7642" spans="2:4">
      <c r="B7642">
        <v>56</v>
      </c>
      <c r="C7642" s="1">
        <f>hyperlink("https://hetutrechtsarchief.nl/collectie/61A46B26BA555983916337D3F8E54D9B","Het graf van Johan van Oldenbarnevelt Arie ter Beek 114-117 2002")</f>
        <v>0</v>
      </c>
      <c r="D7642" s="1">
        <f>hyperlink("http://www.knggw.nl/raadplegen/de-nederlandsche-leeuw/1886-4/68/","Geslacht van Oldenbarneveld A de Roever 1886")</f>
        <v>0</v>
      </c>
    </row>
    <row r="7643" spans="2:4">
      <c r="B7643">
        <v>82</v>
      </c>
      <c r="C7643" s="1">
        <f>hyperlink("https://hetutrechtsarchief.nl/collectie/3433B6DE240A50E9957DDDA92951CAD3","Mr Jan Ignatius Dani l Nepveu - A A V v O 24 1887")</f>
        <v>0</v>
      </c>
      <c r="D7643" s="1">
        <f>hyperlink("http://www.knggw.nl/raadplegen/de-nederlandsche-leeuw/1887-5/32/","Mr Jan Ignatius Dani l Nepveu A A Vorsterman van Oyen 1887")</f>
        <v>0</v>
      </c>
    </row>
    <row r="7644" spans="2:4">
      <c r="B7644">
        <v>92</v>
      </c>
      <c r="C7644" s="1">
        <f>hyperlink("https://hetutrechtsarchief.nl/collectie/EA52EB5CE5B75070BD4565AC86E14020","Verdrag tusschen de Duitsche Orde balije van Utrecht en de stad Doesburg anno 1614 - J C v d M 30 1887")</f>
        <v>0</v>
      </c>
      <c r="D7644" s="1">
        <f>hyperlink("http://www.knggw.nl/raadplegen/de-nederlandsche-leeuw/1887-5/38/","Verdrag tusschen de Duitsche orde balije van Utrecht en de stad Doesburg Ao 1614 J C van der Meulen 1887")</f>
        <v>0</v>
      </c>
    </row>
    <row r="7645" spans="2:4">
      <c r="B7645">
        <v>52</v>
      </c>
      <c r="C7645" s="1">
        <f>hyperlink("https://hetutrechtsarchief.nl/collectie/DB55A832ACD6541590C78CC8548A5176","Het tegengaan van het St Nicolaas-vieren door de Utrechtsche stedelijke overheid A J van der Weyde 81-83 1928")</f>
        <v>0</v>
      </c>
      <c r="D7645" s="1">
        <f>hyperlink("http://www.knggw.nl/raadplegen/de-nederlandsche-leeuw/1887-5/67/","Eenige beleeningen van het huis Hindersteyn uit het Repertoire op de Gaasbeeksche leenregisters fol 117 J C van der Muelen 1887")</f>
        <v>0</v>
      </c>
    </row>
    <row r="7646" spans="2:4">
      <c r="B7646">
        <v>66</v>
      </c>
      <c r="C7646" s="1">
        <f>hyperlink("https://hetutrechtsarchief.nl/collectie/29ADD361B64C51A4A528E607D3336A6D","Revolutiedagen te Utrecht C F Gijsberti Hodenpijl 548-554")</f>
        <v>0</v>
      </c>
      <c r="D7646" s="1">
        <f>hyperlink("http://www.knggw.nl/raadplegen/de-nederlandsche-leeuw/1892-10/42/","Iets over het Fundatiehuis Renswoude te Utrecht C Gijsberti Hodenpijl 1892")</f>
        <v>0</v>
      </c>
    </row>
    <row r="7647" spans="2:4">
      <c r="B7647">
        <v>57</v>
      </c>
      <c r="C7647" s="1">
        <f>hyperlink("https://hetutrechtsarchief.nl/collectie/C64C1E141010523590C360E668AC60E6","O urbem venalem - H J S 317 -319 1890")</f>
        <v>0</v>
      </c>
      <c r="D7647" s="1">
        <f>hyperlink("http://www.knggw.nl/raadplegen/de-nederlandsche-leeuw/1892-10/63/;http://www.knggw.nl/raadplegen/de-nederlandsche-leeuw/1893-11/15/","Bloemendal W J Huijgens 1892-1893")</f>
        <v>0</v>
      </c>
    </row>
    <row r="7648" spans="2:4">
      <c r="B7648">
        <v>53</v>
      </c>
      <c r="C7648" s="1">
        <f>hyperlink("https://hetutrechtsarchief.nl/collectie/BBFD6E210D465C8E87C560AAA0D448AD","Dalmatieken van bisschop David van Bourgondi A J van de Ven 13-14 ill 1970")</f>
        <v>0</v>
      </c>
      <c r="D7648" s="1">
        <f>hyperlink("http://www.knggw.nl/raadplegen/de-nederlandsche-leeuw/1894-12/41/","Acht kwartieren van Louis Gaspard Adrien van Hangest baron d Yvoy Joh D G van Epen 1894")</f>
        <v>0</v>
      </c>
    </row>
    <row r="7649" spans="2:4">
      <c r="B7649">
        <v>56</v>
      </c>
      <c r="C7649" s="1">
        <f>hyperlink("https://hetutrechtsarchief.nl/collectie/F427E2D5DAE45DF09783685DEDA7D0E9","Grafschrift op den weleerwaarden heer H J A M Schaepman - H 298 1884")</f>
        <v>0</v>
      </c>
      <c r="D7649" s="1">
        <f>hyperlink("http://www.knggw.nl/raadplegen/de-nederlandsche-leeuw/1896-14/77/;http://www.knggw.nl/raadplegen/de-nederlandsche-leeuw/1896-14/103/;http://www.knggw.nl/raadplegen/de-nederlandsche-leeuw/1897-15/68/","Grafschriften etc in de Hervormde Kerk te Westbroek J A R Schouten H J Kymmell 1896-1897")</f>
        <v>0</v>
      </c>
    </row>
    <row r="7650" spans="2:4">
      <c r="B7650">
        <v>61</v>
      </c>
      <c r="C7650" s="1">
        <f>hyperlink("https://hetutrechtsarchief.nl/collectie/0F1EA8E276F35644AEB6E8C16ED9F9F7","Bisschop Balderik meded van B J L de Geer van Jutfaas 697-707 1868")</f>
        <v>0</v>
      </c>
      <c r="D7650" s="1">
        <f>hyperlink("http://www.knggw.nl/raadplegen/de-nederlandsche-leeuw/1897-15/8/","8 kwartieren van Jhr Louys de Geer van Jutphaas 1897")</f>
        <v>0</v>
      </c>
    </row>
    <row r="7651" spans="2:4">
      <c r="B7651">
        <v>65</v>
      </c>
      <c r="C7651" s="1">
        <f>hyperlink("https://hetutrechtsarchief.nl/collectie/E84E619945CF5A9FA64FFC52B1ED98DD","Het geslacht De Marez Van Zuylen H J Koenen 177-180 1899")</f>
        <v>0</v>
      </c>
      <c r="D7651" s="1">
        <f>hyperlink("http://www.knggw.nl/raadplegen/de-nederlandsche-leeuw/1898-16/95/","Het archief van de Malen H J Koenen 1898")</f>
        <v>0</v>
      </c>
    </row>
    <row r="7652" spans="2:4">
      <c r="B7652">
        <v>55</v>
      </c>
      <c r="C7652" s="1">
        <f>hyperlink("https://hetutrechtsarchief.nl/collectie/8E725F6C92F25B85A9DF9EC9FE3F3356","Romeins Vleuten-De Meern J H J Joosten 37-43 1998")</f>
        <v>0</v>
      </c>
      <c r="D7652" s="1">
        <f>hyperlink("http://www.knggw.nl/raadplegen/de-nederlandsche-leeuw/1899-17/110/","Gevelsteentjes te Rhenen H J Schouten 1899")</f>
        <v>0</v>
      </c>
    </row>
    <row r="7653" spans="2:4">
      <c r="B7653">
        <v>57</v>
      </c>
      <c r="C7653" s="1">
        <f>hyperlink("https://hetutrechtsarchief.nl/collectie/5D59F242995A50DEAEF9C1ABD0E3410C","Het geslacht Van Zuylen W N A van Tuyll van Serooskerken 38-41 ill 1987")</f>
        <v>0</v>
      </c>
      <c r="D7653" s="1">
        <f>hyperlink("http://www.knggw.nl/raadplegen/de-nederlandsche-leeuw/1899-17/73/;http://www.knggw.nl/raadplegen/de-nederlandsche-leeuw/1899-17/96/;http://www.knggw.nl/raadplegen/de-nederlandsche-leeuw/1901-19/45/","Het geslacht Van Beuningen Van Helsdingen R van Beuningen van Helsdingen 1899")</f>
        <v>0</v>
      </c>
    </row>
    <row r="7654" spans="2:4">
      <c r="B7654">
        <v>57</v>
      </c>
      <c r="C7654" s="1">
        <f>hyperlink("https://hetutrechtsarchief.nl/collectie/03049BC079A55B37BAF1079D24CE79A5","Zegel van de Cunerakerk te Rhenen Ad J de Jong 47-52 2008")</f>
        <v>0</v>
      </c>
      <c r="D7654" s="1">
        <f>hyperlink("http://www.knggw.nl/raadplegen/de-nederlandsche-leeuw/1899-17/84/","Wapen in de kerk te Rhenen H J Schouten 1899")</f>
        <v>0</v>
      </c>
    </row>
    <row r="7655" spans="2:4">
      <c r="B7655">
        <v>55</v>
      </c>
      <c r="C7655" s="1">
        <f>hyperlink("https://hetutrechtsarchief.nl/collectie/6CC4353333F8541FBC17745656A02B29","Een Eemnesser familie Ruijter die in Blaricum terechtkwam Henk van Hees 24-29 2008")</f>
        <v>0</v>
      </c>
      <c r="D7655" s="1">
        <f>hyperlink("http://www.knggw.nl/raadplegen/de-nederlandsche-leeuw/1900-18/29/","Een handschrift over de familie Barchman Wuijtiers uit de XVIIe eeuw A F van Beurden 1900")</f>
        <v>0</v>
      </c>
    </row>
    <row r="7656" spans="2:4">
      <c r="B7656">
        <v>58</v>
      </c>
      <c r="C7656" s="1">
        <f>hyperlink("https://hetutrechtsarchief.nl/collectie/2EFEB9DC4F6557DC8EFA70EB1E24B064","Geneaologie van het geslacht van Bijlert J L van Bijlert 7-15 1922")</f>
        <v>0</v>
      </c>
      <c r="D7656" s="1">
        <f>hyperlink("http://www.knggw.nl/raadplegen/de-nederlandsche-leeuw/1900-18/96/","Genealogie der geslachten Coster en Blom H H R ell 1900")</f>
        <v>0</v>
      </c>
    </row>
    <row r="7657" spans="2:4">
      <c r="B7657">
        <v>55</v>
      </c>
      <c r="C7657" s="1">
        <f>hyperlink("https://hetutrechtsarchief.nl/collectie/45A1C1FEA04B5634BDB52FE767236823","De zestien kwartieren van George van Egmond bisschop van Utrecht A J van de Ven 87-100 ill 1959")</f>
        <v>0</v>
      </c>
      <c r="D7657" s="1">
        <f>hyperlink("http://www.knggw.nl/raadplegen/de-nederlandsche-leeuw/1901-19/42/","16 kwartieren van Fran oise Elisabeth van Eelde J C G van Hodenpijl 1901")</f>
        <v>0</v>
      </c>
    </row>
    <row r="7658" spans="2:4">
      <c r="B7658">
        <v>56</v>
      </c>
      <c r="C7658" s="1">
        <f>hyperlink("https://hetutrechtsarchief.nl/collectie/5BC1920D18255A969A9D540400EBC7A0","32 kwartieren van Mr Edward Huydecoper van Nigtevecht 78-79 1885")</f>
        <v>0</v>
      </c>
      <c r="D7658" s="1">
        <f>hyperlink("http://www.knggw.nl/raadplegen/de-nederlandsche-leeuw/1902-20/56/","Kwartieren van Mr A H L Roosmale Nepveu 1902")</f>
        <v>0</v>
      </c>
    </row>
    <row r="7659" spans="2:4">
      <c r="B7659">
        <v>53</v>
      </c>
      <c r="C7659" s="1">
        <f>hyperlink("https://hetutrechtsarchief.nl/collectie/2F57E4FA8DA15434A5ECD1FCB749327A","A H Doude van Troostwijk overleden - de J 33 1962")</f>
        <v>0</v>
      </c>
      <c r="D7659" s="1">
        <f>hyperlink("http://www.knggw.nl/raadplegen/de-nederlandsche-leeuw/1902-20/94/","Van Zuylen van Nijvelt J W des Tombe 1902")</f>
        <v>0</v>
      </c>
    </row>
    <row r="7660" spans="2:4">
      <c r="B7660">
        <v>54</v>
      </c>
      <c r="C7660" s="1">
        <f>hyperlink("https://hetutrechtsarchief.nl/collectie/D18BA1BFA9D85114B3015E29DDCFD63B","De stamboom van de muizenfamilie De Ruijter Henk van Hees 19-23 2008")</f>
        <v>0</v>
      </c>
      <c r="D7660" s="1">
        <f>hyperlink("http://www.knggw.nl/raadplegen/de-nederlandsche-leeuw/1903-21/10/","De Casembroot genomen uit een familiebijbel W M C Regt 1903")</f>
        <v>0</v>
      </c>
    </row>
    <row r="7661" spans="2:4">
      <c r="B7661">
        <v>56</v>
      </c>
      <c r="C7661" s="1">
        <f>hyperlink("https://hetutrechtsarchief.nl/collectie/6B1429205AD8511FA50348F4FC6854F5","Leerlingen adopteren kerk de grote kerk te Wijk bij Duurstede Edwin Maes 24-25 2007")</f>
        <v>0</v>
      </c>
      <c r="D7661" s="1">
        <f>hyperlink("http://www.knggw.nl/raadplegen/de-nederlandsche-leeuw/1903-21/82/","Grafschriften in de kerk der Ned Herv gemeente te Wijk bij Duurstede naar een handschrift E Gewin 1903")</f>
        <v>0</v>
      </c>
    </row>
    <row r="7662" spans="2:4">
      <c r="B7662">
        <v>57</v>
      </c>
      <c r="C7662" s="1">
        <f>hyperlink("https://hetutrechtsarchief.nl/collectie/4DAAD2E25538510FA1DB797D5C1CFF6B","Eenige aanteekeningen over het Utrechtsche burggraafschap J W C van Campen 43-45 1937")</f>
        <v>0</v>
      </c>
      <c r="D7662" s="1">
        <f>hyperlink("http://www.knggw.nl/raadplegen/de-nederlandsche-leeuw/1905-23/105/;http://www.knggw.nl/raadplegen/de-nederlandsche-leeuw/1905-23/149/","Genealogische aanteekeningen op oude Utrechtsche en Hollandsche geslachten P C Bloys van Treslong Prins 1905")</f>
        <v>0</v>
      </c>
    </row>
    <row r="7663" spans="2:4">
      <c r="B7663">
        <v>54</v>
      </c>
      <c r="C7663" s="1">
        <f>hyperlink("https://hetutrechtsarchief.nl/collectie/8F01605B1655508398BDBF590D287D4E","Grafschriften uit kerken te Utrecht medeged door M G Wildeman 1904")</f>
        <v>0</v>
      </c>
      <c r="D7663" s="1">
        <f>hyperlink("http://www.knggw.nl/raadplegen/de-nederlandsche-leeuw/1905-23/111/","Van Reede M G Wildeman 1905")</f>
        <v>0</v>
      </c>
    </row>
    <row r="7664" spans="2:4">
      <c r="B7664">
        <v>59</v>
      </c>
      <c r="C7664" s="1">
        <f>hyperlink("https://hetutrechtsarchief.nl/collectie/BFC6B33541075E56A3C3312502A40ECE","Jut van Breukelerwaard L G van Aken 40-45 2008")</f>
        <v>0</v>
      </c>
      <c r="D7664" s="1">
        <f>hyperlink("http://www.knggw.nl/raadplegen/de-nederlandsche-leeuw/1905-23/151/","Erven Raye van Breukelerwaard J J Bastert 1905")</f>
        <v>0</v>
      </c>
    </row>
    <row r="7665" spans="2:4">
      <c r="B7665">
        <v>55</v>
      </c>
      <c r="C7665" s="1">
        <f>hyperlink("https://hetutrechtsarchief.nl/collectie/28FDE23E918950909018AFECFCE65FA1","De held van Soestdijk Peter van Oosten de Boer 16-17 2011")</f>
        <v>0</v>
      </c>
      <c r="D7665" s="1">
        <f>hyperlink("http://www.knggw.nl/raadplegen/de-nederlandsche-leeuw/1905-23/45/;http://www.knggw.nl/raadplegen/de-nederlandsche-leeuw/1905-23/130/","Van Soestdijk van Cloon-de Wijs D G v H E W v E 1905")</f>
        <v>0</v>
      </c>
    </row>
    <row r="7666" spans="2:4">
      <c r="B7666">
        <v>63</v>
      </c>
      <c r="C7666" s="1">
        <f>hyperlink("https://hetutrechtsarchief.nl/collectie/5B04E55F89F752B5A7094D7437FDC9C8","Renswoude M J L Taets van Amerongen 82-84 1955")</f>
        <v>0</v>
      </c>
      <c r="D7666" s="1">
        <f>hyperlink("http://www.knggw.nl/raadplegen/de-nederlandsche-leeuw/1906-24/137/","Taets van Amerongen W A B 1906")</f>
        <v>0</v>
      </c>
    </row>
    <row r="7667" spans="2:4">
      <c r="B7667">
        <v>65</v>
      </c>
      <c r="C7667" s="1">
        <f>hyperlink("https://hetutrechtsarchief.nl/collectie/9DDBF6DEC9865063BBEFD511B7167456","De riddermatigheid van het geslacht van Ysselt v r 1450 W A Beelaerts van Blokland 101-104 1923")</f>
        <v>0</v>
      </c>
      <c r="D7667" s="1">
        <f>hyperlink("http://www.knggw.nl/raadplegen/de-nederlandsche-leeuw/1906-24/142/","Genealogische bijdragen betreffende het geslacht van Oostrum W A Beelaerts van Blokland 1906")</f>
        <v>0</v>
      </c>
    </row>
    <row r="7668" spans="2:4">
      <c r="B7668">
        <v>66</v>
      </c>
      <c r="C7668" s="1">
        <f>hyperlink("https://hetutrechtsarchief.nl/collectie/FA910DF8C19D57F696E1DA55DDAE560D","Bijdrage tot de genealogie van het Utrechtse geslacht Van Muyden L Calkoen 1-101 1907")</f>
        <v>0</v>
      </c>
      <c r="D7668" s="1">
        <f>hyperlink("http://www.knggw.nl/raadplegen/de-nederlandsche-leeuw/1906-24/68/;http://www.knggw.nl/raadplegen/de-nederlandsche-leeuw/1906-24/73/;http://www.knggw.nl/raadplegen/de-nederlandsche-leeuw/1906-24/89/;http://www.knggw.nl/raadplegen/de-nederlandsche-leeuw/1906-24/105/;http://www.knggw.nl/raadplegen/de-nederlandsche-leeuw/1906-24/122/","Bijdragen tot de genealogie van Schuylenburch H H R ell 1906")</f>
        <v>0</v>
      </c>
    </row>
    <row r="7669" spans="2:4">
      <c r="B7669">
        <v>56</v>
      </c>
      <c r="C7669" s="1">
        <f>hyperlink("https://hetutrechtsarchief.nl/collectie/653CFB43F0E05601E0534701000A981D","Zwarte zwanen in Utrecht op zoek naar E S Jack van der Weide 1-5 2018")</f>
        <v>0</v>
      </c>
      <c r="D7669" s="1">
        <f>hyperlink("http://www.knggw.nl/raadplegen/de-nederlandsche-leeuw/1906-24/78/;http://www.knggw.nl/raadplegen/de-nederlandsche-leeuw/1906-24/120/;http://www.knggw.nl/raadplegen/de-nederlandsche-leeuw/1906-24/153/","Geslacht van Zuylen van Utrecht via Delft naar Amsterdam J D Minne J van der Wagner 1906")</f>
        <v>0</v>
      </c>
    </row>
    <row r="7670" spans="2:4">
      <c r="B7670">
        <v>59</v>
      </c>
      <c r="C7670" s="1">
        <f>hyperlink("https://hetutrechtsarchief.nl/collectie/671EF49FCB395BB3BFB894EAC8FE0EB5","Ram van Schalkwijk - v d V 89-92")</f>
        <v>0</v>
      </c>
      <c r="D7670" s="1">
        <f>hyperlink("http://www.knggw.nl/raadplegen/de-nederlandsche-leeuw/1907-25/104/","Van Schalkwijk Cornelis de Waal 1907")</f>
        <v>0</v>
      </c>
    </row>
    <row r="7671" spans="2:4">
      <c r="B7671">
        <v>54</v>
      </c>
      <c r="C7671" s="1">
        <f>hyperlink("https://hetutrechtsarchief.nl/collectie/A66DE0367A1150B9A3169098A050EDC5","A C J van Eelde C A Pekelharing 8-16 portr 1903")</f>
        <v>0</v>
      </c>
      <c r="D7671" s="1">
        <f>hyperlink("http://www.knggw.nl/raadplegen/de-nederlandsche-leeuw/1907-25/152/","Van Schalkwijk-Van den Velden naar een oud handschrift J J Bastert 1907")</f>
        <v>0</v>
      </c>
    </row>
    <row r="7672" spans="2:4">
      <c r="B7672">
        <v>79</v>
      </c>
      <c r="C7672" s="1">
        <f>hyperlink("https://hetutrechtsarchief.nl/collectie/108CB5118D835693B8F3EB8DE03844B2","De eerste generaties van het geslacht van Weede W Wijnaendts van Resandt 130-135 1926")</f>
        <v>0</v>
      </c>
      <c r="D7672" s="1">
        <f>hyperlink("http://www.knggw.nl/raadplegen/de-nederlandsche-leeuw/1907-25/47/","De oudste generatie van het geslacht van Schuylenburch W Wijnaendts van Resandt 1907")</f>
        <v>0</v>
      </c>
    </row>
    <row r="7673" spans="2:4">
      <c r="B7673">
        <v>82</v>
      </c>
      <c r="C7673" s="1">
        <f>hyperlink("https://hetutrechtsarchief.nl/collectie/13DC9709E224597E8EA0B0FB48D6031F","Het geslacht Freys van Dolre en Freys van Cuynre E B F F Wittert van Hoogland 1-8 1902")</f>
        <v>0</v>
      </c>
      <c r="D7673" s="1">
        <f>hyperlink("http://www.knggw.nl/raadplegen/de-nederlandsche-leeuw/1907-25/66/","Freijs van Dolre en Freijs van Cuijnre E B F F Wittert van Hoogland 1907")</f>
        <v>0</v>
      </c>
    </row>
    <row r="7674" spans="2:4">
      <c r="B7674">
        <v>54</v>
      </c>
      <c r="C7674" s="1">
        <f>hyperlink("https://hetutrechtsarchief.nl/collectie/BB4AAF45FF665F9A8DFD05FF4C75DA8B","Uit de oude schoenendoos 11 de Breedstraat omstreeks 1935 J H Sagel 80 2002")</f>
        <v>0</v>
      </c>
      <c r="D7674" s="1">
        <f>hyperlink("http://www.knggw.nl/raadplegen/de-nederlandsche-leeuw/1908-26/181/","De bezitters der kasteelen Schonauwen en Beverweerd tot omstreeks 1400 W A Beelaerts 1908")</f>
        <v>0</v>
      </c>
    </row>
    <row r="7675" spans="2:4">
      <c r="B7675">
        <v>56</v>
      </c>
      <c r="C7675" s="1">
        <f>hyperlink("https://hetutrechtsarchief.nl/collectie/D14BAFCA64C551ACB86936EBE80F4168","Het geslacht Van Goudoever E A van Beresteyn 209 -240 1907")</f>
        <v>0</v>
      </c>
      <c r="D7675" s="1">
        <f>hyperlink("http://www.knggw.nl/raadplegen/de-nederlandsche-leeuw/1908-26/34/","Geslacht van Weede P C Bloys van Treslong Prins 1908")</f>
        <v>0</v>
      </c>
    </row>
    <row r="7676" spans="2:4">
      <c r="B7676">
        <v>56</v>
      </c>
      <c r="C7676" s="1">
        <f>hyperlink("https://hetutrechtsarchief.nl/collectie/D11108286DA60DCCE0538F04000A234D","Zondagmorgen in Amerongen Leo van Putten 8-12 2021")</f>
        <v>0</v>
      </c>
      <c r="D7676" s="1">
        <f>hyperlink("http://www.knggw.nl/raadplegen/de-nederlandsche-leeuw/1908-26/39/","Taets van Amerongen P C Bloys van Treslong Prins 1908")</f>
        <v>0</v>
      </c>
    </row>
    <row r="7677" spans="2:4">
      <c r="B7677">
        <v>53</v>
      </c>
      <c r="C7677" s="1">
        <f>hyperlink("https://hetutrechtsarchief.nl/collectie/91038779566CEB9FE0534701000AB972","Naamgeving Hollandsche Rading Oost en West Louis van den Brink 6-9 2001")</f>
        <v>0</v>
      </c>
      <c r="D7677" s="1">
        <f>hyperlink("http://www.knggw.nl/raadplegen/de-nederlandsche-leeuw/1908-26/53/","Van Hollandt H W van Bloys van Treslong Prins P C Sandick 1908")</f>
        <v>0</v>
      </c>
    </row>
    <row r="7678" spans="2:4">
      <c r="B7678">
        <v>57</v>
      </c>
      <c r="C7678" s="1">
        <f>hyperlink("https://hetutrechtsarchief.nl/collectie/3131FC779D9D5659A27F906C36059E56","Aan mijn vriend Ph W van Heusde A Simons 147 1830")</f>
        <v>0</v>
      </c>
      <c r="D7678" s="1">
        <f>hyperlink("http://www.knggw.nl/raadplegen/de-nederlandsche-leeuw/1908-26/55/","Van Mijnden J van der Minne 1908")</f>
        <v>0</v>
      </c>
    </row>
    <row r="7679" spans="2:4">
      <c r="B7679">
        <v>52</v>
      </c>
      <c r="C7679" s="1">
        <f>hyperlink("https://hetutrechtsarchief.nl/collectie/0850100AF47456F088FB0FCD4945532D","Dansen in Utrecht Lex van Almelo 8-9 ill 1983")</f>
        <v>0</v>
      </c>
      <c r="D7679" s="1">
        <f>hyperlink("http://www.knggw.nl/raadplegen/de-nederlandsche-leeuw/1908-26/55/","Van Nellesteyn P C Bloys van Treslong Prins 1908")</f>
        <v>0</v>
      </c>
    </row>
    <row r="7680" spans="2:4">
      <c r="B7680">
        <v>59</v>
      </c>
      <c r="C7680" s="1">
        <f>hyperlink("https://hetutrechtsarchief.nl/collectie/8D10DE7CE23857BEB682F97D6278E651","De wapensmedenfamilie Van Solingen - v C 70 1949")</f>
        <v>0</v>
      </c>
      <c r="D7680" s="1">
        <f>hyperlink("http://www.knggw.nl/raadplegen/de-nederlandsche-leeuw/1908-26/69/","De Wijksche regentenfamilie van Ommeren H W van Sandick 1908")</f>
        <v>0</v>
      </c>
    </row>
    <row r="7681" spans="2:4">
      <c r="B7681">
        <v>60</v>
      </c>
      <c r="C7681" s="1">
        <f>hyperlink("https://hetutrechtsarchief.nl/collectie/64787D217EAE59359E7BA71FC2BE01BF","Latijnse aantekeningen uit de Missaal van het kasteel Loenersloot betreffende de families Van Zwieten en Van Amstel van Mijnden Wouterina P Bouwman 1-21 1998")</f>
        <v>0</v>
      </c>
      <c r="D7681" s="1">
        <f>hyperlink("http://www.knggw.nl/raadplegen/de-nederlandsche-leeuw/1908-26/78/","Aanmerkingen op de aantekeningen van Van Buchell en Booth betreffende de familie Van Sypesteyn C H C A van Sypesteyn 1908")</f>
        <v>0</v>
      </c>
    </row>
    <row r="7682" spans="2:4">
      <c r="B7682">
        <v>58</v>
      </c>
      <c r="C7682" s="1">
        <f>hyperlink("https://hetutrechtsarchief.nl/collectie/A710FD926E2256F78DE23BE855337F84","Bijdrage tot de genealogie van het geslacht Van Wijkerslooth E B F F Wittert van Hoogland 497 -522 1902")</f>
        <v>0</v>
      </c>
      <c r="D7682" s="1">
        <f>hyperlink("http://www.knggw.nl/raadplegen/de-nederlandsche-leeuw/1909-27/21/","De bezitters der kasteelen Schonauwen en Beverweerd tot omstreeks 1400 E B F F Wittert van Hoogland 1909")</f>
        <v>0</v>
      </c>
    </row>
    <row r="7683" spans="2:4">
      <c r="B7683">
        <v>53</v>
      </c>
      <c r="C7683" s="1">
        <f>hyperlink("https://hetutrechtsarchief.nl/collectie/86CD3F2324FC5B3D9E426B8DE624E99B","Lijst van streken en plaatsen waar Utrechtse kapittels en de abdij van St Paulus goederen en tienden bezaten W Wijnaendts van Resandt 135-136 1966")</f>
        <v>0</v>
      </c>
      <c r="D7683" s="1">
        <f>hyperlink("http://www.knggw.nl/raadplegen/de-nederlandsche-leeuw/1910-28/125/;http://www.knggw.nl/raadplegen/de-nederlandsche-leeuw/1910-28/153/","Aanteekeningen uit de oude kerkelijke registers van Oud-Loosdrecht Oukerck en van Nieuw Loosdrecht de Zijp Sype W Wijnaendts van Resandt 1910")</f>
        <v>0</v>
      </c>
    </row>
    <row r="7684" spans="2:4">
      <c r="B7684">
        <v>66</v>
      </c>
      <c r="C7684" s="1">
        <f>hyperlink("https://hetutrechtsarchief.nl/collectie/13DC9709E224597E8EA0B0FB48D6031F","Het geslacht Freys van Dolre en Freys van Cuynre E B F F Wittert van Hoogland 1-8 1902")</f>
        <v>0</v>
      </c>
      <c r="D7684" s="1">
        <f>hyperlink("http://www.knggw.nl/raadplegen/de-nederlandsche-leeuw/1910-28/65/","Van Zuylen van Nyevelt E B F F Wittert van Hoogland 1910")</f>
        <v>0</v>
      </c>
    </row>
    <row r="7685" spans="2:4">
      <c r="B7685">
        <v>53</v>
      </c>
      <c r="C7685" s="1">
        <f>hyperlink("https://hetutrechtsarchief.nl/collectie/695692DD9B8855DABBC03F59D8DBE624","Achtergronden van de Unie van Utrecht A van Hulzen 24-55 ill 1978")</f>
        <v>0</v>
      </c>
      <c r="D7685" s="1">
        <f>hyperlink("http://www.knggw.nl/raadplegen/de-nederlandsche-leeuw/1910-28/69/","Romondt van Pauw van Wieldrecht en Darthuijzen 1910")</f>
        <v>0</v>
      </c>
    </row>
    <row r="7686" spans="2:4">
      <c r="B7686">
        <v>66</v>
      </c>
      <c r="C7686" s="1">
        <f>hyperlink("https://hetutrechtsarchief.nl/collectie/C004BFE2CBA35E2DB8AF68806CA6D60A","Van Hoboken W Wijnaendts van Resandt 172-178 1961")</f>
        <v>0</v>
      </c>
      <c r="D7686" s="1">
        <f>hyperlink("http://www.knggw.nl/raadplegen/de-nederlandsche-leeuw/1911-29/15/;http://www.knggw.nl/raadplegen/de-nederlandsche-leeuw/1911-29/15/","Archiefsprokkels uit Rhenen W Wijnaendts van Resandt 1911")</f>
        <v>0</v>
      </c>
    </row>
    <row r="7687" spans="2:4">
      <c r="B7687">
        <v>56</v>
      </c>
      <c r="C7687" s="1">
        <f>hyperlink("https://hetutrechtsarchief.nl/collectie/611B95F570CD548D8BC7927F2CDAEC08","Donderstraat 11 W van Waasbergen 2 1956")</f>
        <v>0</v>
      </c>
      <c r="D7687" s="1">
        <f>hyperlink("http://www.knggw.nl/raadplegen/de-nederlandsche-leeuw/1912-30/127/","Van Kerckraad C A van Woelderen 1912")</f>
        <v>0</v>
      </c>
    </row>
    <row r="7688" spans="2:4">
      <c r="B7688">
        <v>68</v>
      </c>
      <c r="C7688" s="1">
        <f>hyperlink("https://hetutrechtsarchief.nl/collectie/9D294D489DD65BF5B0CC074748A8C31F","De ineensmelting te Utrecht 1835-1887 1894 G van Klaveren Pz 5 -12 1934")</f>
        <v>0</v>
      </c>
      <c r="D7688" s="1">
        <f>hyperlink("http://www.knggw.nl/raadplegen/de-nederlandsche-leeuw/1913-31/64/;http://www.knggw.nl/raadplegen/de-nederlandsche-leeuw/1913-31/79/","De regeering der stad Utrecht 1528-1577 G van Klaveren 1913")</f>
        <v>0</v>
      </c>
    </row>
    <row r="7689" spans="2:4">
      <c r="B7689">
        <v>62</v>
      </c>
      <c r="C7689" s="1">
        <f>hyperlink("https://hetutrechtsarchief.nl/collectie/AD467D82C48E5DF4BC6F5756C38BC0CF","Bijdrage tot de kennis van de Utrechtse maten en gewichten medeged door F Ketner 190 -198 1947")</f>
        <v>0</v>
      </c>
      <c r="D7689" s="1">
        <f>hyperlink("http://www.knggw.nl/raadplegen/de-nederlandsche-leeuw/1915-33/21/;http://www.knggw.nl/raadplegen/de-nederlandsche-leeuw/1915-33/117/;http://www.knggw.nl/raadplegen/de-nederlandsche-leeuw/1916-34/23/;http://www.knggw.nl/raadplegen/de-nederlandsche-leeuw/1916-34/48/;http://www.knggw.nl/raadplegen/de-nederlandsche-leeuw/1918-36/81/","Bijdragen tot de kennis van Johan van Oldenbarnevelt en zijn geslacht J D Wagner 1915-1918")</f>
        <v>0</v>
      </c>
    </row>
    <row r="7690" spans="2:4">
      <c r="B7690">
        <v>54</v>
      </c>
      <c r="C7690" s="1">
        <f>hyperlink("https://hetutrechtsarchief.nl/collectie/B6EB34EBA8305567A90BD22A0BD68A41","Enkele kanttekeningen bij De eerste kerken in Utrecht T J Hoekstra 36-43 ill plgr 1996")</f>
        <v>0</v>
      </c>
      <c r="D7690" s="1">
        <f>hyperlink("http://www.knggw.nl/raadplegen/de-nederlandsche-leeuw/1916-34/163/","Enkele aanteekeningen uit de twee oudste kerkelijke inteekenregisters te Utrecht voornamelijk betreffende officieren W Wijnaendts van Resandt 1916")</f>
        <v>0</v>
      </c>
    </row>
    <row r="7691" spans="2:4">
      <c r="B7691">
        <v>61</v>
      </c>
      <c r="C7691" s="1">
        <f>hyperlink("https://hetutrechtsarchief.nl/collectie/ED39522B13E853D7ABCD8862B152ED99","Het Utrechtse geslacht van Resant oudtijds van Rosant W Wijnaendts van Resandt 42-52 1956")</f>
        <v>0</v>
      </c>
      <c r="D7691" s="1">
        <f>hyperlink("http://www.knggw.nl/raadplegen/de-nederlandsche-leeuw/1916-34/39/;http://www.knggw.nl/raadplegen/de-nederlandsche-leeuw/1916-34/80/;http://www.knggw.nl/raadplegen/de-nederlandsche-leeuw/1916-34/103/;http://www.knggw.nl/raadplegen/de-nederlandsche-leeuw/1916-34/115/","Aanteekeningen uit de oude registers van ondertrouw van Amersfoort W Wijnaendts van Resandt 1916")</f>
        <v>0</v>
      </c>
    </row>
    <row r="7692" spans="2:4">
      <c r="B7692">
        <v>72</v>
      </c>
      <c r="C7692" s="1">
        <f>hyperlink("https://hetutrechtsarchief.nl/collectie/ED39522B13E853D7ABCD8862B152ED99","Het Utrechtse geslacht van Resant oudtijds van Rosant W Wijnaendts van Resandt 42-52 1956")</f>
        <v>0</v>
      </c>
      <c r="D7692" s="1">
        <f>hyperlink("http://www.knggw.nl/raadplegen/de-nederlandsche-leeuw/1916-34/83/","De Utrechtsche familie de Hooch van Rosant W Wijnaendts van Resandt 1916")</f>
        <v>0</v>
      </c>
    </row>
    <row r="7693" spans="2:4">
      <c r="B7693">
        <v>56</v>
      </c>
      <c r="C7693" s="1">
        <f>hyperlink("https://hetutrechtsarchief.nl/collectie/70F106CF1C3E5FD6B05C9437C7AF536E","Opening van de nieuwe kaasmarkt te Breukelen in 1927 Henk van Walderveen 32-34 2006")</f>
        <v>0</v>
      </c>
      <c r="D7693" s="1">
        <f>hyperlink("http://www.knggw.nl/raadplegen/de-nederlandsche-leeuw/1917-35/114/","Verkooping van wapenborden uit de kerk te Rhenen in 1798 A Hoynck van Papendrecht 1917")</f>
        <v>0</v>
      </c>
    </row>
    <row r="7694" spans="2:4">
      <c r="B7694">
        <v>54</v>
      </c>
      <c r="C7694" s="1">
        <f>hyperlink("https://hetutrechtsarchief.nl/collectie/E9FF6329CE71517B99DEF8FF7B39D772","Fragment-genealogie van het Utrechtsche geslacht van Griethuysen A Haga 317-321 1937")</f>
        <v>0</v>
      </c>
      <c r="D7694" s="1">
        <f>hyperlink("http://www.knggw.nl/raadplegen/de-nederlandsche-leeuw/1918-36/100/","Fragment-genealogie Vreeland Ph F W van Romondt 1918")</f>
        <v>0</v>
      </c>
    </row>
    <row r="7695" spans="2:4">
      <c r="B7695">
        <v>59</v>
      </c>
      <c r="C7695" s="1">
        <f>hyperlink("https://hetutrechtsarchief.nl/collectie/C6FD054767E3559E95575EAFB738B187","Weekend zonder geweld Merel van Leeuwen 21 2009")</f>
        <v>0</v>
      </c>
      <c r="D7695" s="1">
        <f>hyperlink("http://www.knggw.nl/raadplegen/de-nederlandsche-leeuw/1918-36/125/","Wapens in de Luth Kerk te Woerden J van Leeuwen 1918")</f>
        <v>0</v>
      </c>
    </row>
    <row r="7696" spans="2:4">
      <c r="B7696">
        <v>67</v>
      </c>
      <c r="C7696" s="1">
        <f>hyperlink("https://hetutrechtsarchief.nl/collectie/9DDBF6DEC9865063BBEFD511B7167456","De riddermatigheid van het geslacht van Ysselt v r 1450 W A Beelaerts van Blokland 101-104 1923")</f>
        <v>0</v>
      </c>
      <c r="D7696" s="1">
        <f>hyperlink("http://www.knggw.nl/raadplegen/de-nederlandsche-leeuw/1918-36/133/","Opmerkingen aangaande het geslacht van de Poll W A Beelaerts van Blokland 1918")</f>
        <v>0</v>
      </c>
    </row>
    <row r="7697" spans="2:4">
      <c r="B7697">
        <v>94</v>
      </c>
      <c r="C7697" s="1">
        <f>hyperlink("https://hetutrechtsarchief.nl/collectie/88367CB1F47459B691F3F40F8BFD54CD","Het geslacht Sark in Nederland s Patriciaat W F Hartman 211-216 1920")</f>
        <v>0</v>
      </c>
      <c r="D7697" s="1">
        <f>hyperlink("http://www.knggw.nl/raadplegen/de-nederlandsche-leeuw/1920-38/110/","Het geslacht Sark in Nederland s Patriciaat W F Hartman 1920")</f>
        <v>0</v>
      </c>
    </row>
    <row r="7698" spans="2:4">
      <c r="B7698">
        <v>74</v>
      </c>
      <c r="C7698" s="1">
        <f>hyperlink("https://hetutrechtsarchief.nl/collectie/73DE7E2CC1A85F57A528DE0500C97673","De wapens der voormalige heerlijkheden S Muller Fz en E J Th Th van der Hoop 206-211 1920")</f>
        <v>0</v>
      </c>
      <c r="D7698" s="1">
        <f>hyperlink("http://www.knggw.nl/raadplegen/de-nederlandsche-leeuw/1920-38/68/;http://www.knggw.nl/raadplegen/de-nederlandsche-leeuw/1920-38/107/","De wapens der voormalige heerlijkheden S Thomassen Thuessink van der Hoop E J Th Muller 1920")</f>
        <v>0</v>
      </c>
    </row>
    <row r="7699" spans="2:4">
      <c r="B7699">
        <v>55</v>
      </c>
      <c r="C7699" s="1">
        <f>hyperlink("https://hetutrechtsarchief.nl/collectie/B23143D1C72954D7984920BEA37EE9AF","Nog een en ander over het geslacht Freys van Dolre P M van Walchren 168-170 1902")</f>
        <v>0</v>
      </c>
      <c r="D7699" s="1">
        <f>hyperlink("http://www.knggw.nl/raadplegen/de-nederlandsche-leeuw/1921-39/8/","De markiezen van Montfort en het geslacht Capadose Th R Valck Lucassen 1921")</f>
        <v>0</v>
      </c>
    </row>
    <row r="7700" spans="2:4">
      <c r="B7700">
        <v>59</v>
      </c>
      <c r="C7700" s="1">
        <f>hyperlink("https://hetutrechtsarchief.nl/collectie/9DDBF6DEC9865063BBEFD511B7167456","De riddermatigheid van het geslacht van Ysselt v r 1450 W A Beelaerts van Blokland 101-104 1923")</f>
        <v>0</v>
      </c>
      <c r="D7700" s="1">
        <f>hyperlink("http://www.knggw.nl/raadplegen/de-nederlandsche-leeuw/1922-40/134/","Een drietal leden der hofhouding van Bisschop Jan van Diest van der Goude - van Ysselt - Vlaming W A Beelaerts van Blokland 1922")</f>
        <v>0</v>
      </c>
    </row>
    <row r="7701" spans="2:4">
      <c r="B7701">
        <v>56</v>
      </c>
      <c r="C7701" s="1">
        <f>hyperlink("https://hetutrechtsarchief.nl/collectie/D1AAE399885F5A6A9C0AF5007AFB4432","Een Haags geslacht Van Os uit het Utrechtse ca 1640-1880 J F Wendte 321-341 2012")</f>
        <v>0</v>
      </c>
      <c r="D7701" s="1">
        <f>hyperlink("http://www.knggw.nl/raadplegen/de-nederlandsche-leeuw/1922-40/197/","Eenige sterfdata van meest Utrechtschen adel 1517-1557 J D Wagner 1922")</f>
        <v>0</v>
      </c>
    </row>
    <row r="7702" spans="2:4">
      <c r="B7702">
        <v>70</v>
      </c>
      <c r="C7702" s="1">
        <f>hyperlink("https://hetutrechtsarchief.nl/collectie/C004BFE2CBA35E2DB8AF68806CA6D60A","Van Hoboken W Wijnaendts van Resandt 172-178 1961")</f>
        <v>0</v>
      </c>
      <c r="D7702" s="1">
        <f>hyperlink("http://www.knggw.nl/raadplegen/de-nederlandsche-leeuw/1922-40/198/","Ketel van Hackfort W Wijnaendts van Resandt 1922")</f>
        <v>0</v>
      </c>
    </row>
    <row r="7703" spans="2:4">
      <c r="B7703">
        <v>52</v>
      </c>
      <c r="C7703" s="1">
        <f>hyperlink("https://hetutrechtsarchief.nl/collectie/4FD8CC3E922D57AA8F026DD1AC7369A4","Het wapen der gemeente Driebergen-Rijsenburg Th R Valck Lucassen 262-271 1933")</f>
        <v>0</v>
      </c>
      <c r="D7703" s="1">
        <f>hyperlink("http://www.knggw.nl/raadplegen/de-nederlandsche-leeuw/1922-40/50/","Johanna van Montfoort dochter van Hendrik IV burggraaf van Montfoort Th R Valck Lucassen 1922")</f>
        <v>0</v>
      </c>
    </row>
    <row r="7704" spans="2:4">
      <c r="B7704">
        <v>92</v>
      </c>
      <c r="C7704" s="1">
        <f>hyperlink("https://hetutrechtsarchief.nl/collectie/D343D5D5FEF958418353A8737DD23A9E","Nog eens Hieronymus van Ysselt A F O van Sasse van IJsselt 193-195 1923")</f>
        <v>0</v>
      </c>
      <c r="D7704" s="1">
        <f>hyperlink("http://www.knggw.nl/raadplegen/de-nederlandsche-leeuw/1923-41/105/","Nog eens Hieronymus van Ysselt A F O van Sasse van Ysselt 1923")</f>
        <v>0</v>
      </c>
    </row>
    <row r="7705" spans="2:4">
      <c r="B7705">
        <v>84</v>
      </c>
      <c r="C7705" s="1">
        <f>hyperlink("https://hetutrechtsarchief.nl/collectie/964E7B3E99945D1A9F91FF59DD982546","Het wapenboek van de Geldersch-Overijselsche Studentenvereeniging aan de Utrechtsche Hoogeschool 1635-1671 naamregister C J Welcker 34-43 77-80 111-116 139-144 1924")</f>
        <v>0</v>
      </c>
      <c r="D7705" s="1">
        <f>hyperlink("http://www.knggw.nl/raadplegen/de-nederlandsche-leeuw/1924-42/23/;http://www.knggw.nl/raadplegen/de-nederlandsche-leeuw/1924-42/47/;http://www.knggw.nl/raadplegen/de-nederlandsche-leeuw/1924-42/64/;http://www.knggw.nl/raadplegen/de-nederlandsche-leeuw/1924-42/78/;http://www.knggw.nl/raadplegen/de-nederlandsche-leeuw/1924-42/99/","Het Wapenboek der Geldersch-Overijsselsche studentenvereeniging aan de Utrechtsche Hoogeschool 1635-1671 C J Welcker 1924")</f>
        <v>0</v>
      </c>
    </row>
    <row r="7706" spans="2:4">
      <c r="B7706">
        <v>85</v>
      </c>
      <c r="C7706" s="1">
        <f>hyperlink("https://hetutrechtsarchief.nl/collectie/CF22A0B3902257BBB90853BEE555F81D","Wapenboek der Friesch-Groningsche Studentenvereeniging aan de Utrechtsche Hoogeschool 1648-1656 beschreven door wijlen W G Feith 98-104 135-140 1924")</f>
        <v>0</v>
      </c>
      <c r="D7706" s="1">
        <f>hyperlink("http://www.knggw.nl/raadplegen/de-nederlandsche-leeuw/1924-42/57/;http://www.knggw.nl/raadplegen/de-nederlandsche-leeuw/1924-42/76/","Wapenboek der Friesch-Groningsche Studentenvereniging aan de Utrechtsche Hoogeschool 1648-1656 W G Feith 1924")</f>
        <v>0</v>
      </c>
    </row>
    <row r="7707" spans="2:4">
      <c r="B7707">
        <v>54</v>
      </c>
      <c r="C7707" s="1">
        <f>hyperlink("https://hetutrechtsarchief.nl/collectie/A66E5719FC305169B3ADD3DBE8D92AD7","Eenige aanteekeningen over de Lijnmarkt en namen van gevelstenen en uithangborden in die straat C A de Kruyff 271 -274 1899")</f>
        <v>0</v>
      </c>
      <c r="D7707" s="1">
        <f>hyperlink("http://www.knggw.nl/raadplegen/de-nederlandsche-leeuw/1924-42/81/","Eenige aanteekeningen omtrent trouw en overlijden opgemaakt door heer Cornelis Claesz van Velden gezegd de Goede vice curator te Montfoort W J J C Bijleveld 1924")</f>
        <v>0</v>
      </c>
    </row>
    <row r="7708" spans="2:4">
      <c r="B7708">
        <v>96</v>
      </c>
      <c r="C7708" s="1">
        <f>hyperlink("https://hetutrechtsarchief.nl/collectie/E43268E5A4FF51C7B4FE63514503508D","De eerste leden van het geslacht de Fremery hier te lande W Wijnaendts van Resandt 362-370 1925")</f>
        <v>0</v>
      </c>
      <c r="D7708" s="1">
        <f>hyperlink("http://www.knggw.nl/raadplegen/de-nederlandsche-leeuw/1925-43/190/","De eerste leden van het geslacht de Fremery hier te lande W Wijnaendts van Resandt 1925")</f>
        <v>0</v>
      </c>
    </row>
    <row r="7709" spans="2:4">
      <c r="B7709">
        <v>97</v>
      </c>
      <c r="C7709" s="1">
        <f>hyperlink("https://hetutrechtsarchief.nl/collectie/10B1BB20DE305A6FBEACEEFD6D2F7070","Bijdrage tot de genealogie van het uit de provincie Utrecht stammende geslacht de Wijs Joan Muller 56-61 1926")</f>
        <v>0</v>
      </c>
      <c r="D7709" s="1">
        <f>hyperlink("http://www.knggw.nl/raadplegen/de-nederlandsche-leeuw/1926-44/32/","Bijdrage tot de genealogie van het uit de provincie Utrecht stammende geslacht de Wijs Joan Muller 1926")</f>
        <v>0</v>
      </c>
    </row>
    <row r="7710" spans="2:4">
      <c r="B7710">
        <v>73</v>
      </c>
      <c r="C7710" s="1">
        <f>hyperlink("https://hetutrechtsarchief.nl/collectie/9DDBF6DEC9865063BBEFD511B7167456","De riddermatigheid van het geslacht van Ysselt v r 1450 W A Beelaerts van Blokland 101-104 1923")</f>
        <v>0</v>
      </c>
      <c r="D7710" s="1">
        <f>hyperlink("http://www.knggw.nl/raadplegen/de-nederlandsche-leeuw/1926-44/38/","De herkomst van het geslacht van Beeftingh W A Beelaerts van Blokland 1926")</f>
        <v>0</v>
      </c>
    </row>
    <row r="7711" spans="2:4">
      <c r="B7711">
        <v>88</v>
      </c>
      <c r="C7711" s="1">
        <f>hyperlink("https://hetutrechtsarchief.nl/collectie/A27B8AAD5EA55956BEDE0CD2FDC8DC67","Fragment-genealogie van het uitgestorven geslacht van Voorst Utrecht medeged door M G Wildeman 2-12 47-56 1926")</f>
        <v>0</v>
      </c>
      <c r="D7711" s="1">
        <f>hyperlink("http://www.knggw.nl/raadplegen/de-nederlandsche-leeuw/1926-44/5/;http://www.knggw.nl/raadplegen/de-nederlandsche-leeuw/1926-44/28/","Fragment-genealogie van het uitgestorven geslacht Van Voorst Utrecht M G Wildeman 1926")</f>
        <v>0</v>
      </c>
    </row>
    <row r="7712" spans="2:4">
      <c r="B7712">
        <v>95</v>
      </c>
      <c r="C7712" s="1">
        <f>hyperlink("https://hetutrechtsarchief.nl/collectie/108CB5118D835693B8F3EB8DE03844B2","De eerste generaties van het geslacht van Weede W Wijnaendts van Resandt 130-135 1926")</f>
        <v>0</v>
      </c>
      <c r="D7712" s="1">
        <f>hyperlink("http://www.knggw.nl/raadplegen/de-nederlandsche-leeuw/1926-44/69/","De eerste generaties van het geslacht Van Weede W Wijnaendts van Resandt 1926")</f>
        <v>0</v>
      </c>
    </row>
    <row r="7713" spans="2:4">
      <c r="B7713">
        <v>55</v>
      </c>
      <c r="C7713" s="1">
        <f>hyperlink("https://hetutrechtsarchief.nl/collectie/F24A641441C55A1E93C8BFF2D6C6655C","Nog iets over H de Keyser en zijn geslacht J H van Bolhuis 200 -207 1 pl 1837")</f>
        <v>0</v>
      </c>
      <c r="D7713" s="1">
        <f>hyperlink("http://www.knggw.nl/raadplegen/de-nederlandsche-leeuw/1927-45/145/;http://www.knggw.nl/raadplegen/de-nederlandsche-leeuw/1928-46/188/","Ds Assuerus van de Poll Pollio en zijn geslacht H van de Poll 1927-1928")</f>
        <v>0</v>
      </c>
    </row>
    <row r="7714" spans="2:4">
      <c r="B7714">
        <v>60</v>
      </c>
      <c r="C7714" s="1">
        <f>hyperlink("https://hetutrechtsarchief.nl/collectie/59382B4EA3E45266945D5EAC65ABF13B","Gemeentewapens Henk Jan Derksen 19-28 2008")</f>
        <v>0</v>
      </c>
      <c r="D7714" s="1">
        <f>hyperlink("http://www.knggw.nl/raadplegen/de-nederlandsche-leeuw/1928-46/132/","Gemeentewapen 1928")</f>
        <v>0</v>
      </c>
    </row>
    <row r="7715" spans="2:4">
      <c r="B7715">
        <v>74</v>
      </c>
      <c r="C7715" s="1">
        <f>hyperlink("https://hetutrechtsarchief.nl/collectie/91D6628922095DA6AB198ACC96BCFDBA","De afstamming van Johan van Oldenbarnevelt W Wijnaendts van Resandt 160-180 1968")</f>
        <v>0</v>
      </c>
      <c r="D7715" s="1">
        <f>hyperlink("http://www.knggw.nl/raadplegen/de-nederlandsche-leeuw/1928-46/15/","De allianties van der Burch-van Weede-van Oldenbarneveldt W Wijnaendts van Resandt 1928")</f>
        <v>0</v>
      </c>
    </row>
    <row r="7716" spans="2:4">
      <c r="B7716">
        <v>93</v>
      </c>
      <c r="C7716" s="1">
        <f>hyperlink("https://hetutrechtsarchief.nl/collectie/7E57CCDE957A5611B750BDFE43D2B17C","De oudste generaties van het geslacht van Goudoever G van Klaveren Pz 367-369 1929")</f>
        <v>0</v>
      </c>
      <c r="D7716" s="1">
        <f>hyperlink("http://www.knggw.nl/raadplegen/de-nederlandsche-leeuw/1929-47/194/","De oudste generaties van het geslacht van Goudoever G van Klaveren 1929")</f>
        <v>0</v>
      </c>
    </row>
    <row r="7717" spans="2:4">
      <c r="B7717">
        <v>95</v>
      </c>
      <c r="C7717" s="1">
        <f>hyperlink("https://hetutrechtsarchief.nl/collectie/C7E8E8008C4C5E048A19FB8FA74C10CC","Genealogisch fragment Schade te Utrecht en te Rotterdam in de 15e en 16e eeuw M G Wildeman 99-108 1930")</f>
        <v>0</v>
      </c>
      <c r="D7717" s="1">
        <f>hyperlink("http://www.knggw.nl/raadplegen/de-nederlandsche-leeuw/1930-48/53/","Genealogisch fragment Schade te Utrecht en te Rotterdam in de 15de en 16de eeuw M G Wildeman 1930")</f>
        <v>0</v>
      </c>
    </row>
    <row r="7718" spans="2:4">
      <c r="B7718">
        <v>94</v>
      </c>
      <c r="C7718" s="1">
        <f>hyperlink("https://hetutrechtsarchief.nl/collectie/84B8B512C49859FE8B02AC40E0D90F1D","Iets over den grafsteen van Adriaen de Wael van Vronesteyn E C M Prins 217-219 1931")</f>
        <v>0</v>
      </c>
      <c r="D7718" s="1">
        <f>hyperlink("http://www.knggw.nl/raadplegen/de-nederlandsche-leeuw/1931-49/113/;http://www.knggw.nl/raadplegen/de-nederlandsche-leeuw/1932-50/143/","Iets over den grafsteen van Adriaen de Wael van Vronesteyn E C M Prins 1931-1932")</f>
        <v>0</v>
      </c>
    </row>
    <row r="7719" spans="2:4">
      <c r="B7719">
        <v>54</v>
      </c>
      <c r="C7719" s="1">
        <f>hyperlink("https://hetutrechtsarchief.nl/collectie/1DBD6F07D49C527AAC8995F971CCA0F4","Zoektocht naar de oorsprong van de familie Bader Joop Bader 40-41 ill 1998")</f>
        <v>0</v>
      </c>
      <c r="D7719" s="1">
        <f>hyperlink("http://www.knggw.nl/raadplegen/de-nederlandsche-leeuw/1931-49/30/","Hovelingh de oorspronkelijke naam der familie van Vloten J W A Haagen Smit 1931")</f>
        <v>0</v>
      </c>
    </row>
    <row r="7720" spans="2:4">
      <c r="B7720">
        <v>96</v>
      </c>
      <c r="C7720" s="1">
        <f>hyperlink("https://hetutrechtsarchief.nl/collectie/1C4225DAC870558CB2EC936A7F7332AB","Bijdrage tot de genealogie van het geslacht van Bern te Wijk bij Duurstede H W M J Nieuwenkamp 143-146 1931")</f>
        <v>0</v>
      </c>
      <c r="D7720" s="1">
        <f>hyperlink("http://www.knggw.nl/raadplegen/de-nederlandsche-leeuw/1931-49/76/","Bijdrage tot de genealogie van het geslacht van Bern te Wijk bij Duurstede H W M J Nieuwenkamp 1931")</f>
        <v>0</v>
      </c>
    </row>
    <row r="7721" spans="2:4">
      <c r="B7721">
        <v>95</v>
      </c>
      <c r="C7721" s="1">
        <f>hyperlink("https://hetutrechtsarchief.nl/collectie/57CA02A83E8C5CAFBB68B019232E280E","Een viertal oude portretten op het kasteel Oudegein R T Muschart 332-336 1932")</f>
        <v>0</v>
      </c>
      <c r="D7721" s="1">
        <f>hyperlink("http://www.knggw.nl/raadplegen/de-nederlandsche-leeuw/1932-50/176/","Een viertal oude portretten op het kasteel Oudegein R T Muschart 1932")</f>
        <v>0</v>
      </c>
    </row>
    <row r="7722" spans="2:4">
      <c r="B7722">
        <v>99</v>
      </c>
      <c r="C7722" s="1">
        <f>hyperlink("https://hetutrechtsarchief.nl/collectie/5BBD72486EFC5FF7907E169BAB67C206","De samenstelling van het Utrechts stadsbestuur 1795-1813 R E de Bruin 169-200 1984")</f>
        <v>0</v>
      </c>
      <c r="D7722" s="1">
        <f>hyperlink("http://www.knhg.nl/bmgn2/B/Bruin__R._E._de_-_De_samenstelling_van_het_Utrechtse_stadsbe.pdf","De samenstelling van het Utrechtse stadsbestuur 1795-1813 R E de Bruin 169-200 1984")</f>
        <v>0</v>
      </c>
    </row>
    <row r="7723" spans="2:4">
      <c r="B7723">
        <v>100</v>
      </c>
      <c r="C7723" s="1">
        <f>hyperlink("https://hetutrechtsarchief.nl/collectie/EC30CD25AFAD5030B805AF0CF2C7EF01","Stilte na de storm Utrecht in de eerste helft van de negentiende eeuw R E de Bruin 510-528 1986")</f>
        <v>0</v>
      </c>
      <c r="D7723" s="1">
        <f>hyperlink("http://www.knhg.nl/bmgn2/B/Bruin__R._E._de_-_Stilte_na_de_storm._Utrecht_in_de_eerste_h.pdf","Stilte na de storm Utrecht in de eerste helft van de negentiende eeuw R E de Bruin 510-528 1986")</f>
        <v>0</v>
      </c>
    </row>
    <row r="7724" spans="2:4">
      <c r="B7724">
        <v>100</v>
      </c>
      <c r="C7724" s="1">
        <f>hyperlink("https://hetutrechtsarchief.nl/collectie/04FA992573235C6FA03B355C8E5A6C0E","Tussen burgerij en adel de financi le politieke en maatschappelijke carri re van de Utrechtse patrici r Lambert de Vries ca 1250-1316 J W J Burgers 1-32 1991")</f>
        <v>0</v>
      </c>
      <c r="D7724" s="1">
        <f>hyperlink("http://www.knhg.nl/bmgn2/B/Burgers__J._W._J._-_Tussen_burgerij_en_adel._De_financiele_.pdf","Tussen burgerij en adel de financi le politieke en maatschappelijke carri re van de Utrechtse patrici r Lambert de Vries ca 1250-1316 J W J Burgers 1-32 1991")</f>
        <v>0</v>
      </c>
    </row>
    <row r="7725" spans="2:4">
      <c r="B7725">
        <v>54</v>
      </c>
      <c r="C7725" s="1">
        <f>hyperlink("https://hetutrechtsarchief.nl/collectie/3E1D18655FDA59DEB4A9C8751A062B52","Woontorens in het Langbroeker landschap Hans Renes 11-17 2008")</f>
        <v>0</v>
      </c>
      <c r="D7725" s="1">
        <f>hyperlink("http://www.landschaperfgoedutrecht.nl/client/landschaperfgoedutrecht/upload/pdf/03Ambities.pdf","Ambities en machtsaanspraken Janskerk Janskerkhof 26 Utrecht Hanneke Lenders 14-17 2008")</f>
        <v>0</v>
      </c>
    </row>
    <row r="7726" spans="2:4">
      <c r="B7726">
        <v>55</v>
      </c>
      <c r="C7726" s="1">
        <f>hyperlink("https://hetutrechtsarchief.nl/collectie/03049BC079A55B37BAF1079D24CE79A5","Zegel van de Cunerakerk te Rhenen Ad J de Jong 47-52 2008")</f>
        <v>0</v>
      </c>
      <c r="D7726" s="1">
        <f>hyperlink("http://www.landschaperfgoedutrecht.nl/client/landschaperfgoedutrecht/upload/pdf/04Bedevaartskerk.pdf","Bedevaartskerk als symbool van een stad Cunerakerk Kerkplein 1 Rhenen Hans Wester 18-21 2008")</f>
        <v>0</v>
      </c>
    </row>
    <row r="7727" spans="2:4">
      <c r="B7727">
        <v>55</v>
      </c>
      <c r="C7727" s="1">
        <f>hyperlink("https://hetutrechtsarchief.nl/collectie/2D10198FFAE855EB9AB121C3ED712D66","Als een spin in het web Nettie Stoppelenburg 27-28 2001")</f>
        <v>0</v>
      </c>
      <c r="D7727" s="1">
        <f>hyperlink("http://www.landschaperfgoedutrecht.nl/client/landschaperfgoedutrecht/upload/pdf/06web.pdf","Als een spin in het web Hervormde Kerk Kerkstraat 3 3927 BR Renswoude Nicky Pouw 28-31 2008")</f>
        <v>0</v>
      </c>
    </row>
    <row r="7728" spans="2:4">
      <c r="B7728">
        <v>51</v>
      </c>
      <c r="C7728" s="1">
        <f>hyperlink("https://hetutrechtsarchief.nl/collectie/E834B3AB5D1A5D82A3D250FF94677133","Kinderen klein- en achterkleinkinderen van Arie Manten geb 1876 05 12 Arie A Manten 28-58 2001")</f>
        <v>0</v>
      </c>
      <c r="D7728" s="1">
        <f>hyperlink("http://www.landschaperfgoedutrecht.nl/client/landschaperfgoedutrecht/upload/pdf/07deuren.pdf","Geloven achter gesloten deuren Maria Minor nu caf Olivier Achter Clarenburg 6 3511 JJ Utrecht Marjan Kieboom 32-35 2008")</f>
        <v>0</v>
      </c>
    </row>
    <row r="7729" spans="2:4">
      <c r="B7729">
        <v>56</v>
      </c>
      <c r="C7729" s="1">
        <f>hyperlink("https://hetutrechtsarchief.nl/collectie/B85F2D9910C05F7E8CF6677E7EBEC767","Van vetters en ploters leerlooiers in Amersfoort Andr Clazing 10-25 2010")</f>
        <v>0</v>
      </c>
      <c r="D7729" s="1">
        <f>hyperlink("http://www.landschaperfgoedutrecht.nl/client/landschaperfgoedutrecht/upload/pdf/08Coulance.pdf","Coulance voor de Lutheranen Lutherse Kerk Langestraat 61 Amersfoort Daan Schaars 36-39 2008")</f>
        <v>0</v>
      </c>
    </row>
    <row r="7730" spans="2:4">
      <c r="B7730">
        <v>52</v>
      </c>
      <c r="C7730" s="1">
        <f>hyperlink("https://hetutrechtsarchief.nl/collectie/7D417E49E8715C6CB0CB759FE0597A04","Het warenhuis van de Broedergemeente in Zeist R P M Rhoen 167-169 2012")</f>
        <v>0</v>
      </c>
      <c r="D7730" s="1">
        <f>hyperlink("http://www.landschaperfgoedutrecht.nl/client/landschaperfgoedutrecht/upload/pdf/09trefpunt.pdf","Een huiskamer als trefpunt Gods Evangelische Broedergemeente Zusterplein 20 3703 CB Zeist Helmi Hillebrand 40-43 2008")</f>
        <v>0</v>
      </c>
    </row>
    <row r="7731" spans="2:4">
      <c r="B7731">
        <v>56</v>
      </c>
      <c r="C7731" s="1">
        <f>hyperlink("https://hetutrechtsarchief.nl/collectie/C25232A04737578DAC56880BABC49F83","Van ouds De Ooijevaar Oudegracht 171 Utrecht Frederike I Kappers 22-29 2010")</f>
        <v>0</v>
      </c>
      <c r="D7731" s="1">
        <f>hyperlink("http://www.landschaperfgoedutrecht.nl/client/landschaperfgoedutrecht/upload/pdf/10eenvoud.pdf","Voorname eenvoud aan de gracht Doopsgezinde kerk Oude Gracht 270 Utrecht Vincent de Kieviet 44-47 2008")</f>
        <v>0</v>
      </c>
    </row>
    <row r="7732" spans="2:4">
      <c r="B7732">
        <v>56</v>
      </c>
      <c r="C7732" s="1">
        <f>hyperlink("https://hetutrechtsarchief.nl/collectie/2B4E94A8CFC05B32BF7431EAA4651BF6","Gebr van de Wetering Metaalwarenfabriek Intergas wieg in Driebergen-Rijsenburg groot in Coevorden Jan Heemstra 24-32 2010")</f>
        <v>0</v>
      </c>
      <c r="D7732" s="1">
        <f>hyperlink("http://www.landschaperfgoedutrecht.nl/client/landschaperfgoedutrecht/upload/pdf/12verbreken.pdf","Het verbreken van de banden Sint Petrus Banden Kerkplein 5 Driebergen-Rijsenburg Henny de Leeuw 54-57 2008")</f>
        <v>0</v>
      </c>
    </row>
    <row r="7733" spans="2:4">
      <c r="B7733">
        <v>51</v>
      </c>
      <c r="C7733" s="1">
        <f>hyperlink("https://hetutrechtsarchief.nl/collectie/352CC22DE1B45538BC6CD2ADC6DB96A0","Het wapenbord in de Waverveense kerk Piet Koster 58-61 2001")</f>
        <v>0</v>
      </c>
      <c r="D7733" s="1">
        <f>hyperlink("http://www.landschaperfgoedutrecht.nl/client/landschaperfgoedutrecht/upload/pdf/13waterstaatskerk.pdf","Van boerderij naar waterstaatskerk Petrus en Pauluskerk Kerkplein 2 3784 AW Soest Marloes Soer 58-61 2008")</f>
        <v>0</v>
      </c>
    </row>
    <row r="7734" spans="2:4">
      <c r="B7734">
        <v>51</v>
      </c>
      <c r="C7734" s="1">
        <f>hyperlink("https://hetutrechtsarchief.nl/collectie/25274CC90EC452E6A986088C578247F8","Recent nieuws over vroege Utrechtse couranten Ren Vos 60-65 2008")</f>
        <v>0</v>
      </c>
      <c r="D7734" s="1">
        <f>hyperlink("http://www.landschaperfgoedutrecht.nl/client/landschaperfgoedutrecht/upload/pdf/14zelfvertrouwen.pdf","Hernieuwd zelfvertrouwen St Nicolaaskerk Utrechtsestraatweg 10 3438 AK Nieuwegein Victorien Koningsberger 62-65 2008")</f>
        <v>0</v>
      </c>
    </row>
    <row r="7735" spans="2:4">
      <c r="B7735">
        <v>54</v>
      </c>
      <c r="C7735" s="1">
        <f>hyperlink("https://hetutrechtsarchief.nl/collectie/C46B6234447DBAE7E0538F04000A7D9D","Geschiedenis van de gereformeerde kerk in Tienhoven na jarenlange leegstand gered van de sloop Jan Boesen 61-65 2021")</f>
        <v>0</v>
      </c>
      <c r="D7735" s="1">
        <f>hyperlink("http://www.landschaperfgoedutrecht.nl/client/landschaperfgoedutrecht/upload/pdf/15Kunstenaar.pdf","Kunstenaar en kerkbouw Gereformeerde kerk Nigtevechtseweg 3 3633 XR Vreeland Ary le van Rooij 66-69 2008")</f>
        <v>0</v>
      </c>
    </row>
    <row r="7736" spans="2:4">
      <c r="B7736">
        <v>51</v>
      </c>
      <c r="C7736" s="1">
        <f>hyperlink("https://hetutrechtsarchief.nl/collectie/8E89466C0F8956948F9288F328F8CAAF","Zoeken naar de geschiedenis van Springweg 154 Wim Zwanikken 3-47 2009")</f>
        <v>0</v>
      </c>
      <c r="D7736" s="1">
        <f>hyperlink("http://www.landschaperfgoedutrecht.nl/client/landschaperfgoedutrecht/upload/pdf/17Joodsgebedshuis.pdf","Van Doperse schuilkerk naar Joods gebedshuis Broodhuis Voormalige synagoge Springweg 93 Utrecht Lisette Neijenhuis 76-79 2008")</f>
        <v>0</v>
      </c>
    </row>
    <row r="7737" spans="2:4">
      <c r="B7737">
        <v>52</v>
      </c>
      <c r="C7737" s="1">
        <f>hyperlink("https://hetutrechtsarchief.nl/collectie/86F4D810C5AC5FC09F89351DBD77B462","Monumenten in De Bilt Burgemeester de Withstraat 31 De Bilt Redactie van de Biltse Grift 30-31 2006")</f>
        <v>0</v>
      </c>
      <c r="D7737" s="1">
        <f>hyperlink("http://www.landschaperfgoedutrecht.nl/client/landschaperfgoedutrecht/upload/pdf/18Delftseschool.pdf","Delftse school in De Bilt Micha lkerk Kerklaan 31 3731 EE De Bilt Jan Wittebol 80-83 2008")</f>
        <v>0</v>
      </c>
    </row>
    <row r="7738" spans="2:4">
      <c r="B7738">
        <v>51</v>
      </c>
      <c r="C7738" s="1">
        <f>hyperlink("https://hetutrechtsarchief.nl/collectie/039EC480A71F574194653F1CEA8120F4","Met melk meer mans melk per glas aan de Parkweg Auke Hoekstra 84-87 2005")</f>
        <v>0</v>
      </c>
      <c r="D7738" s="1">
        <f>hyperlink("http://www.landschaperfgoedutrecht.nl/client/landschaperfgoedutrecht/upload/pdf/19%20Maar.pdf","Maar dat lijkt wel een Thomaskerk Oranje Nassaulaan 35 3708 GA Zeist Marius Kingma 84-87 2008")</f>
        <v>0</v>
      </c>
    </row>
    <row r="7739" spans="2:4">
      <c r="B7739">
        <v>58</v>
      </c>
      <c r="C7739" s="1">
        <f>hyperlink("https://hetutrechtsarchief.nl/collectie/9CE33E2C01AA5D1EAFB1F8F846B53FD5","Sint-Maarten in de stad Utrecht Chris van Deventer 116-120 2007")</f>
        <v>0</v>
      </c>
      <c r="D7739" s="1">
        <f>hyperlink("http://www.landschaperfgoedutrecht.nl/client/landschaperfgoedutrecht/upload/pdf/20visitekaartje.pdf","Een visitekaartje voor Lombok ULU-moskee Utrecht Roos van Enter 88-91 2008")</f>
        <v>0</v>
      </c>
    </row>
    <row r="7740" spans="2:4">
      <c r="B7740">
        <v>52</v>
      </c>
      <c r="C7740" s="1">
        <f>hyperlink("https://hetutrechtsarchief.nl/collectie/532DB200DF0E506B84E2118CBFCEB451","Het verhaal van Anne Sepp arbeider bij de aanleg van de watermolens langs de Meentweg in Eemnes bew door Henk van Hees 34-38 2006")</f>
        <v>0</v>
      </c>
      <c r="D7740" s="1">
        <f>hyperlink("http://www.leendertvandervalk.nl/NRC_van%20wijk.pdf","Het verhaal van architect Theo van Wijk 59 over de ontdekking van de schat onder het Domplein je kijkt er naar de Romeinen opgetekend door Leendert van der Valk Leendert van der Wijk Theo van Valk 2008")</f>
        <v>0</v>
      </c>
    </row>
    <row r="7741" spans="2:4">
      <c r="B7741">
        <v>51</v>
      </c>
      <c r="C7741" s="1">
        <f>hyperlink("https://hetutrechtsarchief.nl/collectie/A7DFFC68276C587CADBBD688C2373EFC","Leer nooit te vergeten Vernieuwing Nationaal monument Kamp Amersfoort Willemien Meershoek Pascalle Kalj 14-15 2015")</f>
        <v>0</v>
      </c>
      <c r="D7741" s="1">
        <f>hyperlink("http://www.lesi.nl/fileadmin/bestanden/Publicaties/LESI_RP05_Als_meedoen_niet_lukt.pdf","Als meedoen niet lukt signaleren typeren en aanpakken van sociaal isolement in Utrecht Amersfoort en Nieuwegein Marina Machielse Anja Jonkers 2012")</f>
        <v>0</v>
      </c>
    </row>
    <row r="7742" spans="2:4">
      <c r="B7742">
        <v>72</v>
      </c>
      <c r="C7742" s="1">
        <f>hyperlink("https://hetutrechtsarchief.nl/collectie/14103F69F7B356608B04DDA97A37760D","Archeologisch onderzoek in De Schammer Ron Hulst 8-9 2010")</f>
        <v>0</v>
      </c>
      <c r="D7742" s="1">
        <f>hyperlink("http://www.leusden.nl/6371/tentoonstelling-archeologische-vondsten-uit-de-schammer/files/car%2018%20-%20archeologisch%20onderzoek%20de%20schammer%20leusden.pdf","Archeologisch onderzoek De Schammer Leusden tekst R A Hulst et al R A Hulst 2013")</f>
        <v>0</v>
      </c>
    </row>
    <row r="7743" spans="2:4">
      <c r="B7743">
        <v>59</v>
      </c>
      <c r="C7743" s="1">
        <f>hyperlink("https://hetutrechtsarchief.nl/collectie/870709603CB5544BAAAF93632B8D82DC","De kracht van middeleeuws Utrecht vakbekwame zelfbewuste ambachtslieden Llewellyn Bogaers 16-17 2009")</f>
        <v>0</v>
      </c>
      <c r="D7743" s="1">
        <f>hyperlink("http://www.levendverledenutrecht.nl/pdf/Maatwerk.pdf","Gericht op saamhorigheid Utrechts buurtleven door de eeuwen heen Llewellyn Bogaers 9-12 2010")</f>
        <v>0</v>
      </c>
    </row>
    <row r="7744" spans="2:4">
      <c r="B7744">
        <v>53</v>
      </c>
      <c r="C7744" s="1">
        <f>hyperlink("https://hetutrechtsarchief.nl/collectie/BBB2313A566AA897E0538F04000A8DA4","Jack Grondel - een bijzondere wereld Ren e Blom 6-7 2021")</f>
        <v>0</v>
      </c>
      <c r="D7744" s="1">
        <f>hyperlink("http://www.linkedmedia.nl/iap/magazines/public/viewers/luider-magazine-6/","24 uur Grand Hotel Karel V we gaan iedere dag weer de b hne op 34-38 2011")</f>
        <v>0</v>
      </c>
    </row>
    <row r="7745" spans="2:4">
      <c r="B7745">
        <v>70</v>
      </c>
      <c r="C7745" s="1">
        <f>hyperlink("https://hetutrechtsarchief.nl/collectie/88D5EAC3FCD78A57E0534701000A3BE3","De les van Utrecht 51 1934")</f>
        <v>0</v>
      </c>
      <c r="D7745" s="1">
        <f>hyperlink("http://www.linkedmedia.nl/iap/magazines/public/viewers/luider-magazine-6/","De Vrede van Utrecht 18-25 2011")</f>
        <v>0</v>
      </c>
    </row>
    <row r="7746" spans="2:4">
      <c r="B7746">
        <v>55</v>
      </c>
      <c r="C7746" s="1">
        <f>hyperlink("https://hetutrechtsarchief.nl/collectie/7F8F6A667879EF04E0534701000A5482","Van wee is tat d r n Bort Zwaan 136-139 2018")</f>
        <v>0</v>
      </c>
      <c r="D7746" s="1">
        <f>hyperlink("http://www.logistiek.nl/download/08teo012z037.pdf; http://www.logistiek.nl/download/08teo012z038.pdf; http://www.logistiek.nl/download/08teo012z039.pdf","Van grijze doos tot groen pronkstuk Mark Dohmen 37-39 2008")</f>
        <v>0</v>
      </c>
    </row>
    <row r="7747" spans="2:4">
      <c r="B7747">
        <v>51</v>
      </c>
      <c r="C7747" s="1">
        <f>hyperlink("https://hetutrechtsarchief.nl/collectie/4B7E71D824D455BCB47AD7602ACFB2DB","Veenweiden om de toekomst van een historisch landschap Hans Renes 47-65 2012")</f>
        <v>0</v>
      </c>
      <c r="D7747" s="1">
        <f>hyperlink("http://www.lunetten.nl/bol/thema/vierlunetten/09_05_28_eindrapport_Lunetten_incl_kaft.pdf","De vier lunetten op de Houtense Vlakte gebiedsvisie definitief OKRA landschapsarchitecten 2009")</f>
        <v>0</v>
      </c>
    </row>
    <row r="7748" spans="2:4">
      <c r="B7748">
        <v>86</v>
      </c>
      <c r="C7748" s="1">
        <f>hyperlink("https://hetutrechtsarchief.nl/collectie/427FA93B06BC519790B789F9E18DC914","Zware regenval legt vroegmiddeleeuws schip bloot scheepvondsten in Leidsche Rijn Herre Wynia Martijn Manders en Robert Hoegen 29-34 2012")</f>
        <v>0</v>
      </c>
      <c r="D7748" s="1">
        <f>hyperlink("http://www.maritiemprogramma.nl/documenten/Archeowerk%201-2011.pdf","Zware regenval legt vroegmiddeleeuws schip bloot scheepvondsten uit Leidsche Rijn Robert Wynia Herre Manders Martijn Hoegen 2-7 2011")</f>
        <v>0</v>
      </c>
    </row>
    <row r="7749" spans="2:4">
      <c r="B7749">
        <v>51</v>
      </c>
      <c r="C7749" s="1">
        <f>hyperlink("https://hetutrechtsarchief.nl/collectie/90A737064A25516DA96764C8EE08FF11","Op de Neu daar staat een tent B J Martens van Vliet 108-109 ill 1995")</f>
        <v>0</v>
      </c>
      <c r="D7749" s="1">
        <f>hyperlink("http://www.mauritsstraatutrecht.nl/rhistorie2.html","Een eeuw Mauritsstraat 1900-1999 Thierry van Bok Marten Jan Killian Kitty Baggem 1999")</f>
        <v>0</v>
      </c>
    </row>
    <row r="7750" spans="2:4">
      <c r="B7750">
        <v>54</v>
      </c>
      <c r="C7750" s="1">
        <f>hyperlink("https://hetutrechtsarchief.nl/collectie/0F6E0B5FB88A5F4397717F41B2AA57A4","Bloemen op de stoep van het Stiltecentrum Arjen de Groot 9 2001")</f>
        <v>0</v>
      </c>
      <c r="D7750" s="1">
        <f>hyperlink("http://www.mcu-nu.nl/","MCU-NU nieuwsbrief van het Milieucentrum Utrecht Milieucentrum Utrecht 2006 -")</f>
        <v>0</v>
      </c>
    </row>
    <row r="7751" spans="2:4">
      <c r="B7751">
        <v>55</v>
      </c>
      <c r="C7751" s="1">
        <f>hyperlink("https://hetutrechtsarchief.nl/collectie/CF7F97600B0050049C7FB98F08676E86","Tussen hof en gewest de Utrechtse makelaars van Willem III Arjan Nobel 216-218 2016")</f>
        <v>0</v>
      </c>
      <c r="D7751" s="1">
        <f>hyperlink("http://www.meertens.knaw.nl/respons/jongenburger.pdf","Talen en culturen in de Utrechtse wijk Lombok en Transvaal Willy Jongenburger 27-32 2000")</f>
        <v>0</v>
      </c>
    </row>
    <row r="7752" spans="2:4">
      <c r="B7752">
        <v>56</v>
      </c>
      <c r="C7752" s="1">
        <f>hyperlink("https://hetutrechtsarchief.nl/collectie/29F1883B14245B999036F3272DE4537A","Hollands spoor stations in Nederlands-Indi Ben de Vries 28-29 2012")</f>
        <v>0</v>
      </c>
      <c r="D7752" s="1">
        <f>hyperlink("http://www.meertens.nl/projecten/straattaal/etnischnederlands.pdf","Etnisch Nederlands in Lombok Leonie Cornips 285-302 2004")</f>
        <v>0</v>
      </c>
    </row>
    <row r="7753" spans="2:4">
      <c r="B7753">
        <v>52</v>
      </c>
      <c r="C7753" s="1">
        <f>hyperlink("https://hetutrechtsarchief.nl/collectie/30215B541A0851FB9C8AE9028ADA582A","Requeste van die van de Kerkeraad der Nederd Gereform Gemeente binnen Utrecht aan de Vroedschap der stad Utrecht tegen de comedie 259 -261 1840")</f>
        <v>0</v>
      </c>
      <c r="D7753" s="1">
        <f>hyperlink("http://www.michaelvanmaanen.nl/index.php?/publications/utrecht-2018/","Utrecht stad van kennis cultuur teksten redactie en productie Gemeente Utrecht Stichting Vrede van Utrecht Gemeente Utrecht Stichting Vrede van Utrecht 2010")</f>
        <v>0</v>
      </c>
    </row>
    <row r="7754" spans="2:4">
      <c r="B7754">
        <v>53</v>
      </c>
      <c r="C7754" s="1">
        <f>hyperlink("https://hetutrechtsarchief.nl/collectie/D7A616F0B11F53F9A29FD4BC3F3C3C93","De wind in de zeilen Mieke Heurneman 4-6 2006")</f>
        <v>0</v>
      </c>
      <c r="D7754" s="1">
        <f>hyperlink("http://www.milieugroepzuilen.nl/Nieuwsbrieven/nieuwsbrief1.pdf; http://www.milieugroepzuilen.nl/Nieuwsbrieven/nieuwsbrief2.pdf; http://www.milieugroepzuilen.nl/Nieuwsbrieven/Nieuwsbrief3.pdf","Nieuwsbrief Milieugroep Zuilen Milieugroep Zuilen 2006-")</f>
        <v>0</v>
      </c>
    </row>
    <row r="7755" spans="2:4">
      <c r="B7755">
        <v>53</v>
      </c>
      <c r="C7755" s="1">
        <f>hyperlink("https://hetutrechtsarchief.nl/collectie/D94326E8CA5D50A49D25459D1676E82F","Geen Engelse toestanden Utrechtse riolen in goede conditie Ben Nijssen 10 2007")</f>
        <v>0</v>
      </c>
      <c r="D7755" s="1">
        <f>hyperlink("http://www.milieuplein.nl/ventura/milieucentrum/ftp/pdf/voetstap.pdf?PHPSESSID=b98ce2b756e84710bec498376d5","Groene voetstappen in Utrecht Charlotte Boesewinkel Elke Thors Fenneke Verniers Fred Robben 2002-2003")</f>
        <v>0</v>
      </c>
    </row>
    <row r="7756" spans="2:4">
      <c r="B7756">
        <v>54</v>
      </c>
      <c r="C7756" s="1">
        <f>hyperlink("https://hetutrechtsarchief.nl/collectie/B3EA0801E0A361C8E0534701000A9FF3","Historische buitenplaatsen Elsenburg VreedenHoff en Heemstede boekbespreking Marion Corn lie van Oudheusden 15-17 2020")</f>
        <v>0</v>
      </c>
      <c r="D7756" s="1">
        <f>hyperlink("http://www.mmnatuurlijk.nl/chc/omd1999.html","De historische buitenplaats Maarsbergen monumentaal groen in de gemeente Maarn Erik Vroon David Somsen 1999")</f>
        <v>0</v>
      </c>
    </row>
    <row r="7757" spans="2:4">
      <c r="B7757">
        <v>56</v>
      </c>
      <c r="C7757" s="1">
        <f>hyperlink("https://hetutrechtsarchief.nl/collectie/2EE68D05A5C25D4E99D9BF75BFE96BE4","Canon van de geschiedenis van IJsselstein onder red van Charles Burghard en Tobias van Dijk 2-20 2013")</f>
        <v>0</v>
      </c>
      <c r="D7757" s="1">
        <f>hyperlink("http://www.mmnatuurlijk.nl/chc/omd2001.html","De Marke Mandron Manderen de geschiedenis van agrarische ontginingen aan de voet van de Utrechtse Heuvelrug Kees van Vroon David Lambalgen 2001")</f>
        <v>0</v>
      </c>
    </row>
    <row r="7758" spans="2:4">
      <c r="B7758">
        <v>53</v>
      </c>
      <c r="C7758" s="1">
        <f>hyperlink("https://hetutrechtsarchief.nl/collectie/92CA482CA42055EE9A887A7ED9C3A2CD","Het rijdend monument van de brandweer in Maarssen Hans van Bemmel 125-128 2004")</f>
        <v>0</v>
      </c>
      <c r="D7758" s="1">
        <f>hyperlink("http://www.mmnatuurlijk.nl/chc/omd2003.html","Boerenbouw op Herengoed monumenten van het agrarisch bedrijf in Maarsbergen Erik Vroon David Somsen 2003")</f>
        <v>0</v>
      </c>
    </row>
    <row r="7759" spans="2:4">
      <c r="B7759">
        <v>55</v>
      </c>
      <c r="C7759" s="1">
        <f>hyperlink("https://hetutrechtsarchief.nl/collectie/9C559B3E4A3553889FD957379289A5D5","Ingezonden brieven als reactie op de benoeming van een vroedvrouw in Breukelen 1921 Henk van Walderveen 58-59 2005")</f>
        <v>0</v>
      </c>
      <c r="D7759" s="1">
        <f>hyperlink("http://www.mmnatuurlijk.nl/chc/omd2005.html","Geloven in monumenten religieus erfgoed en buitenplaatsen in Maarn en Maarsbergen Wim Beld Henk van den Arendsen 2005")</f>
        <v>0</v>
      </c>
    </row>
    <row r="7760" spans="2:4">
      <c r="B7760">
        <v>54</v>
      </c>
      <c r="C7760" s="1">
        <f>hyperlink("https://hetutrechtsarchief.nl/collectie/89DC074ED8D9B10DE0534701000A1030","Het Gregoriushuis monumentenwacht begeleidt uitvoering onderhoudswerk Wichert van Dijk 24-25 2012")</f>
        <v>0</v>
      </c>
      <c r="D7760" s="1">
        <f>hyperlink("http://www.monumentenwachtutrecht.nl/images/8/109.pdf","Monumentenwacht Utrecht in perspectief 2011-2018 eindredactie Wichert van Dijk Wichert van Dijk 2011")</f>
        <v>0</v>
      </c>
    </row>
    <row r="7761" spans="2:4">
      <c r="B7761">
        <v>57</v>
      </c>
      <c r="C7761" s="1">
        <f>hyperlink("https://hetutrechtsarchief.nl/collectie/983DFEBBDF670AF0E0534701000AACBC","De schenking van een particulier 22 2019")</f>
        <v>0</v>
      </c>
      <c r="D7761" s="1">
        <f>hyperlink("http://www.moravianchurcharchives.org/thismonth/11_07%20Schellinger.pdf","Cornelis Schellinger Moravian financier 2010")</f>
        <v>0</v>
      </c>
    </row>
    <row r="7762" spans="2:4">
      <c r="B7762">
        <v>52</v>
      </c>
      <c r="C7762" s="1">
        <f>hyperlink("https://hetutrechtsarchief.nl/collectie/4FFE01E6F02E5B33BDABAC635B1EC5BF","Ontsierende reclame in de crisisjaren Agnes Witte 8 2008")</f>
        <v>0</v>
      </c>
      <c r="D7762" s="1">
        <f>hyperlink("http://www.mortsel.be/file_uploads/4303.pdf?_vs=0_n","Fortissimo er zit muziek in de forten Gilberte Tack 2005")</f>
        <v>0</v>
      </c>
    </row>
    <row r="7763" spans="2:4">
      <c r="B7763">
        <v>55</v>
      </c>
      <c r="C7763" s="1">
        <f>hyperlink("https://hetutrechtsarchief.nl/collectie/711AE8DF156D768FE0534701000A7C50","Verzoek om een treinstation in Vleuten Jules Braat 42-43 2018")</f>
        <v>0</v>
      </c>
      <c r="D7763" s="1">
        <f>hyperlink("http://www.movares.nl/NR/rdonlyres/CE91C5E8-8734-44CB-80A5-6BCDA1B1EC9C/0/C081VerbouwenmetwinkelsopenUtrechtCS.pdf","Verbouwen met de winkels open Utrecht Centraal Station J Rol A H Castenmiller 40-43 2008")</f>
        <v>0</v>
      </c>
    </row>
    <row r="7764" spans="2:4">
      <c r="B7764">
        <v>52</v>
      </c>
      <c r="C7764" s="1">
        <f>hyperlink("https://hetutrechtsarchief.nl/collectie/E1EDB841FC1F57989546C6628DF6A9CF","Breekbare sporen 2008")</f>
        <v>0</v>
      </c>
      <c r="D7764" s="1">
        <f>hyperlink("http://www.museuminschalkwijk.nl/Media/NOO25/NOO25.html","40 jaar sporthal 2007")</f>
        <v>0</v>
      </c>
    </row>
    <row r="7765" spans="2:4">
      <c r="B7765">
        <v>58</v>
      </c>
      <c r="C7765" s="1">
        <f>hyperlink("https://hetutrechtsarchief.nl/collectie/1145BB02597A5519BF7A41CC1D6F773A","Een 15e eeuwse rekeningpenning langs de Doorslag Piet Daalhuizen 54-55 2009")</f>
        <v>0</v>
      </c>
      <c r="D7765" s="1">
        <f>hyperlink("http://www.museumwarsenhoeck.nl/media/files/1988---Monument-in-beeld--De-Doorslag.pdf","Monument in beeld De Doorslag P Daalhuizen 32-34 1988")</f>
        <v>0</v>
      </c>
    </row>
    <row r="7766" spans="2:4">
      <c r="B7766">
        <v>97</v>
      </c>
      <c r="C7766" s="1">
        <f>hyperlink("https://hetutrechtsarchief.nl/collectie/8981E6EA4F2552B882CCB5F3F0C6FC08","De Sint-Nicolaaskerk van Jutphaas P Daalhuizen 62-69 ill 1991")</f>
        <v>0</v>
      </c>
      <c r="D7766" s="1">
        <f>hyperlink("http://www.museumwarsenhoeck.nl/media/files/1991---De-Sint-Nicolaaskerk-van-Jutphaas.pdf","De Sint-Nicolaaskerk van Jutphaas P Daalhuizen 62-69 1991")</f>
        <v>0</v>
      </c>
    </row>
    <row r="7767" spans="2:4">
      <c r="B7767">
        <v>62</v>
      </c>
      <c r="C7767" s="1">
        <f>hyperlink("https://hetutrechtsarchief.nl/collectie/06B0A1E2D22E56A795C056D635B15B82","In Hollandsche Rading staat een huis Arien Heering 26-28 2010")</f>
        <v>0</v>
      </c>
      <c r="D7767" s="1">
        <f>hyperlink("http://www.naerdincklant.nl/jaarverslag/jaarverslag2005.pdf","11e eeuwse munt uit Hollandsche Rading A T E Cruysheer 29 2006")</f>
        <v>0</v>
      </c>
    </row>
    <row r="7768" spans="2:4">
      <c r="B7768">
        <v>58</v>
      </c>
      <c r="C7768" s="1">
        <f>hyperlink("https://hetutrechtsarchief.nl/collectie/81AE27670D4F5CD991DEA61AD43FD766","Het wapen van Vreeland A T E Cruysheer 17-21 2007")</f>
        <v>0</v>
      </c>
      <c r="D7768" s="1">
        <f>hyperlink("http://www.naerdincklant.nl/jaarverslag/jaarverslag2005.pdf","Middeleeuwse zegelstempel uit Hollandsche Rading A T E Cruysheer 17-20 2006")</f>
        <v>0</v>
      </c>
    </row>
    <row r="7769" spans="2:4">
      <c r="B7769">
        <v>56</v>
      </c>
      <c r="C7769" s="1">
        <f>hyperlink("https://hetutrechtsarchief.nl/collectie/26FA2660CBAA5104B4A0BD229E6D953E","Oprichting en hoogtepunten van de eerste jaren van de Historische Kring Arie de Zwart 75-77 2012")</f>
        <v>0</v>
      </c>
      <c r="D7769" s="1">
        <f>hyperlink("http://www.naerdincklant.nl/jaarverslag/jaarverslag2005.pdf","Opgraving de Hollandse Molen te Loenen aan de Vecht J van der Visser R M Cruysheer A T E Sar 37-42 2006")</f>
        <v>0</v>
      </c>
    </row>
    <row r="7770" spans="2:4">
      <c r="B7770">
        <v>61</v>
      </c>
      <c r="C7770" s="1">
        <f>hyperlink("https://hetutrechtsarchief.nl/collectie/1B440D7D16A7566DA30BFBE52D04CE69","Kasteel Huis Ten Bosch te Weesp Anton T E Cruysheer 23-38 2008")</f>
        <v>0</v>
      </c>
      <c r="D7770" s="1">
        <f>hyperlink("http://www.naerdincklant.nl/jaarverslag/jaarverslag2005.pdf","Sportieve Kolfslof uit Loenen aan de Vecht A T E Cruysheer 25-28 2006")</f>
        <v>0</v>
      </c>
    </row>
    <row r="7771" spans="2:4">
      <c r="B7771">
        <v>62</v>
      </c>
      <c r="C7771" s="1">
        <f>hyperlink("https://hetutrechtsarchief.nl/collectie/06B0A1E2D22E56A795C056D635B15B82","In Hollandsche Rading staat een huis Arien Heering 26-28 2010")</f>
        <v>0</v>
      </c>
      <c r="D7771" s="1">
        <f>hyperlink("http://www.naerdincklant.nl/jaarverslag/jaarverslag2006.pdf","Loden Bulla uit Hollandsche Rading A T E Cruysheer 33-34 2007")</f>
        <v>0</v>
      </c>
    </row>
    <row r="7772" spans="2:4">
      <c r="B7772">
        <v>56</v>
      </c>
      <c r="C7772" s="1">
        <f>hyperlink("https://hetutrechtsarchief.nl/collectie/7F299DDEF2EE52CCA0FE73531314F4A2","Een inventarisatie van het verenigingsleven in de Bilt en Hilthoven 1884-1940 Jan van der Heijden 22-60 2002")</f>
        <v>0</v>
      </c>
      <c r="D7772" s="1">
        <f>hyperlink("http://www.nationaalarchief.nl/webviews/page.webview?eadid=NL-HaNA_2.21.236&amp;pageid=root","Inventaris van het archief van de familie De Geer 1884-1985 J A A Bervoets 1985")</f>
        <v>0</v>
      </c>
    </row>
    <row r="7773" spans="2:4">
      <c r="B7773">
        <v>54</v>
      </c>
      <c r="C7773" s="1">
        <f>hyperlink("https://hetutrechtsarchief.nl/collectie/8DD78905A75650478E4A06D17EEDAB34","Geen pintje maar studeren biografie over Utrechtse geleerde Marcel Minnaert Armand Heijnen 14-16 2003")</f>
        <v>0</v>
      </c>
      <c r="D7773" s="1">
        <f>hyperlink("http://www.neerslag-magazine.nl/magazine/artikel/325/","Vernieuwing slibontwateringsinstallaties rwzi s Utrecht en Nieuwegein Maarten Willemsen Arjan Boersen 34-36 2003")</f>
        <v>0</v>
      </c>
    </row>
    <row r="7774" spans="2:4">
      <c r="B7774">
        <v>51</v>
      </c>
      <c r="C7774" s="1">
        <f>hyperlink("https://hetutrechtsarchief.nl/collectie/E90B6DA5F4F55F08A02EEE3D8653BDEA","Het nieuwe voetveer Vianen-Nieuwegein J A M Koenhein A C N Koenhein en A J M Koenhein 80-84 2002")</f>
        <v>0</v>
      </c>
      <c r="D7774" s="1">
        <f>hyperlink("http://www.nieuwegein.nl/download.asp?link=/files/4652/informatiekrant_structuurvisie%20nieuwegein.pdf","De toekomst van Nieuwegein structuurvisie Nieuwegein 2030 teksten Gemeente Nieuwegein et al Gemeente Nieuwegein 2009")</f>
        <v>0</v>
      </c>
    </row>
    <row r="7775" spans="2:4">
      <c r="B7775">
        <v>55</v>
      </c>
      <c r="C7775" s="1">
        <f>hyperlink("https://hetutrechtsarchief.nl/collectie/CDF98A1BA23D5291BD8725B3EE254983","Het leven als een kermistrap de verantwoordelijkheden van Ruud van Ingen tekst Mart Rienstra 16-17 2001")</f>
        <v>0</v>
      </c>
      <c r="D7775" s="1">
        <f>hyperlink("http://www.nifv.nl/upload/138355_668_1223363115375-Kobes-okt2008.pdf","BHV redt levens een verslag van de brand bij Kidzcity Nancy Kobes Margrethe Oberij 546-547 2008")</f>
        <v>0</v>
      </c>
    </row>
    <row r="7776" spans="2:4">
      <c r="B7776">
        <v>53</v>
      </c>
      <c r="C7776" s="1">
        <f>hyperlink("https://hetutrechtsarchief.nl/collectie/3A0D722BFF675B5BB1EE05D1C4956E8D","Een Arts Crafts-Garden op de Utrechtse Heuvelrug de tuinaanleg van het kasteel De Hooge Vuursche te Baarn Edward W Leeuwin 3-18 2005")</f>
        <v>0</v>
      </c>
      <c r="D7776" s="1">
        <f>hyperlink("http://www.nortutrecht.nl/phpimg/website_nieuws_18fb66f1a8764a9f75b_0d_20._Eindrapport_Marketing_&amp;_Promotieplan_UH_05062008.pdf","Marketing- en promotieplan Utrechtse Heuvelrug de kunst van het ontdekken eindrapport Menno Hummel Rob van Stokman 2008")</f>
        <v>0</v>
      </c>
    </row>
    <row r="7777" spans="2:4">
      <c r="B7777">
        <v>55</v>
      </c>
      <c r="C7777" s="1">
        <f>hyperlink("https://hetutrechtsarchief.nl/collectie/9E47039115D05B27AE9BFC253DE25E9C","Korte geschiedenis van het geslacht Zanoli Henk van Hees en Giorgio Sjors Zanoli 117-134 2001")</f>
        <v>0</v>
      </c>
      <c r="D7777" s="1">
        <f>hyperlink("http://www.ntvg.nl/publicatie/het-medische-dossier-van-theo-van-gogh/pdf","Geschiedenis der geneeskunde het medische dossier van Theo van Gogh P H A Voskuil 1777-1780 1992")</f>
        <v>0</v>
      </c>
    </row>
    <row r="7778" spans="2:4">
      <c r="B7778">
        <v>78</v>
      </c>
      <c r="C7778" s="1">
        <f>hyperlink("https://hetutrechtsarchief.nl/collectie/FA62B7B427475253A99F99C7FA2942B6","Franciscus Cornelis Donders G Grijns 107 -109 1918")</f>
        <v>0</v>
      </c>
      <c r="D7778" s="1">
        <f>hyperlink("http://www.ntvg.nl/sites/default/files/migrated/1918114940001a.pdf","Franciscus Cornelis Donders Engelmann 1494-1496 1918")</f>
        <v>0</v>
      </c>
    </row>
    <row r="7779" spans="2:4">
      <c r="B7779">
        <v>54</v>
      </c>
      <c r="C7779" s="1">
        <f>hyperlink("https://hetutrechtsarchief.nl/collectie/0B22C36AF28B51B9A6400B60188E7C8A","Heda gestorven in 1522 J H Hofman 280-281 1896")</f>
        <v>0</v>
      </c>
      <c r="D7779" s="1">
        <f>hyperlink("http://www.ntvg.nl/system/files/publications/1868102090001a.pdf","Het kamp bij Zeist in 1867 M W C Gori 209-216 1868")</f>
        <v>0</v>
      </c>
    </row>
    <row r="7780" spans="2:4">
      <c r="B7780">
        <v>60</v>
      </c>
      <c r="C7780" s="1">
        <f>hyperlink("https://hetutrechtsarchief.nl/collectie/C7E8E8008C4C5E048A19FB8FA74C10CC","Genealogisch fragment Schade te Utrecht en te Rotterdam in de 15e en 16e eeuw M G Wildeman 99-108 1930")</f>
        <v>0</v>
      </c>
      <c r="D7780" s="1">
        <f>hyperlink("http://www.ntvg.nl/system/files/publications/1918109060001a.pdf","Voorzitters van het Doctorsgilde te Utrecht in de laatste helft der 18de eeuw M G Wildeman 906-907 1918")</f>
        <v>0</v>
      </c>
    </row>
    <row r="7781" spans="2:4">
      <c r="B7781">
        <v>53</v>
      </c>
      <c r="C7781" s="1">
        <f>hyperlink("https://hetutrechtsarchief.nl/collectie/4D60F00D98F15E3E8466464DAD172938","Utrechtse Studenten tussen 1815 en 1877 M van de Vrugt 141-146 1989")</f>
        <v>0</v>
      </c>
      <c r="D7781" s="1">
        <f>hyperlink("http://www.ntvg.nl/system/files/publications/1918114930002a.pdf","F C Donders 1818-27 mei-1918 G van Rijnkerk 1493-1494 1918")</f>
        <v>0</v>
      </c>
    </row>
    <row r="7782" spans="2:4">
      <c r="B7782">
        <v>61</v>
      </c>
      <c r="C7782" s="1">
        <f>hyperlink("https://hetutrechtsarchief.nl/collectie/B9E6AA84A18F50819E5174A8218CED7B","Onze straatnamen A J van der Weijde 81-82 1931")</f>
        <v>0</v>
      </c>
      <c r="D7782" s="1">
        <f>hyperlink("http://www.ntvg.nl/system/files/publications/1922226000001a_0.pdf","Collegium Medicum Ultrajectinum A J van der Weijde 2600-2607 1922")</f>
        <v>0</v>
      </c>
    </row>
    <row r="7783" spans="2:4">
      <c r="B7783">
        <v>65</v>
      </c>
      <c r="C7783" s="1">
        <f>hyperlink("https://hetutrechtsarchief.nl/collectie/1E616B716701565F839EB6114589B9B5","De dragonder uit het Utrechtsche dolhuis A J van der Weijde 38-40 1931")</f>
        <v>0</v>
      </c>
      <c r="D7783" s="1">
        <f>hyperlink("http://www.ntvg.nl/system/files/publications/1923204660001a.pdf","Rapport uitgebracht door het Utrechtsch Collegium Medicum in 1787 A J van der Weijde 466-468 1923")</f>
        <v>0</v>
      </c>
    </row>
    <row r="7784" spans="2:4">
      <c r="B7784">
        <v>66</v>
      </c>
      <c r="C7784" s="1">
        <f>hyperlink("https://hetutrechtsarchief.nl/collectie/9B68233F7D0B51BCA4501D857F43B166","Woerden en Utrecht in de Middeleeuwen Nico Plomp 19-20 1972")</f>
        <v>0</v>
      </c>
      <c r="D7784" s="1">
        <f>hyperlink("http://www.ntvg.nl/system/files/publications/1923216040001a.pdf /","Over lepra te Utrecht in de Middeleeuwen A J van der Weijde 1604-1609 1923")</f>
        <v>0</v>
      </c>
    </row>
    <row r="7785" spans="2:4">
      <c r="B7785">
        <v>65</v>
      </c>
      <c r="C7785" s="1">
        <f>hyperlink("https://hetutrechtsarchief.nl/collectie/F89C66F6C0F05A4FAC422A514B6403CF","Het weder invoeren der kermis A J van der Weijde 72-73 1926")</f>
        <v>0</v>
      </c>
      <c r="D7785" s="1">
        <f>hyperlink("http://www.ntvg.nl/system/files/publications/1924212580001a.pdf","Eed voor een heelmeester in 1811 A J van der Weijde 1258 1924")</f>
        <v>0</v>
      </c>
    </row>
    <row r="7786" spans="2:4">
      <c r="B7786">
        <v>66</v>
      </c>
      <c r="C7786" s="1">
        <f>hyperlink("https://hetutrechtsarchief.nl/collectie/1E616B716701565F839EB6114589B9B5","De dragonder uit het Utrechtsche dolhuis A J van der Weijde 38-40 1931")</f>
        <v>0</v>
      </c>
      <c r="D7786" s="1">
        <f>hyperlink("http://www.ntvg.nl/system/files/publications/1925200590001a.pdf","Wapenbord van de voorzitters van het Utrechtsche Collegium Medicum A J van der Weijde 59-74 1925")</f>
        <v>0</v>
      </c>
    </row>
    <row r="7787" spans="2:4">
      <c r="B7787">
        <v>62</v>
      </c>
      <c r="C7787" s="1">
        <f>hyperlink("https://hetutrechtsarchief.nl/collectie/C7A137B7A805550A86BF3968CF79B2FC","Toezicht op de zedelijkheid A J van der Weijde 77-79 1926")</f>
        <v>0</v>
      </c>
      <c r="D7787" s="1">
        <f>hyperlink("http://www.ntvg.nl/system/files/publications/1926206690001a.pdf","Iets over het toezicht op de volksgezondheid te Utrecht in vroeger tijd A J van der Weijde 669-675 1926")</f>
        <v>0</v>
      </c>
    </row>
    <row r="7788" spans="2:4">
      <c r="B7788">
        <v>69</v>
      </c>
      <c r="C7788" s="1">
        <f>hyperlink("https://hetutrechtsarchief.nl/collectie/785336414CBC5428A1BD5D98F26D36EE","Bijdrage tot de geschiedenis van de wijbisschoppen van Utrecht J F A N Weijling 1-314 1951")</f>
        <v>0</v>
      </c>
      <c r="D7788" s="1">
        <f>hyperlink("http://www.ntvg.nl/system/files/publications/1927131190001a.pdf","Bijdrage tot de geschiedenis der pest te Utrecht A J van der Weijde 1927")</f>
        <v>0</v>
      </c>
    </row>
    <row r="7789" spans="2:4">
      <c r="B7789">
        <v>53</v>
      </c>
      <c r="C7789" s="1">
        <f>hyperlink("https://hetutrechtsarchief.nl/collectie/30ADC3BB5C035BB8863914734352C729","Rimpelingen in het vlakke land archeologische toepassingen van het AHN in de provincie Utrecht Wilko K van Zijverden 26- 30 2005")</f>
        <v>0</v>
      </c>
      <c r="D7789" s="1">
        <f>hyperlink("http://www.ntvg.nl/system/files/publications/1929106260001a.pdf","De opening van het nieuwe pharmacologische laboratorium en de inwijding van het verbouwde Stads- en Academisch Ziekenhuis te Utrecht G van Rijnberk 626-627 1929")</f>
        <v>0</v>
      </c>
    </row>
    <row r="7790" spans="2:4">
      <c r="B7790">
        <v>76</v>
      </c>
      <c r="C7790" s="1">
        <f>hyperlink("https://hetutrechtsarchief.nl/collectie/B99259A7828755A4B39851F8B9BBFF53","De uitoefening der geneeskunde in vroeger tijd te Utrecht A J van der Weyde 45-75 1926")</f>
        <v>0</v>
      </c>
      <c r="D7790" s="1">
        <f>hyperlink("http://www.ntvg.nl/system/files/publications/1931150020001a.pdf","De behandeling der krankzinnigen in vroeger tijd te Utrecht A J van der Weijde 5002-5014 1931")</f>
        <v>0</v>
      </c>
    </row>
    <row r="7791" spans="2:4">
      <c r="B7791">
        <v>60</v>
      </c>
      <c r="C7791" s="1">
        <f>hyperlink("https://hetutrechtsarchief.nl/collectie/EE38D08813B251F09917C73CD43C0F1F","In memoriam dr A J van de Ven A P van Schilfgaarde 302-304 1974")</f>
        <v>0</v>
      </c>
      <c r="D7791" s="1">
        <f>hyperlink("http://www.ntvg.nl/system/files/publications/1934130640004a.pdf","In memoriam H Offerhaus arts te Utrecht P A de Wilde 3064-3066 1934")</f>
        <v>0</v>
      </c>
    </row>
    <row r="7792" spans="2:4">
      <c r="B7792">
        <v>56</v>
      </c>
      <c r="C7792" s="1">
        <f>hyperlink("https://hetutrechtsarchief.nl/collectie/EBC0E369433C540BA778BC6ABDC54B0C","In memoriam Cornelis Dekker Peter Henderikx 29-31 2013")</f>
        <v>0</v>
      </c>
      <c r="D7792" s="1">
        <f>hyperlink("http://www.ntvg.nl/system/files/publications/1935143160002a.pdf","In memoriam Otto Arnold Ankersmit arts te Bilthoven P A de Wilde 4316 1935")</f>
        <v>0</v>
      </c>
    </row>
    <row r="7793" spans="2:4">
      <c r="B7793">
        <v>54</v>
      </c>
      <c r="C7793" s="1">
        <f>hyperlink("https://hetutrechtsarchief.nl/collectie/993236400BC6565D8B1597999F4C2D54","Enige kanttekeningen bij de opgravingen in de Dom T J Hoekstra 5-24 ill 1986")</f>
        <v>0</v>
      </c>
      <c r="D7793" s="1">
        <f>hyperlink("http://www.ntvg.nl/system/files/publications/1998115590001a.pdf","Geen hogere kankerincidentie door hoogspanningslijn in Odijk F B J Hady M Koops 1559-1562 1998")</f>
        <v>0</v>
      </c>
    </row>
    <row r="7794" spans="2:4">
      <c r="B7794">
        <v>53</v>
      </c>
      <c r="C7794" s="1">
        <f>hyperlink("https://hetutrechtsarchief.nl/collectie/8E7EA78786B7C648E0534701000AD082","Spoor en post in Den Dolder in de trein en op het station Gerald Laheij 25-30")</f>
        <v>0</v>
      </c>
      <c r="D7794" s="1">
        <f>hyperlink("http://www.numisbel.be/1859_9.pdf","Florin d or in dit de Rodolphe de Diepholt Maurin Nahuijs 259-260 1859")</f>
        <v>0</v>
      </c>
    </row>
    <row r="7795" spans="2:4">
      <c r="B7795">
        <v>82</v>
      </c>
      <c r="C7795" s="1">
        <f>hyperlink("https://hetutrechtsarchief.nl/collectie/B3DEDC4EC087551A9E037B2651DCF17C","Een kolonie van Duitsers groepsvorming onder Duitse immigranten in Utrecht in de 19de eeuw Marijke Lambermont 32-35 2006")</f>
        <v>0</v>
      </c>
      <c r="D7795" s="1">
        <f>hyperlink("http://www.oapen.org/download?type=document&amp;docid=353804","Een kolonie van Duitsers groepsvorming onder Duitse emigranten in Utrecht in de negentiende eeuw Marlou Schrover 2002")</f>
        <v>0</v>
      </c>
    </row>
    <row r="7796" spans="2:4">
      <c r="B7796">
        <v>58</v>
      </c>
      <c r="C7796" s="1">
        <f>hyperlink("https://hetutrechtsarchief.nl/collectie/70B4E6370993516CAC95167ABF15D353","Langs Utrechtse werven Maarten Lemmens 10-13 2010")</f>
        <v>0</v>
      </c>
      <c r="D7796" s="1">
        <f>hyperlink("http://www.okra.nl/media/downloads/Lichtspur%20am%20Utrechter%20Domplatz.pdf","Lichtspur am Utrechter Domplatz Hans Oerlemans 16-17 2008")</f>
        <v>0</v>
      </c>
    </row>
    <row r="7797" spans="2:4">
      <c r="B7797">
        <v>54</v>
      </c>
      <c r="C7797" s="1">
        <f>hyperlink("https://hetutrechtsarchief.nl/collectie/184486191F245E518D7083124364D598","Vreemd geschenk van de regering van Utrecht aan eene jonge Princes in 1569 - S 214-215 1835")</f>
        <v>0</v>
      </c>
      <c r="D7797" s="1">
        <f>hyperlink("http://www.oudleiden.nl/pdf/1932.PDF","Krijgstocht van gewapende Leidse burgers naar Utrecht en Deventer in 1456 A J Versprille 86-96 1932")</f>
        <v>0</v>
      </c>
    </row>
    <row r="7798" spans="2:4">
      <c r="B7798">
        <v>53</v>
      </c>
      <c r="C7798" s="1">
        <f>hyperlink("https://hetutrechtsarchief.nl/collectie/25B0C2D800CA5F619F1EADD1639D44DD","Dr J P Fockema Andreae 30 juli 1879 - 27 juli 1949 J de Lange 25-38 portr 1950")</f>
        <v>0</v>
      </c>
      <c r="D7798" s="1">
        <f>hyperlink("http://www.oudleiden.nl/pdf/1944.PDF","Dr D E Bosselaar 9 Januari 1889-26 September 1963 C de Jong 72-73 1944")</f>
        <v>0</v>
      </c>
    </row>
    <row r="7799" spans="2:4">
      <c r="B7799">
        <v>64</v>
      </c>
      <c r="C7799" s="1">
        <f>hyperlink("https://hetutrechtsarchief.nl/collectie/DE132AE7A5945FECBFC7E328CF2E79D2","De Oude Gracht en de Vaartsche Rijn M N Acket 18-21 1951")</f>
        <v>0</v>
      </c>
      <c r="D7799" s="1">
        <f>hyperlink("http://www.oudleiden.nl/pdf/1953.PDF","De Oude Rijn en zijn omgeving M N Acket 73-102 1953")</f>
        <v>0</v>
      </c>
    </row>
    <row r="7800" spans="2:4">
      <c r="B7800">
        <v>55</v>
      </c>
      <c r="C7800" s="1">
        <f>hyperlink("https://hetutrechtsarchief.nl/collectie/C699C2BF67265111AA969156A02535E1","De oorsprong en vestiging der Waalsch-Hervormde Gemeente te Utrecht 1583-1598 Herm Joh Royaards 293 -308 1847")</f>
        <v>0</v>
      </c>
      <c r="D7800" s="1">
        <f>hyperlink("http://www.oudrhenen.nl/uploads/Inv-HERV-GEMEENTE.pdf","Voorlopige inventaris van de archieven der Hervormde Gemeente te Rhenen 1634-ca 1951 - Tweede versie H P Deys 2002")</f>
        <v>0</v>
      </c>
    </row>
    <row r="7801" spans="2:4">
      <c r="B7801">
        <v>62</v>
      </c>
      <c r="C7801" s="1">
        <f>hyperlink("https://hetutrechtsarchief.nl/collectie/910F2A1116515B2890FD3DD240E82116","De oude archieven van de gemeente Harmelen K Heeringa 299-325 1922")</f>
        <v>0</v>
      </c>
      <c r="D7801" s="1">
        <f>hyperlink("http://www.oudrhenen.nl/uploads/INVENTRH2.pdf","Inventaris van de archieven van het stads- en gemeentebestuur Rhenen 1337-1851 K Heeringa 1927")</f>
        <v>0</v>
      </c>
    </row>
    <row r="7802" spans="2:4">
      <c r="B7802">
        <v>58</v>
      </c>
      <c r="C7802" s="1">
        <f>hyperlink("https://hetutrechtsarchief.nl/collectie/B90A1EC728A459FDAF8CD72D80569F17","Inventarisatie van het archief van de Commissarissen van het Zandpad tussen Amsterdam en Weesp 1637-1929 H Bakker 10-16 ill 1999")</f>
        <v>0</v>
      </c>
      <c r="D7802" s="1">
        <f>hyperlink("http://www.oudrhenen.nl/uploads/INVENTRH2.pdf","Inventaris van het archief van de gemeente Rhenen over de jaren 1852-1925 K Stadermann G Heeringa 1927")</f>
        <v>0</v>
      </c>
    </row>
    <row r="7803" spans="2:4">
      <c r="B7803">
        <v>54</v>
      </c>
      <c r="C7803" s="1">
        <f>hyperlink("https://hetutrechtsarchief.nl/collectie/9B00DCE2B07B5AFC9D54413538354864","Denen voor de poorten van Utrecht Luit van der Tuuk 96-101 2007")</f>
        <v>0</v>
      </c>
      <c r="D7803" s="1">
        <f>hyperlink("http://www.panneman.nl/pdf/Raboboek_90jaar.pdf","Van en voor de stad Rabobank Utrecht 90 jaar Suzanne Hautvast 2003")</f>
        <v>0</v>
      </c>
    </row>
    <row r="7804" spans="2:4">
      <c r="B7804">
        <v>52</v>
      </c>
      <c r="C7804" s="1">
        <f>hyperlink("https://hetutrechtsarchief.nl/collectie/D655F0B3C72AB7EEE0538F04000AF47D","Historische kaarten en tekeningen uit de archieven van de gemeente Soest Ton Hartman 31-40 2021")</f>
        <v>0</v>
      </c>
      <c r="D7804" s="1">
        <f>hyperlink("http://www.probos.nl/home/pdf/QuickScanBeplantingGrebbelinieHerzien.pdf","Quick scan historische waarde van de beplanting op de Grebbelinie - Herz uitg Patrick Boosten Martijn Jansen 2008")</f>
        <v>0</v>
      </c>
    </row>
    <row r="7805" spans="2:4">
      <c r="B7805">
        <v>54</v>
      </c>
      <c r="C7805" s="1">
        <f>hyperlink("https://hetutrechtsarchief.nl/collectie/60A14C51C8915D98A7415B758D6721DB","Utrechtse bisschopswapens A J van de Ven 24 1971")</f>
        <v>0</v>
      </c>
      <c r="D7805" s="1">
        <f>hyperlink("http://www.provincie-utrecht.nl/kwaliteitsgids","Utrechtse landschappen mooi verrassend veelzijdig Kees Volkers 2012")</f>
        <v>0</v>
      </c>
    </row>
    <row r="7806" spans="2:4">
      <c r="B7806">
        <v>54</v>
      </c>
      <c r="C7806" s="1">
        <f>hyperlink("https://hetutrechtsarchief.nl/collectie/7D9787F169A65A41B73C392D27A10889","Merck toch hoe sterk verdedigingswerken in de provincie Utrecht Edwin Maes 4- 7 2004")</f>
        <v>0</v>
      </c>
      <c r="D7806" s="1">
        <f>hyperlink("http://www.provincie-utrecht.nl/loket/publicaties-0/publicaties/toeristische/","Toeristische marketing en promotie de nieuwe aanpak Cultuur en Vrije tijd Provincie Utrecht Afdeling Economie 2010")</f>
        <v>0</v>
      </c>
    </row>
    <row r="7807" spans="2:4">
      <c r="B7807">
        <v>58</v>
      </c>
      <c r="C7807" s="1">
        <f>hyperlink("https://hetutrechtsarchief.nl/collectie/898B01A162BBDBEFE0534701000A8470","2012 Jaar van de Historische Buitenplaats Fred Vogelzang Jacquelien Vroeme 4-6 2012")</f>
        <v>0</v>
      </c>
      <c r="D7807" s="1">
        <f>hyperlink("http://www.provincie-utrecht.nl/onderwerpen/alle-onderwerpen/historische/documenten-downloads/","Jaar van de Historische Buitenplaats 2012 fietsen langs buitenplaatsen in het hart van de Utrechtse Heuvelrug Katrien Timmers 2012")</f>
        <v>0</v>
      </c>
    </row>
    <row r="7808" spans="2:4">
      <c r="B7808">
        <v>58</v>
      </c>
      <c r="C7808" s="1">
        <f>hyperlink("https://hetutrechtsarchief.nl/collectie/B293F1D794F151588D54E402F2394989","Het ontslag van de Kommissaris des Konings in de provincie Utrecht in 1850 G J Hooykaas 204-215 ill 1976")</f>
        <v>0</v>
      </c>
      <c r="D7808" s="1">
        <f>hyperlink("http://www.provincie-utrecht.nl/prvutr/internet/j20_10.nsf/files/Burgerjaarverslag_ProvincieUtrecht_2007.pdf/$FILE/Burgerjaarverslag_ProvincieUtrecht_2007.pdf","Verslag van de werkzaamheden over Burgerjaarverslag Commissaris van de Koningin in de provincie Utrecht 2000-")</f>
        <v>0</v>
      </c>
    </row>
    <row r="7809" spans="2:4">
      <c r="B7809">
        <v>62</v>
      </c>
      <c r="C7809" s="1">
        <f>hyperlink("https://hetutrechtsarchief.nl/collectie/29099F069E35539BB549B46348159538","Nieuwe Maatschappij tot Stadsherstel NV in Utrecht 7 1985")</f>
        <v>0</v>
      </c>
      <c r="D7809" s="1">
        <f>hyperlink("http://www.provincie-utrecht.nl/prvutr/internet/j20_10.nsf/files/WMOprov.pdf/$FILE/WMOprov.pdf","Wet Maatschappelijke Ondersteuning de Utrechtse aanpak 2006")</f>
        <v>0</v>
      </c>
    </row>
    <row r="7810" spans="2:4">
      <c r="B7810">
        <v>56</v>
      </c>
      <c r="C7810" s="1">
        <f>hyperlink("https://hetutrechtsarchief.nl/collectie/23A4E3E91CD15B6C82D02BC61562C623","Thuis in het verleden historische interieurs in de provincie Utrecht Esther Tob en Steven Coenen 4-7 2001")</f>
        <v>0</v>
      </c>
      <c r="D7810" s="1">
        <f>hyperlink("http://www.provincie-utrecht.nl/prvutr/internet/j20.../EconomischebetekenisRecreatieToerisme.pdf","Economische betekenis van recreatie en toerisme in de provincie Utrecht Arjan Briene Michel Wienhoven Manfred Koopman 2006")</f>
        <v>0</v>
      </c>
    </row>
    <row r="7811" spans="2:4">
      <c r="B7811">
        <v>53</v>
      </c>
      <c r="C7811" s="1">
        <f>hyperlink("https://hetutrechtsarchief.nl/collectie/3520019C07C75075AFCF2424BE2263FC","Forten rondom Utrecht worden eindelijk m i gevonden nieuwe Hollandse waterlinie wellicht op wereld-erfgoedlijst Kees Volkers 11 ill plgr 1995")</f>
        <v>0</v>
      </c>
      <c r="D7811" s="1">
        <f>hyperlink("http://www.provincie-utrecht.nl/publish/pages/165751/kwaliteitsgid_waterlinies_12-07-2011.pdf","Kwaliteitsgids Utrechtse landschappen gebiedskatern waterlinies Nieuwe Hollandse Waterlinie en Stelling van Amsterdam Kees OKRA landschapsarchitecten Volkers 2011")</f>
        <v>0</v>
      </c>
    </row>
    <row r="7812" spans="2:4">
      <c r="B7812">
        <v>53</v>
      </c>
      <c r="C7812" s="1">
        <f>hyperlink("https://hetutrechtsarchief.nl/collectie/BA2BF18AD0355B3895C280D4B43B6EBC","Van boswal tot bunker een inventarisatie van landschapselementen op de Utrechtse Heuvelrug Michiel Purmer 4-6 2011")</f>
        <v>0</v>
      </c>
      <c r="D7812" s="1">
        <f>hyperlink("http://www.provincie-utrecht.nl/publish/pages/165790/kwaliteitsgids_utrechtse_heuvelrug_12-07-2011.pdf","Kwaliteitsgids Utrechtse landschappen gebiedskatern Utrechtse Heuvelrug Kees OKRA landschapsarchitecten Volkers 2011")</f>
        <v>0</v>
      </c>
    </row>
    <row r="7813" spans="2:4">
      <c r="B7813">
        <v>53</v>
      </c>
      <c r="C7813" s="1">
        <f>hyperlink("https://hetutrechtsarchief.nl/collectie/E5E16BC0232F5FCF86ECD87375EB93AB","Kleine landschapselementen koebochten eilandjes in het polderlandschap Martine Busz en H l ne Hine 22-25 2001")</f>
        <v>0</v>
      </c>
      <c r="D7813" s="1">
        <f>hyperlink("http://www.provincie-utrecht.nl/publish/pages/165792/kwaliteitsgids_eemland_12-07-2011.pdf","Kwaliteitsgids Utrechtse landschappen gebiedskatern Eemland Adriaan OKRA landschapsarchitecten Haartsen 2011")</f>
        <v>0</v>
      </c>
    </row>
    <row r="7814" spans="2:4">
      <c r="B7814">
        <v>56</v>
      </c>
      <c r="C7814" s="1">
        <f>hyperlink("https://hetutrechtsarchief.nl/collectie/B072309A247057BDB7E2CB5311046CCD","Een oproer in Utrecht P D t Hart 115-116 1978")</f>
        <v>0</v>
      </c>
      <c r="D7814" s="1">
        <f>hyperlink("http://www.pw.nl/archief/1998/1998-36/1998pw1362.pdf","Osteoporoseproject in Utrecht trekt de aandacht Charlotte Gusdorf-Celant 1362-1363 1998")</f>
        <v>0</v>
      </c>
    </row>
    <row r="7815" spans="2:4">
      <c r="B7815">
        <v>52</v>
      </c>
      <c r="C7815" s="1">
        <f>hyperlink("https://hetutrechtsarchief.nl/collectie/5D022E0EBA555184A619C81DE85CD2EF","Straatverlichting sober en doelmatig Marijke Brunt 7 2008")</f>
        <v>0</v>
      </c>
      <c r="D7815" s="1">
        <f>hyperlink("http://www.rijwiel.net/koot_n.htm ; http://www.rijwiel.net/koot2n.htm","Firma A C Koot fietsverlichting van Leko tot iku Herbert Kuner 16-22 2009")</f>
        <v>0</v>
      </c>
    </row>
    <row r="7816" spans="2:4">
      <c r="B7816">
        <v>63</v>
      </c>
      <c r="C7816" s="1">
        <f>hyperlink("https://hetutrechtsarchief.nl/collectie/60CC9763F9F85D89BA661AB1397EFBA3","Een wereldstad in de vroege Middeleeuwen de beeldvorming van Dorestad Annemarieke Willemsen 32-35 2009")</f>
        <v>0</v>
      </c>
      <c r="D7816" s="1">
        <f>hyperlink("http://www.rmo.nl/actueel/nieuws/2010/aanwinst-middeleeuws-goudbaartje/artikel-beeldenaar","Een spiraalvormig vroegmiddeleeuws goudbaartje Annemarieke Willemsen 245-249 2010")</f>
        <v>0</v>
      </c>
    </row>
    <row r="7817" spans="2:4">
      <c r="B7817">
        <v>53</v>
      </c>
      <c r="C7817" s="1">
        <f>hyperlink("https://hetutrechtsarchief.nl/collectie/9F896950297F5298ADF54509EE0FF56D","Het Utrechtsche boekdrukkersgilde G A Evers 7-15 ill 1939")</f>
        <v>0</v>
      </c>
      <c r="D7817" s="1">
        <f>hyperlink("http://www.rozenbergps.com/files/Recht%20te%20Utrecht.pdf","Recht te Utrecht W M J Bekkers en G M F Snijders red G M F Beckers W M J Snijders 1994")</f>
        <v>0</v>
      </c>
    </row>
    <row r="7818" spans="2:4">
      <c r="B7818">
        <v>100</v>
      </c>
      <c r="C7818" s="1">
        <f>hyperlink("https://hetutrechtsarchief.nl/collectie/67B3B55055C05559B56793E9B19A6A97","Voortbouwen op het verleden negen jaar burgerinitiatieven voor de Soester Eng 2000-2009 Ellen ten Berge 319-326 2009")</f>
        <v>0</v>
      </c>
      <c r="D7818" s="1">
        <f>hyperlink("http://www.soestereng.nl/Ellen%20ten%20Berge.pdf","Voortbouwen op het verleden negen jaar burgerinitiatieven voor de Soester Eng 2000-2009 Ellen ten Berge 319-326 2009")</f>
        <v>0</v>
      </c>
    </row>
    <row r="7819" spans="2:4">
      <c r="B7819">
        <v>100</v>
      </c>
      <c r="C7819" s="1">
        <f>hyperlink("https://hetutrechtsarchief.nl/collectie/EB841A5BAFC656C79F430C490B803B42","Laveren tussen ontwikkeling en behoud het beheer van de Soester Eng over de laatste veertig jaren Peter Veen 313-318 2009")</f>
        <v>0</v>
      </c>
      <c r="D7819" s="1">
        <f>hyperlink("http://www.soestereng.nl/Peter%20Veen.pdf","Laveren tussen ontwikkeling en behoud het beheer van de Soester Eng over de laatste veertig jaren Peter Veen 313-318 2009")</f>
        <v>0</v>
      </c>
    </row>
    <row r="7820" spans="2:4">
      <c r="B7820">
        <v>100</v>
      </c>
      <c r="C7820" s="1">
        <f>hyperlink("https://hetutrechtsarchief.nl/collectie/8CF2A517F9D85FA8974F82240C95D28F","De Zuidelijke Eng te Soest Wim de Kam 304-312 2009")</f>
        <v>0</v>
      </c>
      <c r="D7820" s="1">
        <f>hyperlink("http://www.soestereng.nl/Wim%20de%20Kam.pdf","De Zuidelijke Eng te Soest Wim de Kam 304-312 2009")</f>
        <v>0</v>
      </c>
    </row>
    <row r="7821" spans="2:4">
      <c r="B7821">
        <v>53</v>
      </c>
      <c r="C7821" s="1">
        <f>hyperlink("https://hetutrechtsarchief.nl/collectie/18AA2965391A5E138CACE40FFACB827D","Ter gelegenheid van de opening van het Zeister slot 85-88 ill 1969")</f>
        <v>0</v>
      </c>
      <c r="D7821" s="1">
        <f>hyperlink("http://www.spaarhetgein.nl/index.php?option=com_content&amp;view=article&amp;id=52&amp;Itemid=53","Spaar het Gein nieuwsbrief van de Vereniging Spaar het Gein Vereniging Spaar het Gein 1993-")</f>
        <v>0</v>
      </c>
    </row>
    <row r="7822" spans="2:4">
      <c r="B7822">
        <v>99</v>
      </c>
      <c r="C7822" s="1">
        <f>hyperlink("https://hetutrechtsarchief.nl/collectie/6992B0727F1C508DB71C83FF309EEEBF","Driehonderd gulden per vrijgelaten slaaf slaveneigenaren in Utrecht en de afschaffing van slavernij in 1863 Esther Captain 38-43 2013")</f>
        <v>0</v>
      </c>
      <c r="D7822" s="1">
        <f>hyperlink("http://www.sporenvanslavernijutrecht.nl/wp-content/uploads/Slavernij-in-Utrecht-Oud-Utrecht-nr.2-2013-los.pdf","Driehonderd gulden per vrijgelaten slaaf slaveneigenaren in Utrecht en de afschaffing van de slavernij in 1863 Esther Captain 38-43 2013")</f>
        <v>0</v>
      </c>
    </row>
    <row r="7823" spans="2:4">
      <c r="B7823">
        <v>50</v>
      </c>
      <c r="C7823" s="1">
        <f>hyperlink("https://hetutrechtsarchief.nl/collectie/2DEF14861F135E5EB8BCE145D0E7D236","Fietsvoorzieningen in Utrecht de strijd om ruimte tussen fiets en auto Herman Radstake 20 ill 1987")</f>
        <v>0</v>
      </c>
      <c r="D7823" s="1">
        <f>hyperlink("http://www.stichtingstade.nl/plaatjes/user/File/plusgids%202007%2020-11.pdf","Plus-gids activiteiten en voorzieningen in Utrecht voor ouderen gehandicapten chronisch zieken en hun mantelzorgers Stichting Stade 2007 -")</f>
        <v>0</v>
      </c>
    </row>
    <row r="7824" spans="2:4">
      <c r="B7824">
        <v>96</v>
      </c>
      <c r="C7824" s="1">
        <f>hyperlink("https://hetutrechtsarchief.nl/collectie/2669BB794AF154D1963450D8A8ECFCFD","Duurzame verbindingen op het Utrecht Science Park tekst Hans Haj e 26-27 2012")</f>
        <v>0</v>
      </c>
      <c r="D7824" s="1">
        <f>hyperlink("http://www.sunbeam-pv.com/downloads/Utrecht-Business-sep2012.pdf","Duurzame verbindingen op het Utrecht Science Park Hans Haj e 26-27 2012")</f>
        <v>0</v>
      </c>
    </row>
    <row r="7825" spans="2:4">
      <c r="B7825">
        <v>53</v>
      </c>
      <c r="C7825" s="1">
        <f>hyperlink("https://hetutrechtsarchief.nl/collectie/CCE5266FCA8F5D1D9F29FFDEDEA906E1","De inrichting van Rijnsweerd-Zuid J T Hilkhuijsen 2-5 ill plgr tek 1980")</f>
        <v>0</v>
      </c>
      <c r="D7825" s="1">
        <f>hyperlink("http://www.swov.nl/rapport/R-2008-03.pdf","Herinrichting van de Krakelingweg te Zeist onafhankelijk advies W J R Churchill A Louwerse 2008")</f>
        <v>0</v>
      </c>
    </row>
    <row r="7826" spans="2:4">
      <c r="B7826">
        <v>57</v>
      </c>
      <c r="C7826" s="1">
        <f>hyperlink("https://hetutrechtsarchief.nl/collectie/D972E3AD12BA5BFCA922CD849654ECD9","Utrechtenaren de sodomieprocessen in Utrecht 1730 - 1732 L J Boon 553-558 1982")</f>
        <v>0</v>
      </c>
      <c r="D7826" s="1">
        <f>hyperlink("http://www.thuisinbrabant.nl/object/de-brabantse-leeuw/1191","Eindhovenaren als poorters van Utrecht 1300-1700 J Th M Melssen 30-31 1978")</f>
        <v>0</v>
      </c>
    </row>
    <row r="7827" spans="2:4">
      <c r="B7827">
        <v>66</v>
      </c>
      <c r="C7827" s="1">
        <f>hyperlink("https://hetutrechtsarchief.nl/collectie/87D59A21D3575624ACA2465AC45E333A","Baarnse Bos een vorstelijk wandelpark Roland Blijdenstijn 14-17 2010")</f>
        <v>0</v>
      </c>
      <c r="D7827" s="1">
        <f>hyperlink("http://www.tuinenlandschap.nl/pdf/485c2a1720d023aeb08fabd970e91f34.pdf","Baarnse Bos een bijzonder wandelpark Kyra Kuitert 30-33 2008")</f>
        <v>0</v>
      </c>
    </row>
    <row r="7828" spans="2:4">
      <c r="B7828">
        <v>59</v>
      </c>
      <c r="C7828" s="1">
        <f>hyperlink("https://hetutrechtsarchief.nl/collectie/7141F1E027D5CFECE0534701000A2CF5","De ijzeren tijden van smederij Van Rij aan de Voorstraat Astrid Pel 30-33 2015")</f>
        <v>0</v>
      </c>
      <c r="D7828" s="1">
        <f>hyperlink("http://www.tussenvechteneem.nl/canon/pdf/203v_ijzertijd_romtijd_Vechtstreek_Kok.pdf","De IJzertijd en Romeinse tijd van de Vechtstreek Ruurd Kok 34-54 2009")</f>
        <v>0</v>
      </c>
    </row>
    <row r="7829" spans="2:4">
      <c r="B7829">
        <v>51</v>
      </c>
      <c r="C7829" s="1">
        <f>hyperlink("https://hetutrechtsarchief.nl/collectie/26FA2660CBAA5104B4A0BD229E6D953E","Oprichting en hoogtepunten van de eerste jaren van de Historische Kring Arie de Zwart 75-77 2012")</f>
        <v>0</v>
      </c>
      <c r="D7829" s="1">
        <f>hyperlink("http://www.tussenvechteneem.nl/tijdschrift/","Tijdschrift van de Stichting Tussen Vecht Eem en van de Vereniging van Vrienden van het Gooi Stichting Tussen Vecht Eem Vereniging van Vrienden van het Gooi 1983-")</f>
        <v>0</v>
      </c>
    </row>
    <row r="7830" spans="2:4">
      <c r="B7830">
        <v>51</v>
      </c>
      <c r="C7830" s="1">
        <f>hyperlink("https://hetutrechtsarchief.nl/collectie/9314EF8613A150AE9823BA8897F3F578","Waterbeheer tussen Vecht en Eem tussen traditie en vernieuwing de fusiegeschiedenis van het Hoogheemraadschap Amstel Gooi en Vecht Jan C A Blom 19-33 ill krt 1999")</f>
        <v>0</v>
      </c>
      <c r="D7830" s="1">
        <f>hyperlink("http://www.tussenvechteneem.nl/tijdschrift/","Tussen Vecht en Eem historisch tijdschrift van de Stichting Tussen Vecht en Eem centrale organisatie van vrienden van de historie van het Gooi en omstreken Stichting Tussen Vecht en Eem 1970-1982")</f>
        <v>0</v>
      </c>
    </row>
    <row r="7831" spans="2:4">
      <c r="B7831">
        <v>81</v>
      </c>
      <c r="C7831" s="1">
        <f>hyperlink("https://hetutrechtsarchief.nl/collectie/153F576711CF56B0BC2459A8CCE4FEB7","Historische Canon tussen Vecht Eem Henk Michielse 5-143 2009")</f>
        <v>0</v>
      </c>
      <c r="D7831" s="1">
        <f>hyperlink("http://www.tussenvechteneem.nl/wp-content/uploads/2013/10/TVE-2009-1.pdf","Historische Canon tussen Vecht Eem auteurs Henk Michielse et al Henk Michielse 5-143 2009")</f>
        <v>0</v>
      </c>
    </row>
    <row r="7832" spans="2:4">
      <c r="B7832">
        <v>53</v>
      </c>
      <c r="C7832" s="1">
        <f>hyperlink("https://hetutrechtsarchief.nl/collectie/C86AEE86E2C75EF294EDCFFB8EC8AE6F","Het collectief George Cornelissen 11 ill 1985")</f>
        <v>0</v>
      </c>
      <c r="D7832" s="1">
        <f>hyperlink("http://www.tussenvechteneem.nl/wp-content/uploads/2015/09/TVE1986-02.pdf","De Beide Eemnessen 1986")</f>
        <v>0</v>
      </c>
    </row>
    <row r="7833" spans="2:4">
      <c r="B7833">
        <v>52</v>
      </c>
      <c r="C7833" s="1">
        <f>hyperlink("https://hetutrechtsarchief.nl/collectie/E1EDB841FC1F57989546C6628DF6A9CF","Breekbare sporen 2008")</f>
        <v>0</v>
      </c>
      <c r="D7833" s="1">
        <f>hyperlink("http://www.tussenvechteneem.nl/wp-content/uploads/2015/09/TVE2002-02.pdf","Baarn 2002")</f>
        <v>0</v>
      </c>
    </row>
    <row r="7834" spans="2:4">
      <c r="B7834">
        <v>63</v>
      </c>
      <c r="C7834" s="1">
        <f>hyperlink("https://hetutrechtsarchief.nl/collectie/DC8288A462BE58B9880DDE1508881E83","Het Jaar van de Boerderij Paul Vesters 14- 16 2003")</f>
        <v>0</v>
      </c>
      <c r="D7834" s="1">
        <f>hyperlink("http://www.tussenvechteneem.nl/wp-content/uploads/2015/09/TVE2003-01-02.pdf","Jaar van de boerderij 2003 Ingeborg Laarakkers 2003")</f>
        <v>0</v>
      </c>
    </row>
    <row r="7835" spans="2:4">
      <c r="B7835">
        <v>65</v>
      </c>
      <c r="C7835" s="1">
        <f>hyperlink("https://hetutrechtsarchief.nl/collectie/B359C40AD0D15060A14D03C40D391930","De geschiedenis van Jan Trant O Dekkers 96-102 2008")</f>
        <v>0</v>
      </c>
      <c r="D7835" s="1">
        <f>hyperlink("http://www.tussenvechteneem.nl/wp-content/uploads/2015/09/TVE2009-03.pdf","Geschiedenis van Eemland Baarn Soest Eemnes 2009")</f>
        <v>0</v>
      </c>
    </row>
    <row r="7836" spans="2:4">
      <c r="B7836">
        <v>57</v>
      </c>
      <c r="C7836" s="1">
        <f>hyperlink("https://hetutrechtsarchief.nl/collectie/960B59558542F20AE0534701000A672A","Tweemaal zes - De naam is al geschiedenis Jan de Bruin 2009")</f>
        <v>0</v>
      </c>
      <c r="D7836" s="1">
        <f>hyperlink("http://www.tussenvechteneem.nl/wp-content/uploads/2015/09/TVE2010-02.pdf","TVE veertig jaar veertig jaar regionale geschiedenis vijftien lokale verhalen 2010")</f>
        <v>0</v>
      </c>
    </row>
    <row r="7837" spans="2:4">
      <c r="B7837">
        <v>52</v>
      </c>
      <c r="C7837" s="1">
        <f>hyperlink("https://hetutrechtsarchief.nl/collectie/632875A13DAE58A0BE5234B5492427D1","Met het volste recht de juridische pretenties van de tertiarissen van het Kapittel van Utrecht Hildo van Engen 147 -160 2005")</f>
        <v>0</v>
      </c>
      <c r="D7837" s="1">
        <f>hyperlink("http://www.ublad.uu.nl/WebObjects/UOL.woa/2/wa/Ublad/archief?id=1026669","Eske Pillen is Miss Utrecht 2006 de 20-jarige rechtenstudente wist het net niet tot Miss Nederland te schoppen Armand Heijnen 14-15 2006")</f>
        <v>0</v>
      </c>
    </row>
    <row r="7838" spans="2:4">
      <c r="B7838">
        <v>82</v>
      </c>
      <c r="C7838" s="1">
        <f>hyperlink("https://hetutrechtsarchief.nl/collectie/BB6F682A4FBA50ADA0CC437F0A482C3B","Een muur die bezienswaardig is Femke van Zeijl foto s Maarten Hartman 21 2009")</f>
        <v>0</v>
      </c>
      <c r="D7838" s="1">
        <f>hyperlink("http://www.ublad.uu.nl/WebObjects/UOL.woa/2/wa/Ublad/archief?id=1036316","Een muur die bezienswaardig is Femke van Zeijl 21 2009")</f>
        <v>0</v>
      </c>
    </row>
    <row r="7839" spans="2:4">
      <c r="B7839">
        <v>57</v>
      </c>
      <c r="C7839" s="1">
        <f>hyperlink("https://hetutrechtsarchief.nl/collectie/6D2B91D8603D571A8823D4F0F3072E24","Van de oude jaarmarkt tot de biologische boerenmarkt duizend jaar Utrechtse markten in het Centraal Museum Henk Boon 19 2001")</f>
        <v>0</v>
      </c>
      <c r="D7839" s="1">
        <f>hyperlink("http://www.ublad.uu.nl/WebObjects/UOL.woa/3/wa/Ublad/archief?id=1016475","Duizend jaar Utrechtse markten in het Centraal Museum van de oude jaarmarkt tot de biologische boerenmarkt Henk Boon 19 2001")</f>
        <v>0</v>
      </c>
    </row>
    <row r="7840" spans="2:4">
      <c r="B7840">
        <v>89</v>
      </c>
      <c r="C7840" s="1">
        <f>hyperlink("https://hetutrechtsarchief.nl/collectie/D5F812A027B757938D5D5C12A3DCF446","Het is wel een beetje heldenverering studenten geowetenschappen maken film over Wim Eggink Wietske de Lange foto s Maarten van den Haak 14-17 2005")</f>
        <v>0</v>
      </c>
      <c r="D7840" s="1">
        <f>hyperlink("http://www.ublad.uu.nl/WebObjects/UOL.woa/4/wa/Ublad/archief?id=1021534","Het is wel een beetje heldenverering studenten geowetenschappen maken film over Wim Eggink Wietske de Lange 14-17 2005")</f>
        <v>0</v>
      </c>
    </row>
    <row r="7841" spans="2:4">
      <c r="B7841">
        <v>82</v>
      </c>
      <c r="C7841" s="1">
        <f>hyperlink("https://hetutrechtsarchief.nl/collectie/9CEFBD58F3F6508E8F7207E2D3D20536","De oudste student van Nederland Ronnie van Veen foto s Maarten Hartman 3 2009")</f>
        <v>0</v>
      </c>
      <c r="D7841" s="1">
        <f>hyperlink("http://www.ublad.uu.nl/WebObjects/UOL.woa/4/wa/Ublad/archief?id=1035531","De oudste student van Nederland Maarten Veen Ronnie van Hartman 3 2009")</f>
        <v>0</v>
      </c>
    </row>
    <row r="7842" spans="2:4">
      <c r="B7842">
        <v>50</v>
      </c>
      <c r="C7842" s="1">
        <f>hyperlink("https://hetutrechtsarchief.nl/collectie/6F5AA02ADF7C559F9AE0FA300C39B2DB","Van Wees een kanjer in whisky Amersfoorts familiebedrijf heeft een van de grootste selecties ter wereld tekst Paul de Gram foto s Van Wees Amersfoort")</f>
        <v>0</v>
      </c>
      <c r="D7842" s="1">
        <f>hyperlink("http://www.uitgeverijeducom.nl/site/titels/stadspromotie/amersfoort_pdf/AM_monumenten05.pdf","Kerken kloosters en kapellen in Amersfoort samengesteld door het gemeentelijk bureau Monumentenzorg Gemeentelijk Bureau Monumentenzorg Amersfoort 2005")</f>
        <v>0</v>
      </c>
    </row>
    <row r="7843" spans="2:4">
      <c r="B7843">
        <v>52</v>
      </c>
      <c r="C7843" s="1">
        <f>hyperlink("https://hetutrechtsarchief.nl/collectie/23559C123E0557C0A27C597FC9B78FD3","400 jaar Evangelisch-Lutherse Gemeente in Utrecht 8-10 2013")</f>
        <v>0</v>
      </c>
      <c r="D7843" s="1">
        <f>hyperlink("http://www.utrecht.nl/images/BCD/SectorFenP/Begroting/2011/Nota%20Lokale%20Heffingen%202010_2014_%20DEF.pdf","Lokale heffingen 2010-2014 Gemeente Utrecht 2010")</f>
        <v>0</v>
      </c>
    </row>
    <row r="7844" spans="2:4">
      <c r="B7844">
        <v>52</v>
      </c>
      <c r="C7844" s="1">
        <f>hyperlink("https://hetutrechtsarchief.nl/collectie/00CFBCE285615B988B35C37B1CEC6F4A","Broeders en zusters aan de Nieuwe Kamp archeologisch onderzoek naar een laatmiddeleeuws kloosterterrein Jeroen van der Kamp 160-166 2010")</f>
        <v>0</v>
      </c>
      <c r="D7844" s="1">
        <f>hyperlink("http://www.utrecht.nl/images/DSO/monumenten/basisrapportages/BRArch16VroegeWacht/BRArch_16_Vroege_Wacht_dec07_PDF_SCHERM.pdf","Vroege wacht LR31 Zandweg archeologisch onderzoek van twee eerste-eeuwse houten wachttorens in Leidsche Rijn J S van der Kamp red E P Graafstal E P Kamp J S van der Graafstal 2007")</f>
        <v>0</v>
      </c>
    </row>
    <row r="7845" spans="2:4">
      <c r="B7845">
        <v>66</v>
      </c>
      <c r="C7845" s="1">
        <f>hyperlink("https://hetutrechtsarchief.nl/collectie/00CFBCE285615B988B35C37B1CEC6F4A","Broeders en zusters aan de Nieuwe Kamp archeologisch onderzoek naar een laatmiddeleeuws kloosterterrein Jeroen van der Kamp 160-166 2010")</f>
        <v>0</v>
      </c>
      <c r="D7845" s="1">
        <f>hyperlink("http://www.utrecht.nl/images/DSO/monumenten/publicaties/Basisrapportages_Archeologie/BRArch_01_Grauwert/01BRArchGrauwert-scherm.pdf","De Grauwert archeologisch onderzoek De Grauwert archeologisch onderzoek naar een laatmiddeleeuws omgracht complex J S van der Kamp 2004")</f>
        <v>0</v>
      </c>
    </row>
    <row r="7846" spans="2:4">
      <c r="B7846">
        <v>56</v>
      </c>
      <c r="C7846" s="1">
        <f>hyperlink("https://hetutrechtsarchief.nl/collectie/02E74832B1B451B0922E03CF948FB576","Genealogisch onderzoek in Zeist een korte inleiding in de bronnen V A M van der Burg 72-80 ill 1990")</f>
        <v>0</v>
      </c>
      <c r="D7846" s="1">
        <f>hyperlink("http://www.utrecht.nl/images/DSO/monumenten/publicaties/Basisrapportages_Archeologie/BRArch_02_Eligenstraat/02BRArchEligenstraat-scherm.pdf","Eligenstraat archeologisch onderzoek Eligenstraat 2000 jaar bebouwing in het zuiden van de Utrechtse binnenstad R van der Mark 2001")</f>
        <v>0</v>
      </c>
    </row>
    <row r="7847" spans="2:4">
      <c r="B7847">
        <v>53</v>
      </c>
      <c r="C7847" s="1">
        <f>hyperlink("https://hetutrechtsarchief.nl/collectie/A740BA193DD457869EA089B1DD3EFF75","Opnieuw graven naar Wijks verleden archeologisch onderzoek op het terrein van de voormalige fruitveiling te Wijk bij Duurstede Jan van Doesburg 27-28 2007")</f>
        <v>0</v>
      </c>
      <c r="D7847" s="1">
        <f>hyperlink("http://www.utrecht.nl/images/DSO/monumenten/publicaties/Basisrapportages_Archeologie/BRArch_03_Sportpark_Terweide/03BRArchSportparkTerweide-scherm.pdf","Sportpark Terweide archeologisch proefonderzoek Sportpark Terweide inheems-Romeinse bewoning uit de eerste eeuw na Christus ten noorden van de Limes J S van der Kamp 2003")</f>
        <v>0</v>
      </c>
    </row>
    <row r="7848" spans="2:4">
      <c r="B7848">
        <v>56</v>
      </c>
      <c r="C7848" s="1">
        <f>hyperlink("https://hetutrechtsarchief.nl/collectie/00CFBCE285615B988B35C37B1CEC6F4A","Broeders en zusters aan de Nieuwe Kamp archeologisch onderzoek naar een laatmiddeleeuws kloosterterrein Jeroen van der Kamp 160-166 2010")</f>
        <v>0</v>
      </c>
      <c r="D7848" s="1">
        <f>hyperlink("http://www.utrecht.nl/images/DSO/monumenten/publicaties/Basisrapportages_Archeologie/BRArch_04_Twee_IJzertijdvindplaatsen_langs_snelweg/04BRArchTweeIJzertijd-scherm.pdf","Twee ijzertijdvindplaatsen langs de snelweg archeologisch proefonderzoek i v m verlegging rijksweg A2 J S van der Kamp 2004")</f>
        <v>0</v>
      </c>
    </row>
    <row r="7849" spans="2:4">
      <c r="B7849">
        <v>56</v>
      </c>
      <c r="C7849" s="1">
        <f>hyperlink("https://hetutrechtsarchief.nl/collectie/00CFBCE285615B988B35C37B1CEC6F4A","Broeders en zusters aan de Nieuwe Kamp archeologisch onderzoek naar een laatmiddeleeuws kloosterterrein Jeroen van der Kamp 160-166 2010")</f>
        <v>0</v>
      </c>
      <c r="D7849" s="1">
        <f>hyperlink("http://www.utrecht.nl/images/DSO/monumenten/publicaties/Basisrapportages_Archeologie/BRArch_05_Middeleeuwse_bewoning_langs_snelweg/BRArch_nr5middeleeuwse_bewoning_langs_de_snelweg.pdf.pdf","Middeleeuwse bewoning langs de snelweg archeologisch proefonderzoek i v m verlegging Rijksweg A2 J S van der Kamp 2004")</f>
        <v>0</v>
      </c>
    </row>
    <row r="7850" spans="2:4">
      <c r="B7850">
        <v>52</v>
      </c>
      <c r="C7850" s="1">
        <f>hyperlink("https://hetutrechtsarchief.nl/collectie/A740BA193DD457869EA089B1DD3EFF75","Opnieuw graven naar Wijks verleden archeologisch onderzoek op het terrein van de voormalige fruitveiling te Wijk bij Duurstede Jan van Doesburg 27-28 2007")</f>
        <v>0</v>
      </c>
      <c r="D7850" s="1">
        <f>hyperlink("http://www.utrecht.nl/images/DSO/monumenten/publicaties/Basisrapportages_Archeologie/BRArch_06_Parkwijk_Noord/06BRArch_ParkwijkNoord_scherm.pdf","Parkwijk-noord drie archeologische proefonderzoeken zoektocht naar Romeinse activiteiten ten noorden van het castellum op de Hoge Woerd J S van der Kamp 2004")</f>
        <v>0</v>
      </c>
    </row>
    <row r="7851" spans="2:4">
      <c r="B7851">
        <v>58</v>
      </c>
      <c r="C7851" s="1">
        <f>hyperlink("https://hetutrechtsarchief.nl/collectie/D66A555E29815584E0538F04000A0395","Middeleeuwse muizenpotten in Leidsche Rijn Door Jeroen van der Kamp 12-17 2021")</f>
        <v>0</v>
      </c>
      <c r="D7851" s="1">
        <f>hyperlink("http://www.utrecht.nl/images/DSO/monumenten/publicaties/Basisrapportages_Archeologie/BRArch_07_Laatmiddeleeuwse_bewoning_langs_de_Hogeweide/BRArch_07_april06_scherm.pdf","Laatmiddeleeuwse bewoning langs de Hogeweide archeologisch proefonderzoek J S van der Kamp 2005")</f>
        <v>0</v>
      </c>
    </row>
    <row r="7852" spans="2:4">
      <c r="B7852">
        <v>63</v>
      </c>
      <c r="C7852" s="1">
        <f>hyperlink("https://hetutrechtsarchief.nl/collectie/00CFBCE285615B988B35C37B1CEC6F4A","Broeders en zusters aan de Nieuwe Kamp archeologisch onderzoek naar een laatmiddeleeuws kloosterterrein Jeroen van der Kamp 160-166 2010")</f>
        <v>0</v>
      </c>
      <c r="D7852" s="1">
        <f>hyperlink("http://www.utrecht.nl/images/DSO/monumenten/publicaties/Basisrapportages_Archeologie/BRArch_08_Langs_de_Hogeweide/BRArch_08_Langs_de_Hogeweide.pdf","Langs de Hogeweide archeologisch proefonderzoek van een laat- en postmiddeleeuws bewoningslint J S van der Kamp 2005")</f>
        <v>0</v>
      </c>
    </row>
    <row r="7853" spans="2:4">
      <c r="B7853">
        <v>56</v>
      </c>
      <c r="C7853" s="1">
        <f>hyperlink("https://hetutrechtsarchief.nl/collectie/A740BA193DD457869EA089B1DD3EFF75","Opnieuw graven naar Wijks verleden archeologisch onderzoek op het terrein van de voormalige fruitveiling te Wijk bij Duurstede Jan van Doesburg 27-28 2007")</f>
        <v>0</v>
      </c>
      <c r="D7853" s="1">
        <f>hyperlink("http://www.utrecht.nl/images/DSO/monumenten/publicaties/Basisrapportages_Archeologie/BRArch_10_Laatmiddeeuwse_bewoning_langs_de_Hogeweide/BRArch_10_LR33_16feb06_scherm.pdf","Laatmiddeleeuwse bewoning langs de Hogeweide archeologisch onderzoek wegens de verlegging van de Waterleiding Rijn-Kennemerland J S van der Kamp 2005")</f>
        <v>0</v>
      </c>
    </row>
    <row r="7854" spans="2:4">
      <c r="B7854">
        <v>51</v>
      </c>
      <c r="C7854" s="1">
        <f>hyperlink("https://hetutrechtsarchief.nl/collectie/00CFBCE285615B988B35C37B1CEC6F4A","Broeders en zusters aan de Nieuwe Kamp archeologisch onderzoek naar een laatmiddeleeuws kloosterterrein Jeroen van der Kamp 160-166 2010")</f>
        <v>0</v>
      </c>
      <c r="D7854" s="1">
        <f>hyperlink("http://www.utrecht.nl/images/DSO/monumenten/publicaties/Basisrapportages_Archeologie/BRArch_12_Broederschap_Maria_in_de_Wijngaard/BrA_12_De_broederschap_Maria_in_de_Wijngaard.pdf","De broederschap Maria in de Wijngaard en onser liever vrouwe in die Sonne archeologisch onderzoek naar twee kloostergemeenschappen aan de Nieuwe Kamp in Utrecht G R van Veen met bijdragen van M van Dinter et al M van Veen G R van Dinter 2010")</f>
        <v>0</v>
      </c>
    </row>
    <row r="7855" spans="2:4">
      <c r="B7855">
        <v>66</v>
      </c>
      <c r="C7855" s="1">
        <f>hyperlink("https://hetutrechtsarchief.nl/collectie/49BFED831F785665AE1E8DEE939698EC","Werk aan de werf Ren de Kam 19 2007")</f>
        <v>0</v>
      </c>
      <c r="D7855" s="1">
        <f>hyperlink("http://www.utrecht.nl/images/DSO/monumenten/publicaties/Basisrapportages_Archeologie/BRArch_14_Wonen_aan_het_water_1/BRArch_14_Wonen_aan_het_Water_10jan07.pdf","Wonen aan het water J S van der Kamp 2006")</f>
        <v>0</v>
      </c>
    </row>
    <row r="7856" spans="2:4">
      <c r="B7856">
        <v>54</v>
      </c>
      <c r="C7856" s="1">
        <f>hyperlink("https://hetutrechtsarchief.nl/collectie/814CD48321145B838ADEFF747CE1DC66","Onder Achter de Kamp archeologisch onderzoek legt oude sporen bloot Mattijs Wijker 8-9 2007")</f>
        <v>0</v>
      </c>
      <c r="D7856" s="1">
        <f>hyperlink("http://www.utrecht.nl/images/DSO/monumenten/publicaties/Basisrapportages_Archeologie/BRArch_18_Sportpark_Terweide_2/BrA_18_Sportpark_Terweide_2.pdf","Sportpark Terweide 2 LR41-42 archeologisch onderzoek Sportpark Terweide C M W den Hertog 2009")</f>
        <v>0</v>
      </c>
    </row>
    <row r="7857" spans="2:4">
      <c r="B7857">
        <v>56</v>
      </c>
      <c r="C7857" s="1">
        <f>hyperlink("https://hetutrechtsarchief.nl/collectie/85FE4CE66F3C5644B11084BB20195377","Een Duitse bommenwerper uit de bodem van Leidsche Rijn Jeroen van der Kamp 168-172 2011")</f>
        <v>0</v>
      </c>
      <c r="D7857" s="1">
        <f>hyperlink("http://www.utrecht.nl/images/DSO/monumenten/publicaties/Basisrapportages_Archeologie/BRArch_20_Boeren_aan_de_Hogeweide/BRArch_20_boeren_langs_de_Hogeweide.pdf","Boeren langs de Hogeweide een post middeleeuws boerderijlint op kapittelgrondgebied in Leidsche Rijn J S van der Kamp 2011")</f>
        <v>0</v>
      </c>
    </row>
    <row r="7858" spans="2:4">
      <c r="B7858">
        <v>51</v>
      </c>
      <c r="C7858" s="1">
        <f>hyperlink("https://hetutrechtsarchief.nl/collectie/735A75ABECDE539C8639D1F56D7A1670","Genealogie en de canon deel II onder red van Jos van den Borne et al met bijdr van Jean Streng et al p 1 -230 2009")</f>
        <v>0</v>
      </c>
      <c r="D7858" s="1">
        <f>hyperlink("http://www.utrecht.nl/images/DSO/monumenten/publicaties/Basisrapportages_Archeologie/BRArch_21_Werk_aan_de_weg/BRArch_21_Werk_aan_de_weg.pdf","Werk aan de weg LR 31 Zandweg Archeologisch onderzoek aan een verspoelde sectie van de limesweg J S van der Kamp met bijdragen van A M Brakman et al A M Kamp J S van der Brakman 2009")</f>
        <v>0</v>
      </c>
    </row>
    <row r="7859" spans="2:4">
      <c r="B7859">
        <v>52</v>
      </c>
      <c r="C7859" s="1">
        <f>hyperlink("https://hetutrechtsarchief.nl/collectie/91B3480B6BE45240A4D966B61B117FFF","Het ideale buitenleven aan de oevers van de Vecht in de po zie van de 18e eeuw Willemien B de Vries 23-35 2003")</f>
        <v>0</v>
      </c>
      <c r="D7859" s="1">
        <f>hyperlink("http://www.utrecht.nl/images/DSO/monumenten/publicaties/Basisrapportages_Archeologie/BRArch_26_Vroegmiddeleeuwse_bewoning_langs_de_A2/BRArch26_Vroegmiddeleeuwse_bewoning_langs_de_A2_deel_1.pdf","Vroegmiddeleeuwse bewoning langs de A2 een nederzetting uit de zevende en achtste eeuw in Leidsche Rijn H L Nokkert M Aarts A C Wynia 2009")</f>
        <v>0</v>
      </c>
    </row>
    <row r="7860" spans="2:4">
      <c r="B7860">
        <v>54</v>
      </c>
      <c r="C7860" s="1">
        <f>hyperlink("https://hetutrechtsarchief.nl/collectie/814CD48321145B838ADEFF747CE1DC66","Onder Achter de Kamp archeologisch onderzoek legt oude sporen bloot Mattijs Wijker 8-9 2007")</f>
        <v>0</v>
      </c>
      <c r="D7860" s="1">
        <f>hyperlink("http://www.utrecht.nl/images/DSO/monumenten/publicaties/Basisrapportages_Archeologie/BRArch_27_Reijngaerde/BRArch_27_Rheyngaerde_scherm.pdf","Rheyngaerde aanvullend archeologisch proefsleuvenonderzoek naar de Romeinse limesweg M Luksen-IJtsma A Nokkert 2007")</f>
        <v>0</v>
      </c>
    </row>
    <row r="7861" spans="2:4">
      <c r="B7861">
        <v>51</v>
      </c>
      <c r="C7861" s="1">
        <f>hyperlink("https://hetutrechtsarchief.nl/collectie/30ADC3BB5C035BB8863914734352C729","Rimpelingen in het vlakke land archeologische toepassingen van het AHN in de provincie Utrecht Wilko K van Zijverden 26- 30 2005")</f>
        <v>0</v>
      </c>
      <c r="D7861" s="1">
        <f>hyperlink("http://www.utrecht.nl/images/DSO/monumenten/publicaties/Basisrapportages_Archeologie/BRArch_28_Duits_Vliegtuiggraf/BrA28_Een_Duits_vliegtuiggraf_lowres.pdf","Een Duits vliegtuiggraf uit de eerste uren van de Tweede Wereldoorlog archeologische begeleiding van de berging van een Junkers 88 in Leidsche Rijn Utrecht M Kamp J S van der Hendriksen 2010")</f>
        <v>0</v>
      </c>
    </row>
    <row r="7862" spans="2:4">
      <c r="B7862">
        <v>55</v>
      </c>
      <c r="C7862" s="1">
        <f>hyperlink("https://hetutrechtsarchief.nl/collectie/55770879169A52E98918D7676B939E1F","Welvaart in vroegmiddeleeuwse Leidsche Rijn Ren de Kam en Herre Wynia 7-11 2011")</f>
        <v>0</v>
      </c>
      <c r="D7862" s="1">
        <f>hyperlink("http://www.utrecht.nl/images/DSO/monumenten/publicaties/Basisrapportages_Archeologie/BRArch_30_Appellaantje/BRArch_30_Appellaantje.pdf","Appellaantje LR55 een vroegmiddeleeuwse nederzetting aan de Wilhelminalaan bij Vleuten C M W den Hartog 2010")</f>
        <v>0</v>
      </c>
    </row>
    <row r="7863" spans="2:4">
      <c r="B7863">
        <v>56</v>
      </c>
      <c r="C7863" s="1">
        <f>hyperlink("https://hetutrechtsarchief.nl/collectie/7B510E5873595F1692DEE0439445745F","Archeologisch onderzoek naar het Proostenhuis Fred de Wit 104-106 2011")</f>
        <v>0</v>
      </c>
      <c r="D7863" s="1">
        <f>hyperlink("http://www.utrecht.nl/images/DSO/monumenten/publicaties/Basisrapportages_Archeologie/BRArch_41_Lichte_Gaard/BrArch41_Lichte_Gaard.pdf","Lichte Gaard 9 archeologisch onderzoek naar het castellum en het bisschoppelijk paleis R P J Kloosterman 2010")</f>
        <v>0</v>
      </c>
    </row>
    <row r="7864" spans="2:4">
      <c r="B7864">
        <v>63</v>
      </c>
      <c r="C7864" s="1">
        <f>hyperlink("https://hetutrechtsarchief.nl/collectie/00CFBCE285615B988B35C37B1CEC6F4A","Broeders en zusters aan de Nieuwe Kamp archeologisch onderzoek naar een laatmiddeleeuws kloosterterrein Jeroen van der Kamp 160-166 2010")</f>
        <v>0</v>
      </c>
      <c r="D7864" s="1">
        <f>hyperlink("http://www.utrecht.nl/images/DSO/monumenten/publicaties/Basisrapportages_Archeologie/BRArch_45_Boeren_en_Molenaars/BrA45_Boeren_en_molenaars.pdf","Boeren en molenaars archeologisch onderzoek naar een laatmiddeleeuws erf aan de Strijlandweg gemeente Utrecht Linda Dielemans 2010")</f>
        <v>0</v>
      </c>
    </row>
    <row r="7865" spans="2:4">
      <c r="B7865">
        <v>54</v>
      </c>
      <c r="C7865" s="1">
        <f>hyperlink("https://hetutrechtsarchief.nl/collectie/9B661522D53E5B4984141BA463F9F928","Feestelijke klokgieting op het Domplein in Utrecht Dick van Dijk 36-37 2010")</f>
        <v>0</v>
      </c>
      <c r="D7865" s="1">
        <f>hyperlink("http://www.utrecht.nl/images/DSO/monumenten/publicaties/Basisrapportages_Archeologie/BRArch_50_Klokken_gieten_naast_de_kerk/BRArch_50_Klokken_gieten_naast_de_kerk.pdf","Klokken gieten naast de kerk opgraving op het Pieterskerkhof in Utrecht A Luksen-IJtsma 2010")</f>
        <v>0</v>
      </c>
    </row>
    <row r="7866" spans="2:4">
      <c r="B7866">
        <v>51</v>
      </c>
      <c r="C7866" s="1">
        <f>hyperlink("https://hetutrechtsarchief.nl/collectie/67E381C1533F53418EB87EED8871E186","Oprichting van werkgroep Positieve Aktie minderheden en het personeelsbeleid van de gemeente Utrecht Eric Wong Lun Hing 6-7 1987")</f>
        <v>0</v>
      </c>
      <c r="D7866" s="1">
        <f>hyperlink("http://www.utrecht.nl/images/DSO/monumenten/publicaties/Basisrapportages_Archeologie/BRArch_54_Wonen_aan_het_Zwarte_Water/Rapport_BRArch_54_Wonen_aan_het_zwarte_water_150210.pdf","Wonen aan het Zwarte Water inventariserend veldonderzoek Merelstraat aan het Zwarte Water gemeente Utrecht C M W den Hartog 2009")</f>
        <v>0</v>
      </c>
    </row>
    <row r="7867" spans="2:4">
      <c r="B7867">
        <v>53</v>
      </c>
      <c r="C7867" s="1">
        <f>hyperlink("https://hetutrechtsarchief.nl/collectie/EBB555C62C205BEBBEF9860C8DFB08D8","Het Vredenburg nieuwe gedaante voor een plein met een rijk verleden 2-7 ill plgr 1961")</f>
        <v>0</v>
      </c>
      <c r="D7867" s="1">
        <f>hyperlink("http://www.utrecht.nl/images/DSO/monumenten/publicaties/Basisrapportages_Archeologie/BRArch_70_Vredenburg/BRArch_70_Vredenburg.pdf","Utrecht Vredenburg definitief onderzoek noordwest toren en westmuur van kasteel Vredenburg L Bruning 2010")</f>
        <v>0</v>
      </c>
    </row>
    <row r="7868" spans="2:4">
      <c r="B7868">
        <v>55</v>
      </c>
      <c r="C7868" s="1">
        <f>hyperlink("https://hetutrechtsarchief.nl/collectie/C5808647DE205217BA7BB6127ECD7BEB","Mysteries rond archeologische opgraving Rosanna Del Negro 15 2011")</f>
        <v>0</v>
      </c>
      <c r="D7868" s="1">
        <f>hyperlink("http://www.utrecht.nl/images/DSO/monumenten/publicaties/Basisrapportages_Archeologie/BRArch_71_Bergstraat_Stadsmuur/BRArch_71_Bergstraat.pdf","Utrecht-Bergstraat definitief archeologisch onderzoek opgravingen naar de stadsmuur L Bruning 2010")</f>
        <v>0</v>
      </c>
    </row>
    <row r="7869" spans="2:4">
      <c r="B7869">
        <v>51</v>
      </c>
      <c r="C7869" s="1">
        <f>hyperlink("https://hetutrechtsarchief.nl/collectie/C5EA54927B2D52288651F43BC1AD4A2A","O ik ben zo elektriek een onderzoek naar waanzin van vrouwen en mannen in het negentiende eeuwse Utrecht Anja Roubos en Marjolein Minks 10-18 1987")</f>
        <v>0</v>
      </c>
      <c r="D7869" s="1">
        <f>hyperlink("http://www.utrecht.nl/images/DSO/monumenten/publicaties/Basisrapportages_Archeologie/BRArch_73_Rijnvliet-Noord_Woningbouw/BRArch_73_Rijnvliet_Noord_Woningbouw.pdf","LR73 Rijnvliet-Noord Woningbouw inventariserend veldonderzoek IVO-proefsleuven naar de limes in het noorden van Rijnvliet gemeente Utrecht Linda Dielemans 2011")</f>
        <v>0</v>
      </c>
    </row>
    <row r="7870" spans="2:4">
      <c r="B7870">
        <v>55</v>
      </c>
      <c r="C7870" s="1">
        <f>hyperlink("https://hetutrechtsarchief.nl/collectie/9285384DA88957D6A953C41E17F3D13A","Een lastige edelman onder den rook van Utrecht C van der Wens 6-9 2007")</f>
        <v>0</v>
      </c>
      <c r="D7870" s="1">
        <f>hyperlink("http://www.utrecht.nl/images/DSO/monumenten/publicaties/Basisrapportages_Archeologie/BRArch_74_IJzertijd_en_Limesweg_in_Kanaleneiland/AML-DVD-website-low_res_10-12.pdf","IJzertijdbewoning en de limesweg in Kanaleneiland Utrecht J S van der Dielemans L Kamp 2012")</f>
        <v>0</v>
      </c>
    </row>
    <row r="7871" spans="2:4">
      <c r="B7871">
        <v>55</v>
      </c>
      <c r="C7871" s="1">
        <f>hyperlink("https://hetutrechtsarchief.nl/collectie/00CFBCE285615B988B35C37B1CEC6F4A","Broeders en zusters aan de Nieuwe Kamp archeologisch onderzoek naar een laatmiddeleeuws kloosterterrein Jeroen van der Kamp 160-166 2010")</f>
        <v>0</v>
      </c>
      <c r="D7871" s="1">
        <f>hyperlink("http://www.utrecht.nl/images/DSO/monumenten/publicaties/Publieksbrochures/Publieksbrochure_Dorp_aan_de_rivier_november_2010.pdf","Dorp aan de rivier archeologisch onderzoek naar een nederzetting uit de tijd van Willibrord in Leidsche Rijn Herre Wynia 2010")</f>
        <v>0</v>
      </c>
    </row>
    <row r="7872" spans="2:4">
      <c r="B7872">
        <v>56</v>
      </c>
      <c r="C7872" s="1">
        <f>hyperlink("https://hetutrechtsarchief.nl/collectie/05CC39911DDB5DBBB88CBED8E45D2A35","Industrieel erfgoed in het voorbijgaan Utrecht-stad route Noordoost tekst Bert van Holst 1998")</f>
        <v>0</v>
      </c>
      <c r="D7872" s="1">
        <f>hyperlink("http://www.utrecht.nl/images/DSO/monumenten/publicaties/Publieksbrochures/Publieksbrochure_Fabriekssporen_Industrieel_erfgoed_in_de_gemeente_Utrecht_december_2008.pdf","Fabriekssporen industrieel erfgoed in de gemeente Utrecht Marijke van den Ren de Kam Heuvel 2008")</f>
        <v>0</v>
      </c>
    </row>
    <row r="7873" spans="2:4">
      <c r="B7873">
        <v>50</v>
      </c>
      <c r="C7873" s="1">
        <f>hyperlink("https://hetutrechtsarchief.nl/collectie/C1F75B7CE8D558B3A54B46E293A2F81C","19e eeuws Utrecht als broeinest van cholera open riolen stinkende wonden en water als schrijfinkt zo zwart Armand Heijnen 20 ill 1990")</f>
        <v>0</v>
      </c>
      <c r="D7873" s="1">
        <f>hyperlink("http://www.utrecht.nl/images/DSO/monumenten/publicaties/Publieksbrochures/Publieksbrochure_Gevels_stadhuis_Utrecht_gereinigd_met_licht_2007.pdf","Gevels Utrechts stadhuis gereinigd met licht teksten Bart Kl ck Kees Rampart en Ren de Kam eindred Ren de Kl ck Bart Rampart Kees Kam 2007")</f>
        <v>0</v>
      </c>
    </row>
    <row r="7874" spans="2:4">
      <c r="B7874">
        <v>65</v>
      </c>
      <c r="C7874" s="1">
        <f>hyperlink("https://hetutrechtsarchief.nl/collectie/ACF4D3960B4759D2B9FEA3895C27CD63","De Minstroom een Utrechts hoverniersgebied Bettina van Santen 24-25 2010")</f>
        <v>0</v>
      </c>
      <c r="D7874" s="1">
        <f>hyperlink("http://www.utrecht.nl/images/DSO/monumenten/publicaties/Publieksbrochures/Publieksbrochure_Het_Minstroomgebied_okt_2010.pdf","Het Minstroomgebied de geschiedenis van een Utrechts hoveniersgebied Ilse Keessen 2010")</f>
        <v>0</v>
      </c>
    </row>
    <row r="7875" spans="2:4">
      <c r="B7875">
        <v>54</v>
      </c>
      <c r="C7875" s="1">
        <f>hyperlink("https://hetutrechtsarchief.nl/collectie/0060F3EDC0A1547185CE338B49C8D075","Historische herbergen en caf s in Utrecht 2 Hotel-caf De Pyramide van Austerlitz Rutger Loenen 69-71 2005")</f>
        <v>0</v>
      </c>
      <c r="D7875" s="1">
        <f>hyperlink("http://www.utrecht.nl/images/DSO/monumenten/publicaties/Publieksbrochures/Publieksbrochure_Historische_winkelpuien_in_Utrecht_juli_2010.pdf","Historische winkelpuien in Utrecht de winkelpui als visitekaartje van winkelier en stad Marieke Lenferink 2010")</f>
        <v>0</v>
      </c>
    </row>
    <row r="7876" spans="2:4">
      <c r="B7876">
        <v>57</v>
      </c>
      <c r="C7876" s="1">
        <f>hyperlink("https://hetutrechtsarchief.nl/collectie/3142624C43635233B212D1353B3A6BCB","Kasteel Sterkenburg op weg naar nieuwe hoogtijdagen 70-73 2011")</f>
        <v>0</v>
      </c>
      <c r="D7876" s="1">
        <f>hyperlink("http://www.utrecht.nl/images/DSO/monumenten/publicaties/Publieksbrochures/Publieksbrochure_Kasteel_Vredenburg_december_2008.pdf","Kasteel Vredenburg op de drempel van een nieuwe tijd Ren de Kylstra Edsard Kam 2008")</f>
        <v>0</v>
      </c>
    </row>
    <row r="7877" spans="2:4">
      <c r="B7877">
        <v>54</v>
      </c>
      <c r="C7877" s="1">
        <f>hyperlink("https://hetutrechtsarchief.nl/collectie/05064F8C20E850A996C8F66C12B12FE9","Lichtpuntjes en vluchtheuvels in een grijs landschap de eerste Michelin-gids voor Utrechts binnenstad Armand Heijnen 16-17 1991")</f>
        <v>0</v>
      </c>
      <c r="D7877" s="1">
        <f>hyperlink("http://www.utrecht.nl/images/DSO/monumenten/publicaties/Publieksbrochures/Publieksbrochure_Paus_Adrianus_VI_juli_2009_NL.pdf","Paus Adrianus VI een Utrechtse timmermanszoon op de Heilige Stoel rondwandeling door de Utrechtse binnenstad Ren de Kam 2009")</f>
        <v>0</v>
      </c>
    </row>
    <row r="7878" spans="2:4">
      <c r="B7878">
        <v>51</v>
      </c>
      <c r="C7878" s="1">
        <f>hyperlink("https://hetutrechtsarchief.nl/collectie/35B0C094597C5F4E8EE56A2EF6F2B2CB","Boerderijen in de provincie Utrecht 3 het boerenerf bedreigd Kees de Leeuw 78-79 2003")</f>
        <v>0</v>
      </c>
      <c r="D7878" s="1">
        <f>hyperlink("http://www.utrecht.nl/images/DSO/monumenten/publicaties/Publieksbrochures/Publieksbrochure_Pope_Adrian_VI_Engelse_versie_juli_2009_UK.pdf","Pope Adrian VI a carpenter s son from Utrecht on the Holy See tour of Utrecht City Centre Ren de Kam 2009")</f>
        <v>0</v>
      </c>
    </row>
    <row r="7879" spans="2:4">
      <c r="B7879">
        <v>54</v>
      </c>
      <c r="C7879" s="1">
        <f>hyperlink("https://hetutrechtsarchief.nl/collectie/E57E9D6B1AB95C21A43877F0B49F5101","Sluiten is niet slopen drie neogotische kerken in Utrechtse binnenstad Werkgroep Neogotiek 34-38 ill 1972")</f>
        <v>0</v>
      </c>
      <c r="D7879" s="1">
        <f>hyperlink("http://www.utrecht.nl/images/DSO/monumenten/publicaties/Publieksbrochures/Publieksbrochure_Sporen_in_de_stad_juni_2008.pdf","Sporen in de stad een wandeling langs archeologische en bouwhistorische onderzoeksgebieden in de Utrechtse binnenstad Ren de Kam 2008")</f>
        <v>0</v>
      </c>
    </row>
    <row r="7880" spans="2:4">
      <c r="B7880">
        <v>52</v>
      </c>
      <c r="C7880" s="1">
        <f>hyperlink("https://hetutrechtsarchief.nl/collectie/7B78D7E7DD845CA284E11B4A6C5F2605","Cultuurhistorische waarden herstel van houtwallen op landgoed Maarsbergen Martine Busz en H l ne Hine 50-52 2001")</f>
        <v>0</v>
      </c>
      <c r="D7880" s="1">
        <f>hyperlink("http://www.utrecht.nl/images/DSO/monumenten/publicaties/Publieksbrochures/Publieksbrochure_Werk_aan_het_spoor_Cartesiusdriehoek_augustus_2008.pdf","Werken aan het spoor cultuurhistorische waardestelling van de spoorweggebouwen in de Cartesiusdriehoek en aan de 2e Daalsedijk Marijke Heuvel 2008")</f>
        <v>0</v>
      </c>
    </row>
    <row r="7881" spans="2:4">
      <c r="B7881">
        <v>59</v>
      </c>
      <c r="C7881" s="1">
        <f>hyperlink("https://hetutrechtsarchief.nl/collectie/5B5E82BB618B5E6A87A233C42256F434","Nieuwe informatie over ijsvermaak en monumenten in Wijk bij Duurstede Ria van der Eerden 90-92 2009")</f>
        <v>0</v>
      </c>
      <c r="D7881" s="1">
        <f>hyperlink("http://www.utrecht.nl/images/DSO/monumenten/publicaties/Publieksbrochures/Publieksbrochures_Monumentaal_Utrecht_mei_2009.pdf","Monumentaal Utrecht informatie over rijks- en gemeentelijke monumenten in Utrecht Ren de Kam 2009")</f>
        <v>0</v>
      </c>
    </row>
    <row r="7882" spans="2:4">
      <c r="B7882">
        <v>57</v>
      </c>
      <c r="C7882" s="1">
        <f>hyperlink("https://hetutrechtsarchief.nl/collectie/6230ED8176FA5B03A0E6E06C64F4E312","Nieuw bestemmingsplan binnenstad Ren de Kam 20-21 2010")</f>
        <v>0</v>
      </c>
      <c r="D7882" s="1">
        <f>hyperlink("http://www.utrecht.nl/images/DSO/stedenbouw/Juridische_Zaken/Binnenstad_maart_2010_vaststelling/Binnenstad_vastgesteld_18feb2010_lowres.pdf","Bestemmingsplan Binnenstad 18 februari 2010 Gemeente Utrecht StadsOntwikkeling 2010")</f>
        <v>0</v>
      </c>
    </row>
    <row r="7883" spans="2:4">
      <c r="B7883">
        <v>57</v>
      </c>
      <c r="C7883" s="1">
        <f>hyperlink("https://hetutrechtsarchief.nl/collectie/DFD79A00B2B655D8AB1860A31D86834F","Stadsvernieuwing hoe pakt de gemeente Utrecht de stadsvernieuwing aan 2-17 ill 1985")</f>
        <v>0</v>
      </c>
      <c r="D7883" s="1">
        <f>hyperlink("http://www.utrecht.nl/images/DSO/stedenbouw/Juridische_Zaken/De_Uithof_maart2010/Bestemmingsplan_De_Uithof.pdf","Bestemmingsplan De Uithof maart 2010 Gemeente Utrecht StadsOntwikkeling 2010")</f>
        <v>0</v>
      </c>
    </row>
    <row r="7884" spans="2:4">
      <c r="B7884">
        <v>53</v>
      </c>
      <c r="C7884" s="1">
        <f>hyperlink("https://hetutrechtsarchief.nl/collectie/780A2C60F8C35573A72FB08CE1BE76B6","Historisch smeedwerk aan de Domkerk en -toren te Utrecht K T Meindersma 146-200 1985")</f>
        <v>0</v>
      </c>
      <c r="D7884" s="1">
        <f>hyperlink("http://www.utrecht.nl/images/Engels/Bustling_Wharves_June_2009.pdf","Bustling wharves a medieval port in the heart of Utrecht Kees Kam Ren de Rampart 2009")</f>
        <v>0</v>
      </c>
    </row>
    <row r="7885" spans="2:4">
      <c r="B7885">
        <v>52</v>
      </c>
      <c r="C7885" s="1">
        <f>hyperlink("https://hetutrechtsarchief.nl/collectie/609C5C9B9E7F4642E0534701000A17FD","De molen en de molenaars Amerongen gezien door Henk van Lienden Henk van Lienden 18 2017")</f>
        <v>0</v>
      </c>
      <c r="D7885" s="1">
        <f>hyperlink("http://www.utrecht.nl/images/Gggd/ggdinfo/publicaties/GGGD_VMU_2009.pdf","Volksgezondheidsmonitor 2010 algemeen gezondheidsprofiel tekst Erik van Ameijden et al Erik van Ameijden 2010")</f>
        <v>0</v>
      </c>
    </row>
    <row r="7886" spans="2:4">
      <c r="B7886">
        <v>56</v>
      </c>
      <c r="C7886" s="1">
        <f>hyperlink("https://hetutrechtsarchief.nl/collectie/4028AF8080265E41A8D2F94CBBD775E4","De invloed van het onzichtbare verdwenen buitenplaatsen in Utrecht Fred Vogelzang 18-22 2012")</f>
        <v>0</v>
      </c>
      <c r="D7886" s="1">
        <f>hyperlink("http://www.utrecht.nl/images/Gggd/mgz/binnenplaats/pdf/10jaarhostels_2010.pdf","Een sterk verhaal 10 jaar hostelproject BinnenPlaats in Utrecht Fred Penninga 2010")</f>
        <v>0</v>
      </c>
    </row>
    <row r="7887" spans="2:4">
      <c r="B7887">
        <v>51</v>
      </c>
      <c r="C7887" s="1">
        <f>hyperlink("https://hetutrechtsarchief.nl/collectie/4BD28B9508C551BE94C0931A7CD45E14","Van stationskoffiehuis tot horecaconcept de stationsrestauratie Utrecht CS Arjan de Boer 4-9 2017")</f>
        <v>0</v>
      </c>
      <c r="D7887" s="1">
        <f>hyperlink("http://www.utrecht.nl/images/OGU/pos/inspraak/Masterplan.pdf","Masterplan Stationsgebied Utrecht concept redactie en realisatie door Kris Kras communicatie design in Utrecht Kris Kras communicatie design Utrecht 2003")</f>
        <v>0</v>
      </c>
    </row>
    <row r="7888" spans="2:4">
      <c r="B7888">
        <v>54</v>
      </c>
      <c r="C7888" s="1">
        <f>hyperlink("https://hetutrechtsarchief.nl/collectie/DFD79A00B2B655D8AB1860A31D86834F","Stadsvernieuwing hoe pakt de gemeente Utrecht de stadsvernieuwing aan 2-17 ill 1985")</f>
        <v>0</v>
      </c>
      <c r="D7888" s="1">
        <f>hyperlink("http://www.utrecht.nl/images/OGU/pos/pdf/Structuurplan%20stationsgebied%20December%2020….pdf","Structuurplan Stationsgebied Gemeente Utrecht Dienst Stadsontwikkeling 2006")</f>
        <v>0</v>
      </c>
    </row>
    <row r="7889" spans="2:4">
      <c r="B7889">
        <v>57</v>
      </c>
      <c r="C7889" s="1">
        <f>hyperlink("https://hetutrechtsarchief.nl/collectie/9928D3BEDEFF5F4088AC8F9640C73773","Groningen-Utrecht-Groningen-Utrecht Peter Smids 4-5 2010")</f>
        <v>0</v>
      </c>
      <c r="D7889" s="1">
        <f>hyperlink("http://www.utrecht.nl/images/secretarie/begroting/2007/begroting.pdf","Programmabegroting Gemeente Utrecht Gemeente Utrecht 2006 -")</f>
        <v>0</v>
      </c>
    </row>
    <row r="7890" spans="2:4">
      <c r="B7890">
        <v>54</v>
      </c>
      <c r="C7890" s="1">
        <f>hyperlink("https://hetutrechtsarchief.nl/collectie/DD9A620FD62D547CACE08E8C0D6B63CB","Fragmenten uit gedichten over Utrecht 450 1981")</f>
        <v>0</v>
      </c>
      <c r="D7890" s="1">
        <f>hyperlink("http://www.utrecht.nl/images/Secretarie/Begroting/Rapportage.pdf","Bestuursrapportage Gemeente Utrecht Gemeente Utrecht 2007 -")</f>
        <v>0</v>
      </c>
    </row>
    <row r="7891" spans="2:4">
      <c r="B7891">
        <v>59</v>
      </c>
      <c r="C7891" s="1">
        <f>hyperlink("https://hetutrechtsarchief.nl/collectie/23559C123E0557C0A27C597FC9B78FD3","400 jaar Evangelisch-Lutherse Gemeente in Utrecht 8-10 2013")</f>
        <v>0</v>
      </c>
      <c r="D7891" s="1">
        <f>hyperlink("http://www.utrecht.nl/images/secretarie/communicatie/benw/burgemeester/burgerjaarverslag2004.pdf ; http://www.utrecht.nl/images/secretarie/communicatie/benw/burgemeester/burgerjaarverslag2005.pdf","Burgerjaarverslag Gemeente Utrecht 2003-")</f>
        <v>0</v>
      </c>
    </row>
    <row r="7892" spans="2:4">
      <c r="B7892">
        <v>51</v>
      </c>
      <c r="C7892" s="1">
        <f>hyperlink("https://hetutrechtsarchief.nl/collectie/0D44943886075204BB81CCC10E9FFD35","Het emancipatiebeleid van de Gemeente Utrecht beleidsvoornemens of aktiepunten 2-3 1987")</f>
        <v>0</v>
      </c>
      <c r="D7892" s="1">
        <f>hyperlink("http://www.utrecht.nl/images/secretarie/communicatie/benw/burgemeester/burgerjaarverslag2006.pdf","Goed geregeld burgerjaarverslag 2006 Gemeente Utrecht Bestuurs- en Concerndienst 2007")</f>
        <v>0</v>
      </c>
    </row>
    <row r="7893" spans="2:4">
      <c r="B7893">
        <v>53</v>
      </c>
      <c r="C7893" s="1">
        <f>hyperlink("https://hetutrechtsarchief.nl/collectie/23559C123E0557C0A27C597FC9B78FD3","400 jaar Evangelisch-Lutherse Gemeente in Utrecht 8-10 2013")</f>
        <v>0</v>
      </c>
      <c r="D7893" s="1">
        <f>hyperlink("http://www.utrecht.nl/images/secretarie/communicatie/BestuurenOrganisatie/jaarverslag%202006.pdf; http://www.utrecht.nl/images/secretarie/communicatie/BestuurenOrganisatie/pdf%20Jaarverslag,%20def.pdf; http://www.utrecht.nl/images/Secretarie/Communicati","Jaarverslag Griffie Gemeenteraad Griffie Gemeenteraad Utrecht 2007 -")</f>
        <v>0</v>
      </c>
    </row>
    <row r="7894" spans="2:4">
      <c r="B7894">
        <v>61</v>
      </c>
      <c r="C7894" s="1">
        <f>hyperlink("https://hetutrechtsarchief.nl/collectie/93739A8D4FEF5E32A83D20527F421B01","Panorama Heuvelrug Hans Zijlstra 22-25 2010")</f>
        <v>0</v>
      </c>
      <c r="D7894" s="1">
        <f>hyperlink("http://www.utrecht.nl/Images/Secretarie/Communicatie/Rijnenburg//Brochure_2000_jaar_Rijnenburg.pdf","2000 jaar Rijnenburg Hans Zijlstra 2009")</f>
        <v>0</v>
      </c>
    </row>
    <row r="7895" spans="2:4">
      <c r="B7895">
        <v>55</v>
      </c>
      <c r="C7895" s="1">
        <f>hyperlink("https://hetutrechtsarchief.nl/collectie/058AAC0864D350BD816D7879E7CBC057","De levende letter onderzoek naar de historie van grond bebouwing eigendom en bewoning van Oude Kamp 3 te Utrecht tekst S J den Daas 1-44 2002")</f>
        <v>0</v>
      </c>
      <c r="D7895" s="1">
        <f>hyperlink("http://www.utrecht.nl/images/Secretarie/Rekenkamer/Betaalde%20baan%20-%20DEF.pdf","Betaalde baan een onderzoek naar de loonkostensubsidieregeling van de gemeente Utrecht Rekenkamer Utrecht 2008")</f>
        <v>0</v>
      </c>
    </row>
    <row r="7896" spans="2:4">
      <c r="B7896">
        <v>55</v>
      </c>
      <c r="C7896" s="1">
        <f>hyperlink("https://hetutrechtsarchief.nl/collectie/9257B9ACED272725E0534701000A1F1B","Jaarverslag van de Openbare School van 1899 Door de redactie 2019")</f>
        <v>0</v>
      </c>
      <c r="D7896" s="1">
        <f>hyperlink("http://www.utrecht.nl/images/Secretarie/Rekenkamer/Jaarverslag%202008%20Jaarplan%202009.pdf; http://www2.utrecht.nl/images/Secretarie/Rekenkamer/Jaarverslag%202009%20DEFINITIEF.pdf","Jaarverslag jaarplan Rekenkamer Utrecht Rekenkamer Utrecht 2009 -")</f>
        <v>0</v>
      </c>
    </row>
    <row r="7897" spans="2:4">
      <c r="B7897">
        <v>54</v>
      </c>
      <c r="C7897" s="1">
        <f>hyperlink("https://hetutrechtsarchief.nl/collectie/A7E59DCE739F57E7BB625012AB7CF752","Een nieuwe site met www het utrechtsarchief nl Nettie Stoppelenburg 16-17 2002")</f>
        <v>0</v>
      </c>
      <c r="D7897" s="1">
        <f>hyperlink("http://www.utrecht.nl/PUG/nieuwsbrief/01012008/PUGcollectieNR1januari2008.pdf; http://www.utrecht.nl/PUG/nieuwsbrief/01122008/PUGcollectieNR2December2008.html","PUG-Collectie nieuwsbrief Gemeente Utrecht Sectie Cultuurhistorie 2007-")</f>
        <v>0</v>
      </c>
    </row>
    <row r="7898" spans="2:4">
      <c r="B7898">
        <v>97</v>
      </c>
      <c r="C7898" s="1">
        <f>hyperlink("https://hetutrechtsarchief.nl/collectie/5D4E0527784F5B85B64B24E9B4D0F58A","Het verhaal van Utrecht klopt bedrijfsleven versterkt Vrede van Utrecht en Culturele Hoofdstad tekst Hans Haj e 32-33 2012")</f>
        <v>0</v>
      </c>
      <c r="D7898" s="1">
        <f>hyperlink("http://www.utrecht2018.eu/getmedia/4472705f-8973-4cde-b66a-bc9200ed9400/Interview-Cerfontaine-Utrecht-Business.aspx","Het verhaal van Utrecht klopt bedrijfsleven versterkt Vrede van Utrecht en Culturele Hoofdstad Hans Haj e 32-33 2012")</f>
        <v>0</v>
      </c>
    </row>
    <row r="7899" spans="2:4">
      <c r="B7899">
        <v>51</v>
      </c>
      <c r="C7899" s="1">
        <f>hyperlink("https://hetutrechtsarchief.nl/collectie/EE4773D96A13597E98CE05B1EB7CEF8B","Stationschefwoning verhuist van Bilthoven naar Utrecht Leo Wevers 10-12 2015")</f>
        <v>0</v>
      </c>
      <c r="D7899" s="1">
        <f>hyperlink("http://www.utrechtbereikbaar.nl/files/u5/081127_TLN_Communicatie_als_offensief.pdf","Communicatie als offensief groen sein voor nieuw mobiliteispakket Utrecht Suzanne Anders 31-32 2008")</f>
        <v>0</v>
      </c>
    </row>
    <row r="7900" spans="2:4">
      <c r="B7900">
        <v>59</v>
      </c>
      <c r="C7900" s="1">
        <f>hyperlink("https://hetutrechtsarchief.nl/collectie/91772A717604516BA12325AE93D24733","Utrecht soldatenstad Floortje Tuinstra 2008")</f>
        <v>0</v>
      </c>
      <c r="D7900" s="1">
        <f>hyperlink("http://www.utrechter.net/wp-content/uploads/deutrechter_proefnr.pdf","De Utrechter weekblad voor Utrecht 2008")</f>
        <v>0</v>
      </c>
    </row>
    <row r="7901" spans="2:4">
      <c r="B7901">
        <v>58</v>
      </c>
      <c r="C7901" s="1">
        <f>hyperlink("https://hetutrechtsarchief.nl/collectie/EF72083AC6C5514D8EF5112EC2508388","Boerderijen in de provincie Utrecht 4 een tweezijdig lint van boerderijen Ingrid de Wit 106-107 2003")</f>
        <v>0</v>
      </c>
      <c r="D7901" s="1">
        <f>hyperlink("http://www.utrechtorgelland.nl/assets/files/documenten/orgelfrontenindeprovincieUtrecht.pdf","Orgelfronten in de provincie Utrecht Lydia Beer Richard de Dijk Peter van Dijk Rog r van Lansink 2010-")</f>
        <v>0</v>
      </c>
    </row>
    <row r="7902" spans="2:4">
      <c r="B7902">
        <v>58</v>
      </c>
      <c r="C7902" s="1">
        <f>hyperlink("https://hetutrechtsarchief.nl/collectie/22F93C10A030552BB4C7AB09DADF4A9B","Martinus met de draak de geschiedenis van een oorlogsmonument aan de Oudegracht Ton H M van Schaik 124-129 2006")</f>
        <v>0</v>
      </c>
      <c r="D7902" s="1">
        <f>hyperlink("http://www.uu.nl/content/Boothstraat-6.PDF","Boothstraat 6 de geschiedenis van een claustraal huis van St Jan - 2e herz dr J W C van Schaik 1979")</f>
        <v>0</v>
      </c>
    </row>
    <row r="7903" spans="2:4">
      <c r="B7903">
        <v>51</v>
      </c>
      <c r="C7903" s="1">
        <f>hyperlink("https://hetutrechtsarchief.nl/collectie/FA400360CD715DE4A9F395D8F43CBFBD","Geschiedenis van de advocatuur in de Lage Landen onder red van Georges Martyn et al met bijdr van Georges Martyn et al 6-424 2009")</f>
        <v>0</v>
      </c>
      <c r="D7903" s="1">
        <f>hyperlink("http://www.vakbladvitruvius.nl/site/nieuws/Amersfoort.VanKaartNaarKaart.OMD.09.pdf","Van kaart naar kaart hoofd- en eindred Max Cramer et al tekstbijdragen van Ko Blok et al Ko Cramer Max Blok 2009")</f>
        <v>0</v>
      </c>
    </row>
    <row r="7904" spans="2:4">
      <c r="B7904">
        <v>52</v>
      </c>
      <c r="C7904" s="1">
        <f>hyperlink("https://hetutrechtsarchief.nl/collectie/15280C7CADC851B391190F6FEABE31EA","Als bomen konden praten Lydia Edelkoort-van der Vlerk 2-3 2003")</f>
        <v>0</v>
      </c>
      <c r="D7904" s="1">
        <f>hyperlink("http://www.vakbladvitruvius.nl/site/titels/stadspromotie/amersfoort_pdf/OMD.2012_AMERSFOORT.pdf","Amersfoort groen van toen hoofd- en eindredactie Lydia Edelkoort en Robert Diederiks Robert Edelkoort Lydia Diederiks 2012")</f>
        <v>0</v>
      </c>
    </row>
    <row r="7905" spans="2:4">
      <c r="B7905">
        <v>58</v>
      </c>
      <c r="C7905" s="1">
        <f>hyperlink("https://hetutrechtsarchief.nl/collectie/640ED104D90EA69CE0534701000AD44A","Op kamers studentenhuisvesting in Utrecht sinds 1945 Arien Heering en Bettina van Santen 4-10 2018")</f>
        <v>0</v>
      </c>
      <c r="D7905" s="1">
        <f>hyperlink("http://www.vakbladvitruvius.nl/vakbladvitruvius/pdfs/Vitr.nr1.okt07_RomSchip.pdf","Romeins schip in Utrechtse bodem R M van Heeringen et al R M van Heeringen 6-11 2007")</f>
        <v>0</v>
      </c>
    </row>
    <row r="7906" spans="2:4">
      <c r="B7906">
        <v>59</v>
      </c>
      <c r="C7906" s="1">
        <f>hyperlink("https://hetutrechtsarchief.nl/collectie/AD9C7FFA0966C43EE0534701000A68C7","Sporen van schapen in Leersum Annemarie Luksen 14-17 2020")</f>
        <v>0</v>
      </c>
      <c r="D7906" s="1">
        <f>hyperlink("http://www.vakbladvitruvius.nl/vakbladvitruvius/pdfs/Vitruvius.okt2011_Tabaksschuren.Amersfoort.pdf","Sporen van tabaksschuren bij Amersfoort Ron A Hulst 16-21 2011")</f>
        <v>0</v>
      </c>
    </row>
    <row r="7907" spans="2:4">
      <c r="B7907">
        <v>55</v>
      </c>
      <c r="C7907" s="1">
        <f>hyperlink("https://hetutrechtsarchief.nl/collectie/F948DA5C760A5B8CB09E9DEC22309044","Hoefslagpalen en een verkenning naar het onderhoud van de Vechtdijk Steven de Clercq en Hans van Bemmel 106-114 2008")</f>
        <v>0</v>
      </c>
      <c r="D7907" s="1">
        <f>hyperlink("http://www.vecht.nl/downloads/VechtOevers.pdf","Vechtoevers - zien en gezien worden hou houden we onze Vechtoevers mooi tekst Steven de Clercq et al Steven de Clercq 2011")</f>
        <v>0</v>
      </c>
    </row>
    <row r="7908" spans="2:4">
      <c r="B7908">
        <v>87</v>
      </c>
      <c r="C7908" s="1">
        <f>hyperlink("https://hetutrechtsarchief.nl/collectie/48D1EEB84ECE57338AD12E0F0A362D55","Restaurant Brazz jeugdig eland in Vianen-stad tekst Jason van de Veltmaete fotogr Hans Kokx 64-65 2011")</f>
        <v>0</v>
      </c>
      <c r="D7908" s="1">
        <f>hyperlink("http://www.veltmaete.nl/wp-content/uploads/Brazz.pdf","Restaurant Brazz jeugdig eland in Vianen-stad Jason van de Veltmaete 64-65 2011")</f>
        <v>0</v>
      </c>
    </row>
    <row r="7909" spans="2:4">
      <c r="B7909">
        <v>89</v>
      </c>
      <c r="C7909" s="1">
        <f>hyperlink("https://hetutrechtsarchief.nl/collectie/0721DBE079995D7CBCE890AAAA79BCCC","Restaurant De Burgemeester bezieling die je kunt proeven tekst Jason van de Veltmaete fotogr Hans Kokx 56-57 2011")</f>
        <v>0</v>
      </c>
      <c r="D7909" s="1">
        <f>hyperlink("http://www.veltmaete.nl/wp-content/uploads/Burgemeester.pdf","Restaurant De Burgemeester bezieling die je kunt proeven Jason van de Veltmaete 56-57 2011")</f>
        <v>0</v>
      </c>
    </row>
    <row r="7910" spans="2:4">
      <c r="B7910">
        <v>89</v>
      </c>
      <c r="C7910" s="1">
        <f>hyperlink("https://hetutrechtsarchief.nl/collectie/C34D476A4F9857E2B03855D41E3BB560","Restaurant Coco Pazzo Als het goed is is het goed Basta tekst Jason van de Veltmaete fotogr Hans Kokx 64-65 2011")</f>
        <v>0</v>
      </c>
      <c r="D7910" s="1">
        <f>hyperlink("http://www.veltmaete.nl/wp-content/uploads/Coco-Pazzo-11UB3.pdf","Restaurant Coco Pazzo Als het goed is is het goed Basta Jason van de Veltmaete 64-65 2011")</f>
        <v>0</v>
      </c>
    </row>
    <row r="7911" spans="2:4">
      <c r="B7911">
        <v>59</v>
      </c>
      <c r="C7911" s="1">
        <f>hyperlink("https://hetutrechtsarchief.nl/collectie/E356CD659B9654C18D8D4DFB00928F77","De extra troef Grand Restaurant Karel V Tekst Jason van de Veltmaete 48-49 2015")</f>
        <v>0</v>
      </c>
      <c r="D7911" s="1">
        <f>hyperlink("http://www.veltmaete.nl/wp-content/uploads/Court-Hotel.pdf","In verzekerde bewaring Jason van de Veltmaete 30-33 2010")</f>
        <v>0</v>
      </c>
    </row>
    <row r="7912" spans="2:4">
      <c r="B7912">
        <v>88</v>
      </c>
      <c r="C7912" s="1">
        <f>hyperlink("https://hetutrechtsarchief.nl/collectie/242FE87FBAC65B888093E324CD30E5C0","Het is hier geen poppenkast restaurant De Saffraan tekst Jason van de Veltmaete fotogr Hans Kokx 56-57 2011")</f>
        <v>0</v>
      </c>
      <c r="D7912" s="1">
        <f>hyperlink("http://www.veltmaete.nl/wp-content/uploads/De-Saffraan-11UB6.pdf","Het is hier geen poppenkast restaurant De Saffraan Jason van de Veltmaete 56-57 2011")</f>
        <v>0</v>
      </c>
    </row>
    <row r="7913" spans="2:4">
      <c r="B7913">
        <v>89</v>
      </c>
      <c r="C7913" s="1">
        <f>hyperlink("https://hetutrechtsarchief.nl/collectie/CBDA398E5D5D599186D6ABE25DFAE15A","Restaurant La Provence niet hip geen hotspot wel een ster tekst Jason van de Veltmaete fotogr Hans Kokx 56-57 2011")</f>
        <v>0</v>
      </c>
      <c r="D7913" s="1">
        <f>hyperlink("http://www.veltmaete.nl/wp-content/uploads/La-Provence-11UB4.pdf","Restaurant La Provence niet hip geen hotspot wel een ster Jason van de Veltmaete 56-57 2011")</f>
        <v>0</v>
      </c>
    </row>
    <row r="7914" spans="2:4">
      <c r="B7914">
        <v>89</v>
      </c>
      <c r="C7914" s="1">
        <f>hyperlink("https://hetutrechtsarchief.nl/collectie/DEB0F48CE0D15D2CA4A754DA288E6C38","Restaurant Groenland Driebergen niet alleen voor vrouwen tekst Jason van de Veltmaete fotogr Hans Kokx 56-57 2010")</f>
        <v>0</v>
      </c>
      <c r="D7914" s="1">
        <f>hyperlink("http://www.veltmaete.nl/wp-content/uploads/UB_2010_1.pdf","Restaurant Groenland Driebergen niet alleen voor vrouwen Jason van de Veltmaete 56-57 2010")</f>
        <v>0</v>
      </c>
    </row>
    <row r="7915" spans="2:4">
      <c r="B7915">
        <v>88</v>
      </c>
      <c r="C7915" s="1">
        <f>hyperlink("https://hetutrechtsarchief.nl/collectie/77581C0EE819574E9D7EDB610D78BDFC","Restaurant Podium Utrecht is nog niet klaars met ons tekst Jason van de Veltmaete fotogr Hans Kokx 56-57 2010")</f>
        <v>0</v>
      </c>
      <c r="D7915" s="1">
        <f>hyperlink("http://www.veltmaete.nl/wp-content/uploads/UB_2010_2.pdf","Restaurant Podium Utrecht is nog niet klaar met ons Jason van de Veltmaete 56-57 2010")</f>
        <v>0</v>
      </c>
    </row>
    <row r="7916" spans="2:4">
      <c r="B7916">
        <v>65</v>
      </c>
      <c r="C7916" s="1">
        <f>hyperlink("https://hetutrechtsarchief.nl/collectie/E356CD659B9654C18D8D4DFB00928F77","De extra troef Grand Restaurant Karel V Tekst Jason van de Veltmaete 48-49 2015")</f>
        <v>0</v>
      </c>
      <c r="D7916" s="1">
        <f>hyperlink("http://www.veltmaete.nl/wp-content/uploads/UB_2010_3.pdf","Baken boei of boeiend Restaurant Caf Harbour Club Jason van de Veltmaete 56-57 2010")</f>
        <v>0</v>
      </c>
    </row>
    <row r="7917" spans="2:4">
      <c r="B7917">
        <v>88</v>
      </c>
      <c r="C7917" s="1">
        <f>hyperlink("https://hetutrechtsarchief.nl/collectie/0DB143871B8C5CFDBCDB41E45F6AAF24","Vertrouwd en verrassend restaurant Rotisserie Zott tekst Jason van de Veltmaete fotogr Hans Kokx 56-57 2010")</f>
        <v>0</v>
      </c>
      <c r="D7917" s="1">
        <f>hyperlink("http://www.veltmaete.nl/wp-content/uploads/UB_2010_4.pdf","Vertrouwd en verrassend restaurant Rotisserie Zott Jason van de Veltmaete 56-57 2010")</f>
        <v>0</v>
      </c>
    </row>
    <row r="7918" spans="2:4">
      <c r="B7918">
        <v>90</v>
      </c>
      <c r="C7918" s="1">
        <f>hyperlink("https://hetutrechtsarchief.nl/collectie/DE18735E7C595D33B8EB29AE44926343","Een succesvol tienjarenplan restaurant en Business Centre De Nonnerie tekst Jason van de Veltmaete fotogr Hans Kokx 56-57 2010")</f>
        <v>0</v>
      </c>
      <c r="D7918" s="1">
        <f>hyperlink("http://www.veltmaete.nl/wp-content/uploads/UB_2010_5.pdf","Een succesvol tienjarenplan restaurant en Business Centre De Nonnerie Jason van de Veltmaete 56-57 2010")</f>
        <v>0</v>
      </c>
    </row>
    <row r="7919" spans="2:4">
      <c r="B7919">
        <v>88</v>
      </c>
      <c r="C7919" s="1">
        <f>hyperlink("https://hetutrechtsarchief.nl/collectie/1DF8CDAE9D5F5534AD23F1294BF37BDD","Restaurant Auguste voor over de top verwende mensen tekst Jason van de Veltmaete fotogr Hans Kokx 56-57 2010")</f>
        <v>0</v>
      </c>
      <c r="D7919" s="1">
        <f>hyperlink("http://www.veltmaete.nl/wp-content/uploads/UB_2010_6.pdf","Restaurant Auguste voor over de top verwende mensen Jason van de Veltmaete 56-57 2010")</f>
        <v>0</v>
      </c>
    </row>
    <row r="7920" spans="2:4">
      <c r="B7920">
        <v>58</v>
      </c>
      <c r="C7920" s="1">
        <f>hyperlink("https://hetutrechtsarchief.nl/collectie/56E5D1E4B853535FB43ED8473E36C735","Fort De Bilt van executie naar educatie 26-27 2011")</f>
        <v>0</v>
      </c>
      <c r="D7920" s="1">
        <f>hyperlink("http://www.villajongerius.nl/luider/Luider%206%20Jongerius.pdf","Jan Ford bleef in zijn hart een tuinman 26-27 2011")</f>
        <v>0</v>
      </c>
    </row>
    <row r="7921" spans="2:4">
      <c r="B7921">
        <v>54</v>
      </c>
      <c r="C7921" s="1">
        <f>hyperlink("https://hetutrechtsarchief.nl/collectie/0AF02FF004EB52518D47E95AF6E3D920","Een heilige in beeld Sint Maarten in Utrecht Bram van den Hoven-van Genderen 151 -161 2001")</f>
        <v>0</v>
      </c>
      <c r="D7921" s="1">
        <f>hyperlink("http://www.vngutrecht.nl/fileadmin/user_upload/Documenten/Evenementen/najaarscongres2009/jubileumboek_VNG_Utrecht_.pdf","Er bestaat eene afdeeling Utrecht 90 jaar Afdeling Utrecht van de Vereniging van Nederlandse Gemeenten J Ph S Lemmink 2009")</f>
        <v>0</v>
      </c>
    </row>
    <row r="7922" spans="2:4">
      <c r="B7922">
        <v>55</v>
      </c>
      <c r="C7922" s="1">
        <f>hyperlink("https://hetutrechtsarchief.nl/collectie/5D58FA55850055B4B404E1EA9CC3F94F","Logement De Gaaper het oudste stenen woonhuis van Amersfoort Gerard Raven 6-7 2003")</f>
        <v>0</v>
      </c>
      <c r="D7922" s="1">
        <f>hyperlink("http://www.vogelwerkgroepamersfoort.nl/images/Publicaties/Broedvogelinventarisatie%202007%20Stadspark%20Schothorst.pdf","Broedvogelinventarisatie 2007 van het stadspark Schothorst te Amersfoort Gerard van Haaff 2009")</f>
        <v>0</v>
      </c>
    </row>
    <row r="7923" spans="2:4">
      <c r="B7923">
        <v>55</v>
      </c>
      <c r="C7923" s="1">
        <f>hyperlink("https://hetutrechtsarchief.nl/collectie/D016203E48E25893A9E3213B29AA465D","De familie Smitt in Hoogland Gerard Raven 62-63 2003")</f>
        <v>0</v>
      </c>
      <c r="D7923" s="1">
        <f>hyperlink("http://www.vogelwerkgroepamersfoort.nl/images/Publicaties/Broedvogelinventarisatie%202009%20Hoogland-West.pdf","Broedvogelinventarisatie 2009 Hoogland West Gerard van Haaff 2010")</f>
        <v>0</v>
      </c>
    </row>
    <row r="7924" spans="2:4">
      <c r="B7924">
        <v>54</v>
      </c>
      <c r="C7924" s="1">
        <f>hyperlink("https://hetutrechtsarchief.nl/collectie/9775F26790595B8B9AF041959CEB0575","Albert de Wijs gezant in Constantinopel de eerstbekende Amersfoortse emigrant Nelleke Schoorel Gerard Raven 6-7 2015")</f>
        <v>0</v>
      </c>
      <c r="D7924" s="1">
        <f>hyperlink("http://www.vogelwerkgroepamersfoort.nl/images/Publicaties/Inventarisatie%20broedvogelterritoria%20Schothorst%202006.pdf","Inventarisatie van broedvogelterritoria in de Amersfoortse wijk Schothorst Gerard van Haaff 2006")</f>
        <v>0</v>
      </c>
    </row>
    <row r="7925" spans="2:4">
      <c r="B7925">
        <v>54</v>
      </c>
      <c r="C7925" s="1">
        <f>hyperlink("https://hetutrechtsarchief.nl/collectie/5D58FA55850055B4B404E1EA9CC3F94F","Logement De Gaaper het oudste stenen woonhuis van Amersfoort Gerard Raven 6-7 2003")</f>
        <v>0</v>
      </c>
      <c r="D7925" s="1">
        <f>hyperlink("http://www.vogelwerkgroepamersfoort.nl/images/Publicaties/Inventarisatie%20broedvogelterritoria%20Waterwingebied%202006.pdf","Inventarisatie van broedvogelterritoria in het Waterwingebied van Amersfoort Gerard van Haaff 2006")</f>
        <v>0</v>
      </c>
    </row>
    <row r="7926" spans="2:4">
      <c r="B7926">
        <v>56</v>
      </c>
      <c r="C7926" s="1">
        <f>hyperlink("https://hetutrechtsarchief.nl/collectie/D61CD6099D995F40A2A6252F0D6BAB0E","Unie van Utrecht 23 januari 1579 8-23 - Themanummer 400 jaar Unie van Utrecht 1978")</f>
        <v>0</v>
      </c>
      <c r="D7926" s="1">
        <f>hyperlink("http://www.vredevanutrecht2013.nl/Files/VVU049-02-Jaarverslag-2010_DEF.aspx","Vrede van Utrecht 2013 Utrecht 2018 de feiten Stichting Vrede van Utrecht 2011-")</f>
        <v>0</v>
      </c>
    </row>
    <row r="7927" spans="2:4">
      <c r="B7927">
        <v>65</v>
      </c>
      <c r="C7927" s="1">
        <f>hyperlink("https://hetutrechtsarchief.nl/collectie/CD183133C2CB5E2AB724A19FED29BBC5","De Vrede van Utrecht 1474 Alain Wijffels 3-23 2014")</f>
        <v>0</v>
      </c>
      <c r="D7927" s="1">
        <f>hyperlink("http://www.vredevanutrecht2013.nl/over/vrede-van-utrecht-magazine","Vrede van Utrecht magazine Hinke Hamer 2012-2013")</f>
        <v>0</v>
      </c>
    </row>
    <row r="7928" spans="2:4">
      <c r="B7928">
        <v>70</v>
      </c>
      <c r="C7928" s="1">
        <f>hyperlink("https://hetutrechtsarchief.nl/collectie/6E93825DB2025F3881EEF6235D185171","De Krijgsspelkaart van Zeist en omgeving Kees Volkers 19-20 2011")</f>
        <v>0</v>
      </c>
      <c r="D7928" s="1">
        <f>hyperlink("http://www.wijkvogelzang.nl/documenten/artikel%20krijgsspelkaarten.pdf","De Krijgsspelkaart van Amersfoort en omgeving Henk Schaftenaar 71-74 1996")</f>
        <v>0</v>
      </c>
    </row>
    <row r="7929" spans="2:4">
      <c r="B7929">
        <v>53</v>
      </c>
      <c r="C7929" s="1">
        <f>hyperlink("https://hetutrechtsarchief.nl/collectie/4FD77F1647A0568A89DD8861D52718C9","Biografie van de Amersfoortseweg de route tussen Amersfoort en Apeldoorn Susanne Coppens 34-41 2017")</f>
        <v>0</v>
      </c>
      <c r="D7929" s="1">
        <f>hyperlink("http://www.wimdelange.nl/knnvamersfoort/verslagen/Plantenonderzoek%20Valleikanaal%20Amersfoort%202011.pdf","Vegetatieonderzoek Valleikanaal Amersfoort Werkgroep Wilde planten KNNV Amersfoort en omgeving 2012")</f>
        <v>0</v>
      </c>
    </row>
    <row r="7930" spans="2:4">
      <c r="B7930">
        <v>50</v>
      </c>
      <c r="C7930" s="1">
        <f>hyperlink("https://hetutrechtsarchief.nl/collectie/61B6473B75EE549889FBBF6890C8F5E8","Van eremedaille tot exclusieve onderscheiding de geschiedenis van de erepenningen van de gemeente Zeist R P M Rhoen 31-45 2006")</f>
        <v>0</v>
      </c>
      <c r="D7930" s="1">
        <f>hyperlink("http://www.woerden.nl/default/ontdekwoerden/geschiedenis/WaardevolWoerden/id_7399888","Waardevol Woerden nieuwsbrief over de cultuurhistorie van Harmelen Kamerik Woerden en Zegveld uitg van de gemeente Woerden Gemeente Woerden 2009-")</f>
        <v>0</v>
      </c>
    </row>
    <row r="7931" spans="2:4">
      <c r="B7931">
        <v>64</v>
      </c>
      <c r="C7931" s="1">
        <f>hyperlink("https://hetutrechtsarchief.nl/collectie/66A6E157728C4963E0534701000A8E87","De Bilt toen en nu De Akker Abe Postema 18-19 2018")</f>
        <v>0</v>
      </c>
      <c r="D7931" s="1">
        <f>hyperlink("http://www.xs4all.nl/~remery/dsa/Artikelen/artjrg01_05/art20302.htm","De Bilt Bilthoven en de Boekes Agnes Jonker 4-10 1984")</f>
        <v>0</v>
      </c>
    </row>
    <row r="7932" spans="2:4">
      <c r="B7932">
        <v>53</v>
      </c>
      <c r="C7932" s="1">
        <f>hyperlink("https://hetutrechtsarchief.nl/collectie/B7AF13F95AEC5ACDA81BE6EE35DD61E9","Automobiliteit in stad en provincie UItrecht Peter-Eloy Staal 117-122 2001")</f>
        <v>0</v>
      </c>
      <c r="D7932" s="1">
        <f>hyperlink("http://www2.provincie-utrecht.nl/prvutr/internet/j20_10.nsf/files/SMPU+.pdf/$FILE/SMPU+.pdf","Strategisch mobiliteitsplan provincie Utrecht 2004 - 2020 SMPU Provincie Utrecht Afdeling Mobiliteit 2008")</f>
        <v>0</v>
      </c>
    </row>
    <row r="7933" spans="2:4">
      <c r="B7933">
        <v>57</v>
      </c>
      <c r="C7933" s="1">
        <f>hyperlink("https://hetutrechtsarchief.nl/collectie/B0281C1FA7595049BFFDB0EE96131EF4","Werk aan de weg opgravingen aan de Havenstraat Hester van den Ende 70-74 2007")</f>
        <v>0</v>
      </c>
      <c r="D7933" s="1">
        <f>hyperlink("http://www2.utrecht.nl/CoRa/BGS/Bijlagen/2008/Werk%20aan%20de%20Werf.pdf","Werk aan de werf een middeleeuwse haven dwars door de stad Kees Kam Ren de Rampart 2007")</f>
        <v>0</v>
      </c>
    </row>
    <row r="7934" spans="2:4">
      <c r="B7934">
        <v>50</v>
      </c>
      <c r="C7934" s="1">
        <f>hyperlink("https://hetutrechtsarchief.nl/collectie/F448CFA88BE2553A81029A8036F7FC1A","Verstedelijking in Nederland duizend jaar ruimtelijke ontwikkeling bekeken en vergeleken Jaap Evert Abrahamse en Reinout Rutte 106-129 2011")</f>
        <v>0</v>
      </c>
      <c r="D7934" s="1">
        <f>hyperlink("http://www2.utrecht.nl/CoRa/BGS/Commissiebrieven/2010/BijlageUitvoeringsprogramma2010-2014.pdf","Stadsontwikkeling in Utrecht uitvoeringsprogramma Stedelijke Ontwikkeling en Utrecht Vernieuwt 2010-2014 Gemeente Utrecht Sector Programma s en Communicatiebureau 2010")</f>
        <v>0</v>
      </c>
    </row>
    <row r="7935" spans="2:4">
      <c r="B7935">
        <v>58</v>
      </c>
      <c r="C7935" s="1">
        <f>hyperlink("https://hetutrechtsarchief.nl/collectie/AE9798F9A4215C459B1B25A79F32510F","Een en ander over de oudste bewoning van de provincie Utrecht Th G Appelboom 39-45 ill 1950")</f>
        <v>0</v>
      </c>
      <c r="D7935" s="1">
        <f>hyperlink("http://zeist-historie.nl/images/Downloads/de%20ontdekking.pdf","Een en ander over de ontdekking van een oude rivierschoeiing bij het postkantoor te Zeist H Martin 1954")</f>
        <v>0</v>
      </c>
    </row>
    <row r="7936" spans="2:4">
      <c r="B7936">
        <v>60</v>
      </c>
      <c r="C7936" s="1">
        <f>hyperlink("https://hetutrechtsarchief.nl/collectie/066EA6B9A53153FB8722906F5485CBE2","Koninklijk werkbezoek aan Utrecht J C Janssen 1-2 ill 1968")</f>
        <v>0</v>
      </c>
      <c r="D7936" s="1">
        <f>hyperlink("http://zeist-historie.nl/images/Downloads/ongewenst%20bezoek.pdf","Ongewenst koninklijk bezoek aan Zeist A W van de Bunt 1963")</f>
        <v>0</v>
      </c>
    </row>
    <row r="7937" spans="2:4">
      <c r="B7937">
        <v>57</v>
      </c>
      <c r="C7937" s="1">
        <f>hyperlink("https://hetutrechtsarchief.nl/collectie/2070367CD30959ECA82EF0715E45A279","Hete adem en koude kermis de werkomstandigheden van de ambtenaren van de secretarie van staat van Lodewijk Napoleon J Roelevink 1 -24 2002")</f>
        <v>0</v>
      </c>
      <c r="D7937" s="1">
        <f>hyperlink("http://zeist-historie.nl/images/Downloads/rode%20kruis.pdf","Het Rode Kruis te Zeist in der herfst van 1944 dagboekaantekeningen van de secretaris van de Afdeling Zeist J Meerdink 1988")</f>
        <v>0</v>
      </c>
    </row>
    <row r="7938" spans="2:4">
      <c r="B7938">
        <v>53</v>
      </c>
      <c r="C7938" s="1">
        <f>hyperlink("https://hetutrechtsarchief.nl/collectie/AAC4999712395CC2B72D4B4A0A333A31","De wapengraven van Utrecht Alexander van de Bunt 2015")</f>
        <v>0</v>
      </c>
      <c r="D7938" s="1">
        <f>hyperlink("http://zeist-historie.nl/images/Downloads/schellinger.pdf","Cornelis Schellinger de burger-vrijheer A W van de Bunt 1956")</f>
        <v>0</v>
      </c>
    </row>
    <row r="7939" spans="2:4">
      <c r="B7939">
        <v>57</v>
      </c>
      <c r="C7939" s="1">
        <f>hyperlink("https://hetutrechtsarchief.nl/collectie/7E472DE047185BA5ABD5F25FD2B05DE7","Schapendriften een canon uit de geschiedenis van het dorp Zeist V A M van der Burg 101-105 2012")</f>
        <v>0</v>
      </c>
      <c r="D7939" s="1">
        <f>hyperlink("http://zeist-historie.nl/images/Downloads/willem%20adriaan.pdf","Willem Adriaan van Nassau de stichter van het slot te Zeist A W van de Bunt 1955")</f>
        <v>0</v>
      </c>
    </row>
    <row r="7940" spans="2:4">
      <c r="B7940">
        <v>51</v>
      </c>
      <c r="C7940" s="1">
        <f>hyperlink("https://hetutrechtsarchief.nl/collectie/878EDB95F38158398521D23DE9FE6FDE","Het Museumkwartier Slot Zeist Vincent van der Burg Barbara Laan en Patricia Honig 82-84 2010")</f>
        <v>0</v>
      </c>
      <c r="D7940" s="1">
        <f>hyperlink("http://zeist.eu/dsresource?type=pdf&amp;objectid=zeistinternet:62312","Visie Museumkwartier Slot Zeist Zeist maakt zich sterk voor de oprichting van een afwisselend vernieuwend en dynamisch museumkwartier Patricia Laan Barbara Honig 2009")</f>
        <v>0</v>
      </c>
    </row>
    <row r="7941" spans="2:4">
      <c r="B7941">
        <v>66</v>
      </c>
      <c r="C7941" s="1">
        <f>hyperlink("https://hetutrechtsarchief.nl/collectie/1DE4549BEF5655478BAA107A92E26878","Sprokkelingen uit het archief van het kapittel van St Pieter te Utrecht S Muller Fz 1-26 6 1884")</f>
        <v>0</v>
      </c>
      <c r="D7941" s="1">
        <f>hyperlink("https://archive.org/details/regestenvanhetk00mullgoog","Regesten van het kapittel van St Pieter S Muller 1891")</f>
        <v>0</v>
      </c>
    </row>
    <row r="7942" spans="2:4">
      <c r="B7942">
        <v>54</v>
      </c>
      <c r="C7942" s="1">
        <f>hyperlink("https://hetutrechtsarchief.nl/collectie/0570ED252CC15554A8966AC5FE4B37E9","Deductie van de regeering der stad Utrecht betreffende haar recht om eigenmachtig belastingen te heffen medeged door J L A Martens 391-403 1877")</f>
        <v>0</v>
      </c>
      <c r="D7942" s="1">
        <f>hyperlink("https://books.google.nl/books?id=5AlbAAAAcAAJ&amp;dq=utrecht%20%20naamlijsten&amp;hl=nl&amp;pg=PA152#v=onepage&amp;q=utrecht%20%20naamlijsten&amp;f=false","Volledig adresboek der stad Utrecht benevens alphabetische naamlijst der voornaamste beroepen bedrijven enz voor de jaren 1863-1864 1863")</f>
        <v>0</v>
      </c>
    </row>
    <row r="7943" spans="2:4">
      <c r="B7943">
        <v>60</v>
      </c>
      <c r="C7943" s="1">
        <f>hyperlink("https://hetutrechtsarchief.nl/collectie/FA910DF8C19D57F696E1DA55DDAE560D","Bijdrage tot de genealogie van het Utrechtse geslacht Van Muyden L Calkoen 1-101 1907")</f>
        <v>0</v>
      </c>
      <c r="D7943" s="1">
        <f>hyperlink("https://books.google.nl/books?id=hNd-L33RSA4C&amp;lpg=RA1-PA27&amp;ots=cteDTZLPOc&amp;dq=boeken%20utrecht%20genealogieen&amp;hl=nl&amp;pg=PP1#v=onepage&amp;q=boeken%20utrecht%20genealogieen&amp;f=false","De familie Portengen genealogie en geschiedenis van een Utrechts geslacht Jan Portengen 1989")</f>
        <v>0</v>
      </c>
    </row>
    <row r="7944" spans="2:4">
      <c r="B7944">
        <v>52</v>
      </c>
      <c r="C7944" s="1">
        <f>hyperlink("https://hetutrechtsarchief.nl/collectie/53F9AB3B8EB65FF882E257F6605D684B","Stukken rakende de HH Edelen en Ridderschappen s Lands van Utrecht die beschreven plachten te worden van den jare 1375 tot 1630 25 -39 1882")</f>
        <v>0</v>
      </c>
      <c r="D7944" s="1">
        <f>hyperlink("https://brbl-dl.library.yale.edu/vufind/Record/3440539","Conditien volgens welke de Edele Mogende Heeren Staten s Lands van Utrecht den 9 September 1720 octroy hebben verleent tot het oprechten van een Provinciale Compagnie van Commercie Asseurantie c 1720")</f>
        <v>0</v>
      </c>
    </row>
    <row r="7945" spans="2:4">
      <c r="B7945">
        <v>51</v>
      </c>
      <c r="C7945" s="1">
        <f>hyperlink("https://hetutrechtsarchief.nl/collectie/ECC6E8F8F724595390567A2A05F8F5F6","Het Duitse Huis in Utrecht gerestaureerd Anton van Oirschot 16-17 ill plgr 1995")</f>
        <v>0</v>
      </c>
      <c r="D7945" s="1">
        <f>hyperlink("https://brbl-dl.library.yale.edu/vufind/Record/3440540","Reglement op de Wisselbank Binnen Utrecht Gearresteert op den 7en October 1720 en Gepubliceert den 11 dito 1720")</f>
        <v>0</v>
      </c>
    </row>
    <row r="7946" spans="2:4">
      <c r="B7946">
        <v>57</v>
      </c>
      <c r="C7946" s="1">
        <f>hyperlink("https://hetutrechtsarchief.nl/collectie/609C5C9B9E784642E0534701000A17FD","De Achtertuin van Gunterstein Mart Stilting 82-84 2017")</f>
        <v>0</v>
      </c>
      <c r="D7946" s="1">
        <f>hyperlink("https://dcms.lds.org/delivery/DeliveryManagerServlet?dps_pid=IE1050846","Index acten van indemniteit Ysselstein A Blans 1987")</f>
        <v>0</v>
      </c>
    </row>
    <row r="7947" spans="2:4">
      <c r="B7947">
        <v>52</v>
      </c>
      <c r="C7947" s="1">
        <f>hyperlink("https://hetutrechtsarchief.nl/collectie/739C89A2B8C650DA870270873C09B78F","Gemeente vraagt om gelazer leegstandswet in Utrecht - Aly en - Ymre 7 1986")</f>
        <v>0</v>
      </c>
      <c r="D7947" s="1">
        <f>hyperlink("https://dcms.lds.org/delivery/DeliveryManagerServlet?dps_pid=IE1072416","Gemeente-atlas van Nederland naar officieele bronnen bewerkt Zesde deel Utrecht J Kuyper ca 1867")</f>
        <v>0</v>
      </c>
    </row>
    <row r="7948" spans="2:4">
      <c r="B7948">
        <v>51</v>
      </c>
      <c r="C7948" s="1">
        <f>hyperlink("https://hetutrechtsarchief.nl/collectie/5D4E0527784F5B85B64B24E9B4D0F58A","Het verhaal van Utrecht klopt bedrijfsleven versterkt Vrede van Utrecht en Culturele Hoofdstad tekst Hans Haj e 32-33 2012")</f>
        <v>0</v>
      </c>
      <c r="D7948" s="1">
        <f>hyperlink("https://dl.dropbox.com/u/2534024/Bidbook-Utrecht2018-Dutch.pdf","Trust the future create your city bidbook Utrecht 2018 Kandidatuur Culturele Hoofdstad van Europa tekst Redactieteam 2018 2012")</f>
        <v>0</v>
      </c>
    </row>
    <row r="7949" spans="2:4">
      <c r="B7949">
        <v>86</v>
      </c>
      <c r="C7949" s="1">
        <f>hyperlink("https://hetutrechtsarchief.nl/collectie/975D48807EB0590EBC2E0BD89FA51A5F","Monumentale keukens in de Utrechtse binnenstad Simon den Daas en Wim Zwanikken 3-59 2012")</f>
        <v>0</v>
      </c>
      <c r="D7949" s="1">
        <f>hyperlink("https://dl.dropboxusercontent.com/u/35939063/Steengoed/3-SteenGoed%2054.pdf","Monumentale keukens in de Utrechtse binnenstad Wim Daas Simon den Zwanikken 2012")</f>
        <v>0</v>
      </c>
    </row>
    <row r="7950" spans="2:4">
      <c r="B7950">
        <v>57</v>
      </c>
      <c r="C7950" s="1">
        <f>hyperlink("https://hetutrechtsarchief.nl/collectie/80D1F01EC5075F2CAE1DA156E4114296","Uit het kasboek van grootmoeder Ton Hartman met medew van Werkgroep Genealogie en Historisch onderzoek 19-26 2010")</f>
        <v>0</v>
      </c>
      <c r="D7950" s="1">
        <f>hyperlink("https://dl.dropboxusercontent.com/u/35939063/Steengoed/SteenGoed%2036.pdf","Samen een straatje om Utrechts Monumenten Fonds Werkgroep Historisch Onderzoek 2003")</f>
        <v>0</v>
      </c>
    </row>
    <row r="7951" spans="2:4">
      <c r="B7951">
        <v>100</v>
      </c>
      <c r="C7951" s="1">
        <f>hyperlink("https://hetutrechtsarchief.nl/collectie/0B9150BF9F9B5251B948A05ABB490DF3","Herinnering aan een glimlach Gerrit H Jansen 21-23 2004")</f>
        <v>0</v>
      </c>
      <c r="D7951" s="1">
        <f>hyperlink("https://dl.dropboxusercontent.com/u/35939063/Steengoed/SteenGoed%2037.pdf","Herinnering aan een glimlach Gerrit H Jansen 21-23 2004")</f>
        <v>0</v>
      </c>
    </row>
    <row r="7952" spans="2:4">
      <c r="B7952">
        <v>100</v>
      </c>
      <c r="C7952" s="1">
        <f>hyperlink("https://hetutrechtsarchief.nl/collectie/FF6CCEE889A355429DED9B97E0FB98F0","Het Utrechts Monumentenfonds 1943-2003 C L Temminck Groll 13-20 2004")</f>
        <v>0</v>
      </c>
      <c r="D7952" s="1">
        <f>hyperlink("https://dl.dropboxusercontent.com/u/35939063/Steengoed/SteenGoed%2037.pdf","Het Utrechts Monumentenfonds 1943-2003 C L Temminck Groll 13-20 2004")</f>
        <v>0</v>
      </c>
    </row>
    <row r="7953" spans="2:4">
      <c r="B7953">
        <v>69</v>
      </c>
      <c r="C7953" s="1">
        <f>hyperlink("https://hetutrechtsarchief.nl/collectie/D8D66D5C155A551B94E9ED6609C13B5B","Een ontmoeting met levens die voorbij zijn honderd jaar Kovelswade onderzoek en tekst Maroesja Brits en Joop van Markesteijn foto s gemaakt door auteurs tek Dirk van Sichem 3-39 2004")</f>
        <v>0</v>
      </c>
      <c r="D7953" s="1">
        <f>hyperlink("https://dl.dropboxusercontent.com/u/35939063/Steengoed/SteenGoed%2039.pdf","Een ontmoeting met levens die voorbij zijn honderd jaar Kovelswade Joop van Brits Maroesja Markesteijn 2004")</f>
        <v>0</v>
      </c>
    </row>
    <row r="7954" spans="2:4">
      <c r="B7954">
        <v>87</v>
      </c>
      <c r="C7954" s="1">
        <f>hyperlink("https://hetutrechtsarchief.nl/collectie/A68422B93B1750559EC26FB548E1BD63","Bacchus aan de gracht Nieuwe Gracht 42 300 jaar handel in wijn onderzoek en tekst Simon den Daas 1 -39 2005")</f>
        <v>0</v>
      </c>
      <c r="D7954" s="1">
        <f>hyperlink("https://dl.dropboxusercontent.com/u/35939063/Steengoed/SteenGoed%2040.pdf","Bacchus aan de gracht Nieuwe Gracht 42 300 jaar handel in wijn Simon den Daas 2005")</f>
        <v>0</v>
      </c>
    </row>
    <row r="7955" spans="2:4">
      <c r="B7955">
        <v>88</v>
      </c>
      <c r="C7955" s="1">
        <f>hyperlink("https://hetutrechtsarchief.nl/collectie/26ECEEA81FFA598786A02A0B3F6018E6","Nieuwe Gracht 19 van deftig herenhuis tot katholieke jongensschool onderzoek en tekst Ben van Spanje 3-42 2006")</f>
        <v>0</v>
      </c>
      <c r="D7955" s="1">
        <f>hyperlink("https://dl.dropboxusercontent.com/u/35939063/Steengoed/SteenGoed%2042.pdf","Nieuwe Gracht 19 van deftig herenhuis tot katholieke jongensschool Ben van Spanje 2006")</f>
        <v>0</v>
      </c>
    </row>
    <row r="7956" spans="2:4">
      <c r="B7956">
        <v>82</v>
      </c>
      <c r="C7956" s="1">
        <f>hyperlink("https://hetutrechtsarchief.nl/collectie/88386265B72651B081C05C99B0037199","Oud worden in een jong monument Joop van Markesteijn 3-50 2006")</f>
        <v>0</v>
      </c>
      <c r="D7956" s="1">
        <f>hyperlink("https://dl.dropboxusercontent.com/u/35939063/Steengoed/SteenGoed%2043.pdf","Catharijnesingel 78 oud worden in een jong monument Joop van Markesteijn 2006")</f>
        <v>0</v>
      </c>
    </row>
    <row r="7957" spans="2:4">
      <c r="B7957">
        <v>96</v>
      </c>
      <c r="C7957" s="1">
        <f>hyperlink("https://hetutrechtsarchief.nl/collectie/933048D604F85A1B9E929AEDE8732C96","Een huis van binnenuit Kromme Nieuwegracht 33 Cl mentine Diepen 3-47 2007")</f>
        <v>0</v>
      </c>
      <c r="D7957" s="1">
        <f>hyperlink("https://dl.dropboxusercontent.com/u/35939063/Steengoed/SteenGoed%2044.pdf","Een huis van binnenuit Kromme Nieuwegracht 33 Cl mentine Diepen 2007")</f>
        <v>0</v>
      </c>
    </row>
    <row r="7958" spans="2:4">
      <c r="B7958">
        <v>80</v>
      </c>
      <c r="C7958" s="1">
        <f>hyperlink("https://hetutrechtsarchief.nl/collectie/AC70CE9B639052D49746E126700427F5","De IJseren Hoet Frederike I Kappers 3-51 2009")</f>
        <v>0</v>
      </c>
      <c r="D7958" s="1">
        <f>hyperlink("https://dl.dropboxusercontent.com/u/35939063/Steengoed/SteenGoed%2048.pdf","De IJseren Hoet Oudegracht 293 Frederike I Kappers 2009")</f>
        <v>0</v>
      </c>
    </row>
    <row r="7959" spans="2:4">
      <c r="B7959">
        <v>96</v>
      </c>
      <c r="C7959" s="1">
        <f>hyperlink("https://hetutrechtsarchief.nl/collectie/8E89466C0F8956948F9288F328F8CAAF","Zoeken naar de geschiedenis van Springweg 154 Wim Zwanikken 3-47 2009")</f>
        <v>0</v>
      </c>
      <c r="D7959" s="1">
        <f>hyperlink("https://dl.dropboxusercontent.com/u/35939063/Steengoed/SteenGoed%2049.pdf","Zoeken naar de geschiedenis van Springweg 154 Wim Zwanikken 2009")</f>
        <v>0</v>
      </c>
    </row>
    <row r="7960" spans="2:4">
      <c r="B7960">
        <v>95</v>
      </c>
      <c r="C7960" s="1">
        <f>hyperlink("https://hetutrechtsarchief.nl/collectie/3677C4C8A49759F88EE75DEC8F2915D3","daer die Turcois Ringh uijthangt goud en zilver in de Donkere Gaard 13 tekst Gerrit Jan van Ingen 3-37 2010")</f>
        <v>0</v>
      </c>
      <c r="D7960" s="1">
        <f>hyperlink("https://dl.dropboxusercontent.com/u/35939063/Steengoed/SteenGoed%2051.pdf","daer die Turcois Ringh uijthangt goud en zilver in de Donkere Gaard 13 Gerrit Jan van Ingen 2010")</f>
        <v>0</v>
      </c>
    </row>
    <row r="7961" spans="2:4">
      <c r="B7961">
        <v>60</v>
      </c>
      <c r="C7961" s="1">
        <f>hyperlink("https://hetutrechtsarchief.nl/collectie/F234AA9D46AC59D1949679FA14D6F4C8","De geschiedenis van de Utrechtse City Bioscoop Herman de Wit 130-135 2015")</f>
        <v>0</v>
      </c>
      <c r="D7961" s="1">
        <f>hyperlink("https://dl.dropboxusercontent.com/u/35939063/Steengoed/SteenGoed%2052.pdf","Sic Semper Trans 19 de geschiedenis van een Utrechtse soci teit Bert van Spanje 2011")</f>
        <v>0</v>
      </c>
    </row>
    <row r="7962" spans="2:4">
      <c r="B7962">
        <v>84</v>
      </c>
      <c r="C7962" s="1">
        <f>hyperlink("https://hetutrechtsarchief.nl/collectie/0451CB1367CE59689D2F912649EBF99F","De pastorie van het Utrechts Monumentenfonds een geschiedenis van Lange Nieuwstraat 53 53bis en van de kerk daarachter Dirk van Sichem en Wim Zwanikken 3-95 2013")</f>
        <v>0</v>
      </c>
      <c r="D7962" s="1">
        <f>hyperlink("https://dl.dropboxusercontent.com/u/35939063/Steengoed/SteenGoed%2055.pdf","De pastorie van het Utrechts Monumentenfonds een geschiedenis van Lange Nieuwstraat 53 53bis en de kerk daarachter Dirk van Sichem Wim Zwanikken eindredactie Wim Zwanikken Wim Sichem Dirk van Zwanikken 2013")</f>
        <v>0</v>
      </c>
    </row>
    <row r="7963" spans="2:4">
      <c r="B7963">
        <v>97</v>
      </c>
      <c r="C7963" s="1">
        <f>hyperlink("https://hetutrechtsarchief.nl/collectie/2108242D1D475BD6B70332B0358BB1D2","Het huis van domproost Cornelis van Mierop Kromme Nieuwegracht 66 Utrecht onderzoek naar de geschiedenis van perceel bebouwing eigendom en bewoning tot 1884 tekst Frederike I Kappers 3-51 2014")</f>
        <v>0</v>
      </c>
      <c r="D7963" s="1">
        <f>hyperlink("https://dl.dropboxusercontent.com/u/35939063/Steengoed/SteenGoed%2056.pdf","Het huis van domproost Cornelis van Mierop Kromme Nieuwegracht 66 Utrecht onderzoek naar de geschiedenis van perceel bebouwing eigendom en bewoning tot 1884 Frederike I Kappers 2014")</f>
        <v>0</v>
      </c>
    </row>
    <row r="7964" spans="2:4">
      <c r="B7964">
        <v>58</v>
      </c>
      <c r="C7964" s="1">
        <f>hyperlink("https://hetutrechtsarchief.nl/collectie/E39F239581ED5864955087DF51CA4E20","Koning Lodewijk Napoleon zag wel wat in de Nieuwe Buurt Red Historische Vereniging Oud-Renswoude 3-5 2005")</f>
        <v>0</v>
      </c>
      <c r="D7964" s="1">
        <f>hyperlink("https://docs.google.com/folder/d/0BzIB42gEj6j3NTgyODZmNzYtYjNhYy00NzdhLTkyOGQtMTYwMzAyNzk2MzRj/edit?hl=nl&amp;pli=1","Het ouwe Renswou Historische Vereniging Oud-Renswoude Historische Vereniging Oud-Renswoude 1984-")</f>
        <v>0</v>
      </c>
    </row>
    <row r="7965" spans="2:4">
      <c r="B7965">
        <v>97</v>
      </c>
      <c r="C7965" s="1">
        <f>hyperlink("https://hetutrechtsarchief.nl/collectie/851CF7AF8FE957EF903F1B851DEBA774","75 jaar Vrijwillige Brandweer van Renswoude Jan D H van den Brink 1-32 2006")</f>
        <v>0</v>
      </c>
      <c r="D7965" s="1">
        <f>hyperlink("https://docs.google.com/folder/d/0BzIB42gEj6j3NTgyODZmNzYtYjNhYy00NzdhLTkyOGQtMTYwMzAyNzk2MzRj/edit?hl=nl&amp;pli=1#docId=0BzIB42gEj6j3MTdhMmIyMmMtYjk0Mi00OWVlLWEyMmItYzZhMGVhZTBlYTMw","75 jaar Vrijwillige Brandweer van Renswoude Jan D H van den Brink 2006")</f>
        <v>0</v>
      </c>
    </row>
    <row r="7966" spans="2:4">
      <c r="B7966">
        <v>53</v>
      </c>
      <c r="C7966" s="1">
        <f>hyperlink("https://hetutrechtsarchief.nl/collectie/690C70D1032B555F9B8FBDBAAAAB19FC","Voorspel van de doorbraak van de Grebbedijk Gert A van Beek 4-10 2000")</f>
        <v>0</v>
      </c>
      <c r="D7966" s="1">
        <f>hyperlink("https://docs.google.com/folder/d/0BzIB42gEj6j3NTgyODZmNzYtYjNhYy00NzdhLTkyOGQtMTYwMzAyNzk2MzRj/edit?hl=nl&amp;pli=1#docId=0BzIB42gEj6j3NzRlY2RhZDAtMGFhZi00MWRjLTk5MDktYjYxZjAyMmQ2YTQz","Koockboek van mevr Van Beeck 1748 Jan de Wolleswinkel Egbert van Beeck M I van Vries 2010")</f>
        <v>0</v>
      </c>
    </row>
    <row r="7967" spans="2:4">
      <c r="B7967">
        <v>58</v>
      </c>
      <c r="C7967" s="1">
        <f>hyperlink("https://hetutrechtsarchief.nl/collectie/F1F0AE29508B5F0080564DF2770402BE","Utrecht en de Oostindische Compagnie - v C 107-109 1968")</f>
        <v>0</v>
      </c>
      <c r="D7967" s="1">
        <f>hyperlink("https://dspace.library.uu.nl:8443/handle/1874/316472","Utrecht en de Ooster-Spoorweg 1870")</f>
        <v>0</v>
      </c>
    </row>
    <row r="7968" spans="2:4">
      <c r="B7968">
        <v>57</v>
      </c>
      <c r="C7968" s="1">
        <f>hyperlink("https://hetutrechtsarchief.nl/collectie/63CEE14336E352998F1C57F9E24AE281","Proloog en start van de Historische Kring Breukelen Arie A Manten 40-44 2011")</f>
        <v>0</v>
      </c>
      <c r="D7968" s="1">
        <f>hyperlink("https://dspace.library.uu.nl/handle/1874/206487","Vechtkroniek uitgave van de Historische Kring Gemeente Loenen Historische Kring Gemeente Loenen 1994-")</f>
        <v>0</v>
      </c>
    </row>
    <row r="7969" spans="2:4">
      <c r="B7969">
        <v>98</v>
      </c>
      <c r="C7969" s="1">
        <f>hyperlink("https://hetutrechtsarchief.nl/collectie/E9E8F407334D502E9C9860BDE5EDE8AE","Een necrologium der St Servaas-abdij te Utrecht - J 104-180 1901")</f>
        <v>0</v>
      </c>
      <c r="D7969" s="1">
        <f>hyperlink("https://dspace.library.uu.nl/handle/1874/378015","Een Necrologium der St Servaas-abdij te Utrecht J 104-180 1901")</f>
        <v>0</v>
      </c>
    </row>
    <row r="7970" spans="2:4">
      <c r="B7970">
        <v>92</v>
      </c>
      <c r="C7970" s="1">
        <f>hyperlink("https://hetutrechtsarchief.nl/collectie/D0079A0B6EE251A18270BD192B15DD5E","De toekomst die voorbijging Hoog Catharijne na 40 jaar Hans Buiter en Tim Verlaan 12-17 2014")</f>
        <v>0</v>
      </c>
      <c r="D7970" s="1">
        <f>hyperlink("https://hdl.handle.net/11245/1.410498","De toekomst die voorbijging Hoog Catharijne na 40 jaar Tim Buiter Hans Verlaan 12-17 2014")</f>
        <v>0</v>
      </c>
    </row>
    <row r="7971" spans="2:4">
      <c r="B7971">
        <v>53</v>
      </c>
      <c r="C7971" s="1">
        <f>hyperlink("https://hetutrechtsarchief.nl/collectie/0ED7A46F2556567CBA4849224864C3FF","De Uithof en de weg naar Rome Kaj van Vliet 34 2011")</f>
        <v>0</v>
      </c>
      <c r="D7971" s="1">
        <f>hyperlink("https://issuu.com/trajectumutrecht/docs/trajectum1011-14","50 jaar De Uithof red Ries Agterberg et al Ries Agterberg 2011")</f>
        <v>0</v>
      </c>
    </row>
    <row r="7972" spans="2:4">
      <c r="B7972">
        <v>55</v>
      </c>
      <c r="C7972" s="1">
        <f>hyperlink("https://hetutrechtsarchief.nl/collectie/03211E4CCCC65296AB93946AEAD7BD46","De Utrechtse CPN in de Koude Oorlog Gijs Schreuders 86-92 2013")</f>
        <v>0</v>
      </c>
      <c r="D7972" s="1">
        <f>hyperlink("https://pure.knaw.nl/ws/files/466640/Meder12.pdf","De Utrechtse wijk Lombok Theo Dibbits Hester Meder 19 -30 2002")</f>
        <v>0</v>
      </c>
    </row>
    <row r="7973" spans="2:4">
      <c r="B7973">
        <v>53</v>
      </c>
      <c r="C7973" s="1">
        <f>hyperlink("https://hetutrechtsarchief.nl/collectie/D94326E8CA5D50A49D25459D1676E82F","Geen Engelse toestanden Utrechtse riolen in goede conditie Ben Nijssen 10 2007")</f>
        <v>0</v>
      </c>
      <c r="D7973" s="1">
        <f>hyperlink("https://secure.peeters-leuven.be/POJ/viewpdf.php?ticket_id=48f72e31a3951","Hieronymuspenwerk en andere Utrechtse penwerkstijlen in handschrift en druk Gisela Gerritsen-Geywitz 123-142 2007")</f>
        <v>0</v>
      </c>
    </row>
    <row r="7974" spans="2:4">
      <c r="B7974">
        <v>96</v>
      </c>
      <c r="C7974" s="1">
        <f>hyperlink("https://hetutrechtsarchief.nl/collectie/058AAC0864D350BD816D7879E7CBC057","De levende letter onderzoek naar de historie van grond bebouwing eigendom en bewoning van Oude Kamp 3 te Utrecht tekst S J den Daas 1-44 2002")</f>
        <v>0</v>
      </c>
      <c r="D7974" s="1">
        <f>hyperlink("https://utrechtsmonumentenfonds.nl/wp-content/uploads/2017/06/33-De-levende-letter-Oude-Kamp-3.pdf","De levende letter onderzoek naar de historie van grond bebouwing eigendom en bewoning van Oude Kamp 3 te Utrecht S J den Daas 2002")</f>
        <v>0</v>
      </c>
    </row>
    <row r="7975" spans="2:4">
      <c r="B7975">
        <v>53</v>
      </c>
      <c r="C7975" s="1">
        <f>hyperlink("https://hetutrechtsarchief.nl/collectie/F2ECE3C3851D583F928CD5A84DD1CE05","Amersfoort krijgt Herdenkingsstenen Betsie van Ravenhorst 7 2015")</f>
        <v>0</v>
      </c>
      <c r="D7975" s="1">
        <f>hyperlink("https://www.amersfoort.nl/docs/bis/raad/2010/Raadstukken/01%20januari/Studie%20Amersfoort%20West%2C%20pag%201-25.pdf","Amersfoort West aanzet tot discussie Wouter Broesi Robert Wijk Sanneke van Veldhuis 2010")</f>
        <v>0</v>
      </c>
    </row>
    <row r="7976" spans="2:4">
      <c r="B7976">
        <v>55</v>
      </c>
      <c r="C7976" s="1">
        <f>hyperlink("https://hetutrechtsarchief.nl/collectie/088C94C5DCE25103999F626DBDF81D5B","Serie 200 jaar Genootschap Kunstliefde - 4 Anthony Grolman 1843-1926 bevlogen tekenaar van stadsgezichten Jetty Krijnen 104-107 2007")</f>
        <v>0</v>
      </c>
      <c r="D7976" s="1">
        <f>hyperlink("https://www.kunstliefde.nl/content/files/Oud-Utrecht+-+Kunstliefde+01.pdf;https://www.kunstliefde.nl/content/files/Oud-Utrecht+-+Kunstliefde+02.pdf;https://www.kunstliefde.nl/content/files/Oud-Utrecht+-+Kunstliefde+03.pdf;https://www.kunstliefde.nl/content/files/Oud-Utrecht+-+Kunstliefde+04.pdf;https://www.kunstliefde.nl/content/files/Oud-Utrecht+-+Kunstliefde+05.pdf","Serie 200 jaar Genootschap Kunstliefde Marion Corn lie van Ro ll Jaap Hartog Rudo den Adelaar Dick Krijnen Jetty Oudheusden 18-22 nr 2 p 48-51 nr 3 p 78-80 nr 4 p 104-107 nr 5 p 133-136 2007")</f>
        <v>0</v>
      </c>
    </row>
    <row r="7977" spans="2:4">
      <c r="B7977">
        <v>54</v>
      </c>
      <c r="C7977" s="1">
        <f>hyperlink("https://hetutrechtsarchief.nl/collectie/57EC0216D2C95EBB9BDB450E5F9CECB0","Twee ordonnanties van het Utrechtse boekdrukkers -binders en -boekhandelaarsgilde de ordonnanties van 1599 en 1663 onderling vergeleken A Hallema 58-70")</f>
        <v>0</v>
      </c>
      <c r="D7977" s="1">
        <f>hyperlink("https://www.ntvg.nl/artikelen/dokters-en-apothekers-te-utrecht-de-17e-eeuw-twee-merkwaardige-ordonnanties-van-1655","Dokters en apothekers te Utrecht in de 17e eeuw twee merkwaardige ordonnanties van 1655 betreffende doktershonoraria A Hallema 58-63 1956")</f>
        <v>0</v>
      </c>
    </row>
    <row r="7978" spans="2:4">
      <c r="B7978">
        <v>51</v>
      </c>
      <c r="C7978" s="1">
        <f>hyperlink("https://hetutrechtsarchief.nl/collectie/E40407ECD14E58CC84BC1DF73B518B0B","Harrie Sterk een begenadigd kunstenaar 3 Vleuten als inspiratiebron A Sterk 37 2010")</f>
        <v>0</v>
      </c>
      <c r="D7978" s="1">
        <f>hyperlink("https://www.ntvg.nl/system/files/publications/2004126020001a.pdf","Het besloten Utrechtsch Geneeskundig Gezelschap Matthias van Geuns als historie- en inspiratiebron G T Haneveld 2602-2606 2004")</f>
        <v>0</v>
      </c>
    </row>
    <row r="7979" spans="2:4">
      <c r="B7979">
        <v>51</v>
      </c>
      <c r="C7979" s="1">
        <f>hyperlink("https://hetutrechtsarchief.nl/collectie/E5E16BC0232F5FCF86ECD87375EB93AB","Kleine landschapselementen koebochten eilandjes in het polderlandschap Martine Busz en H l ne Hine 22-25 2001")</f>
        <v>0</v>
      </c>
      <c r="D7979" s="1">
        <f>hyperlink("https://www.provincie-utrecht.nl/publish/pages/165750/kwaliteitsgids_groene_hart_12-07-2011.pdf","Kwaliteitsgids Utrechtse landschappen gebiedskatern Groene Hart Kees OKRA landschapsarchitecten Volkers 2011")</f>
        <v>0</v>
      </c>
    </row>
    <row r="7980" spans="2:4">
      <c r="B7980">
        <v>52</v>
      </c>
      <c r="C7980" s="1">
        <f>hyperlink("https://hetutrechtsarchief.nl/collectie/E5E16BC0232F5FCF86ECD87375EB93AB","Kleine landschapselementen koebochten eilandjes in het polderlandschap Martine Busz en H l ne Hine 22-25 2001")</f>
        <v>0</v>
      </c>
      <c r="D7980" s="1">
        <f>hyperlink("https://www.provincie-utrecht.nl/publish/pages/165770/kwaliteitsgids_gelderse_vallei_12-07-2011.pdf","Kwaliteitsgids Utrechtse landschappen gebiedskatern Gelderse Vallei Kees OKRA landschapsarchitecten Volkers 2011")</f>
        <v>0</v>
      </c>
    </row>
    <row r="7981" spans="2:4">
      <c r="B7981">
        <v>51</v>
      </c>
      <c r="C7981" s="1">
        <f>hyperlink("https://hetutrechtsarchief.nl/collectie/E5E16BC0232F5FCF86ECD87375EB93AB","Kleine landschapselementen koebochten eilandjes in het polderlandschap Martine Busz en H l ne Hine 22-25 2001")</f>
        <v>0</v>
      </c>
      <c r="D7981" s="1">
        <f>hyperlink("https://www.provincie-utrecht.nl/publish/pages/165791/kwaliteitsgids_rivierengebied_12-07-2011.pdf","Kwaliteitsgids Utrechtse landschappen gebiedskatern Rivierengebied Adriaan OKRA landschapsarchitecten Haartsen 2011")</f>
        <v>0</v>
      </c>
    </row>
    <row r="7982" spans="2:4">
      <c r="B7982">
        <v>100</v>
      </c>
      <c r="C7982" s="1">
        <f>hyperlink("https://hetutrechtsarchief.nl/collectie/AAAC0607A8C95234AEF2A056C591D0F1","Het Amersfoortse vleeshuis een middeleeuwse markthal voor slagers Leen Alberts 178-184 2013")</f>
        <v>0</v>
      </c>
      <c r="D7982" s="1">
        <f>hyperlink("https://www.researchgate.net/publication/279191078_Het_Amersfoortse_vleeshuis_Een_middeleeuwse_markthal_voor_slagers_Tijdschrift_Oud-Utrecht_86_2013_6_178-184","Het Amersfoortse vleeshuis een middeleeuwse markthal voor slagers Leen Alberts 178-184 2013")</f>
        <v>0</v>
      </c>
    </row>
    <row r="7983" spans="2:4">
      <c r="B7983">
        <v>100</v>
      </c>
      <c r="C7983" s="1">
        <f>hyperlink("https://hetutrechtsarchief.nl/collectie/4EDCDBE2883053FBAC9ED4F610E64E69","Slijpsteen voor Napoleons soldaten krassen in de Utrechtse pandhof Wim Braakman 125 2010")</f>
        <v>0</v>
      </c>
      <c r="D7983" s="1">
        <f>hyperlink("https://www.rug.nl/research/portal/files/14621796/BraakmanWA-Slijpsteen-2010.pdf","Slijpsteen voor Napoleons soldaten krassen in de Utrechtse pandhof Wim Braakman 125 2010")</f>
        <v>0</v>
      </c>
    </row>
    <row r="7984" spans="2:4">
      <c r="B7984">
        <v>96</v>
      </c>
      <c r="C7984" s="1">
        <f>hyperlink("https://hetutrechtsarchief.nl/collectie/F64A13F269275E9CA8BB8472FCBB6B82","De Rooster onderzoek naar de geschiedenis van perceel bebouwing eigendom en bewoning van Oudegracht 279 tekst Frederike I Kappers 3-47 2012")</f>
        <v>0</v>
      </c>
      <c r="D7984" s="1">
        <f>hyperlink("Themanummer","De Rooster onderzoek naar de geschiedenis van perceel bebouwing eigendom en bewoning van Oudegracht 279 Frederike I Kappers 2012")</f>
        <v>0</v>
      </c>
    </row>
    <row r="7985" spans="2:4">
      <c r="B7985">
        <v>56</v>
      </c>
      <c r="C7985" s="1">
        <f>hyperlink("https://hetutrechtsarchief.nl/collectie/8989E8A256205EE897D5B82D58BFB01A","75 jaar Oud-Utrecht J W Lemaier 4 1998")</f>
        <v>0</v>
      </c>
      <c r="D7985" s="1">
        <f>hyperlink("www.museumvalkenheide.nl/?mdocs-file=2015","75 jaar Valkenvlucht Ger Weenink 1984")</f>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2022-04-19T19:26:30Z</dcterms:created>
  <dcterms:modified xsi:type="dcterms:W3CDTF">2022-04-19T19:26:30Z</dcterms:modified>
</cp:coreProperties>
</file>