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ata" sheetId="1" r:id="rId4"/>
    <sheet name="get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<sst xmlns="http://schemas.openxmlformats.org/spreadsheetml/2006/main" uniqueCount="95">
  <si>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số phối</t>
  </si>
  <si>
    <t>số lốc</t>
  </si>
  <si>
    <t>số nái vấn đề phối</t>
  </si>
  <si>
    <t>tổng số ngày nái cai sữa chờ phối</t>
  </si>
  <si>
    <t>số nái cai sữa phối</t>
  </si>
  <si>
    <t>số nái phối trong 7 ngày</t>
  </si>
  <si>
    <t>nái đẻ</t>
  </si>
  <si>
    <t>sinh ra</t>
  </si>
  <si>
    <t>chết</t>
  </si>
  <si>
    <t>tật</t>
  </si>
  <si>
    <t>khô</t>
  </si>
  <si>
    <t>còi</t>
  </si>
  <si>
    <t>còn sống</t>
  </si>
  <si>
    <t>tổng ngày mang thai</t>
  </si>
  <si>
    <t>tổng trọng lượng sơ sinh</t>
  </si>
  <si>
    <t>tổng số nái đẻ lớn hơn 7 con</t>
  </si>
  <si>
    <t>nái cai</t>
  </si>
  <si>
    <t>số con cai</t>
  </si>
  <si>
    <t>số ngày cai</t>
  </si>
  <si>
    <t>số heo con chết theo mẹ</t>
  </si>
  <si>
    <t>nái loại</t>
  </si>
  <si>
    <t>nái chết</t>
  </si>
  <si>
    <t>nái tăng</t>
  </si>
  <si>
    <t>lon giong to hb giam</t>
  </si>
  <si>
    <t>lon giong to hb tang</t>
  </si>
  <si>
    <t>duc tang</t>
  </si>
  <si>
    <t>duc giam</t>
  </si>
  <si>
    <t>đàn nái</t>
  </si>
  <si>
    <t>hb</t>
  </si>
  <si>
    <t>duc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</si>
  <si>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</si>
  <si>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</si>
  <si>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</si>
  <si>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</si>
  <si>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</si>
  <si>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</si>
  <si>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</si>
  <si>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</si>
  <si>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</si>
  <si>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2020-9-10</t>
  </si>
  <si>
    <t>2020-9-11</t>
  </si>
  <si>
    <t>2020-9-12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</si>
  <si>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</si>
  <si>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</si>
  <si>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</si>
  <si>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</si>
  <si>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</si>
  <si>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</si>
  <si>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</si>
  <si>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</si>
  <si>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</si>
  <si>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2019-9-10</t>
  </si>
  <si>
    <t>2019-9-11</t>
  </si>
  <si>
    <t>2019-9-12</t>
  </si>
  <si>
    <t>Chỉ tiêu</t>
  </si>
  <si>
    <t>Tổng số nái sinh sản cuối kỳ</t>
  </si>
  <si>
    <t>Tổng số đực cuối kỳ</t>
  </si>
  <si>
    <t>Tổng số hậu bị cuối kỳ</t>
  </si>
  <si>
    <t>Số nái loại thải</t>
  </si>
  <si>
    <t>Tỷ lệ loại thải</t>
  </si>
  <si>
    <t>Số nái chết</t>
  </si>
  <si>
    <t>Tỷ lệ nái chết</t>
  </si>
  <si>
    <t>Tổng số nái phối</t>
  </si>
  <si>
    <t>Số nái vấn đề phối</t>
  </si>
  <si>
    <t>Số nái hậu bị được phối giống</t>
  </si>
  <si>
    <t>Số nái cai sữa phối</t>
  </si>
  <si>
    <t>Số ngày chờ phối TB</t>
  </si>
  <si>
    <t>% Nái phối trong vòng 7 ngày</t>
  </si>
  <si>
    <t>Số nái bị lốc, xảy thai..</t>
  </si>
  <si>
    <t>% Đậu thai</t>
  </si>
  <si>
    <t>Số nái đẻ</t>
  </si>
  <si>
    <t>Tổng số con sinh ra</t>
  </si>
  <si>
    <t>Số con sinh ra TB/ổ</t>
  </si>
  <si>
    <t>Số con chết non</t>
  </si>
  <si>
    <t>Tỷ lệ chết non</t>
  </si>
  <si>
    <t>Số con dị tật</t>
  </si>
  <si>
    <t>Tỷ lệ tật</t>
  </si>
  <si>
    <t>TB số con nhỏ/lứa (&lt;0,6Kg)</t>
  </si>
  <si>
    <t>Tỷ lệ loại nhỏ (&lt;0,6Kg)</t>
  </si>
  <si>
    <t>Số con chết khô</t>
  </si>
  <si>
    <t>Tỷ lệ khô</t>
  </si>
  <si>
    <t>Tổng sinh sống</t>
  </si>
  <si>
    <t>Sinh sống TB/ổ</t>
  </si>
  <si>
    <t>% Nái đẻ dưới 7 con/ổ</t>
  </si>
  <si>
    <t>Trọng lượng sinh sống TB/con</t>
  </si>
  <si>
    <t>Thời gian chửa trung bình (ngày)</t>
  </si>
  <si>
    <t>Số lứa/nái sinh sản/năm</t>
  </si>
  <si>
    <t>Số heo nái cai sữa</t>
  </si>
  <si>
    <t>Tổng số heo con cai sữa</t>
  </si>
  <si>
    <t>Trung bình số con/nái cai sữa</t>
  </si>
  <si>
    <t>Số heo con chết</t>
  </si>
  <si>
    <t>Tỷ lệ chết theo mẹ</t>
  </si>
  <si>
    <t>Tuổi cai sữa trung bình (ngày)</t>
  </si>
  <si>
    <t>Số con cai sữa/nái sinh sản/năm</t>
  </si>
  <si>
    <t>Đàn nái -4 tháng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</si>
</sst>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FF0000"/>
      <name val="Times New Roman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3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2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2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31"/>
  <sheetViews>
    <sheetView tabSelected="0" workbookViewId="0" zoomScale="85" zoomScaleNormal="85" showGridLines="true" showRowColHeaders="1">
      <pane ySplit="3" topLeftCell="A4" activePane="bottomLeft" state="frozen"/>
      <selection pane="bottomLeft" activeCell="A5" sqref="A5:AP37"/>
    </sheetView>
  </sheetViews>
  <sheetFormatPr defaultRowHeight="14.4" defaultColWidth="7.5703125" outlineLevelRow="0" outlineLevelCol="0"/>
  <cols>
    <col min="1" max="1" width="7.5703125" style="12"/>
    <col min="2" max="2" width="11.42578125" customWidth="true" style="0"/>
    <col min="3" max="3" width="10.5703125" customWidth="true" style="0"/>
    <col min="5" max="5" width="9.140625" customWidth="true" style="0"/>
    <col min="6" max="6" width="10.7109375" customWidth="true" style="0"/>
    <col min="7" max="7" width="10.140625" customWidth="true" style="0"/>
    <col min="8" max="8" width="10.42578125" customWidth="true" style="0"/>
    <col min="9" max="9" width="12.5703125" customWidth="true" style="0"/>
    <col min="14" max="14" width="10.5703125" customWidth="true" style="1"/>
    <col min="16" max="16" width="7.5703125" style="1"/>
    <col min="17" max="17" width="7.5703125" style="1"/>
    <col min="18" max="18" width="7.5703125" style="1"/>
    <col min="19" max="19" width="7.5703125" style="1"/>
    <col min="20" max="20" width="7.5703125" style="4"/>
    <col min="21" max="21" width="7.5703125" style="4"/>
    <col min="22" max="22" width="10.7109375" customWidth="true" style="4"/>
    <col min="23" max="23" width="7.5703125" style="1"/>
    <col min="24" max="24" width="7.85546875" customWidth="true" style="1"/>
    <col min="25" max="25" width="9.7109375" customWidth="true" style="1"/>
    <col min="26" max="26" width="7.5703125" style="2"/>
    <col min="27" max="27" width="14.85546875" customWidth="true" style="0"/>
    <col min="29" max="29" width="12.42578125" customWidth="true" style="0"/>
    <col min="30" max="30" width="7.5703125" style="1"/>
    <col min="31" max="31" width="10.42578125" customWidth="true" style="3"/>
    <col min="32" max="32" width="7.5703125" style="3"/>
    <col min="35" max="35" width="7.5703125" style="12"/>
    <col min="36" max="36" width="7.5703125" style="12"/>
    <col min="37" max="37" width="7.5703125" style="12"/>
    <col min="38" max="38" width="7.5703125" style="12"/>
    <col min="39" max="39" width="7.5703125" style="12"/>
    <col min="40" max="40" width="7.5703125" style="12"/>
    <col min="41" max="41" width="7.5703125" style="12"/>
    <col min="42" max="42" width="7.5703125" style="12"/>
    <col min="43" max="43" width="13.85546875" customWidth="true" style="0"/>
    <col min="46" max="46" width="12.7109375" customWidth="true" style="12"/>
    <col min="47" max="47" width="8.140625" customWidth="true" style="12"/>
    <col min="48" max="48" width="7.5703125" style="12"/>
    <col min="49" max="49" width="7.5703125" style="12"/>
  </cols>
  <sheetData>
    <row r="1" spans="1:50" customHeight="1" ht="63" s="5" customFormat="1">
      <c r="A1" s="19"/>
      <c r="C1" s="6"/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4</v>
      </c>
      <c r="J1" s="13" t="s">
        <v>4</v>
      </c>
      <c r="K1" s="13" t="s">
        <v>5</v>
      </c>
      <c r="M1" s="13" t="s">
        <v>6</v>
      </c>
      <c r="N1" s="13" t="s">
        <v>7</v>
      </c>
      <c r="O1" s="13" t="s">
        <v>8</v>
      </c>
      <c r="P1" s="19" t="s">
        <v>9</v>
      </c>
      <c r="Q1" s="19" t="s">
        <v>10</v>
      </c>
      <c r="R1" s="19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6"/>
      <c r="X1" s="14" t="s">
        <v>16</v>
      </c>
      <c r="Y1" s="14" t="s">
        <v>17</v>
      </c>
      <c r="Z1" s="14" t="s">
        <v>18</v>
      </c>
      <c r="AA1" s="13"/>
      <c r="AB1" s="13" t="s">
        <v>19</v>
      </c>
      <c r="AC1" s="13"/>
      <c r="AD1" s="13" t="s">
        <v>20</v>
      </c>
      <c r="AE1" s="14"/>
      <c r="AF1" s="14" t="s">
        <v>21</v>
      </c>
      <c r="AH1" s="13" t="s">
        <v>22</v>
      </c>
      <c r="AI1" s="13"/>
      <c r="AJ1" s="13" t="s">
        <v>23</v>
      </c>
      <c r="AL1" s="13" t="s">
        <v>24</v>
      </c>
      <c r="AN1" s="13" t="s">
        <v>25</v>
      </c>
      <c r="AP1" s="13" t="s">
        <v>26</v>
      </c>
      <c r="AQ1" s="13"/>
      <c r="AR1" s="13"/>
      <c r="AS1" s="13"/>
      <c r="AT1" s="19" t="s">
        <v>27</v>
      </c>
      <c r="AU1" s="19"/>
      <c r="AV1" s="19" t="s">
        <v>28</v>
      </c>
      <c r="AW1" s="19" t="s">
        <v>29</v>
      </c>
    </row>
    <row r="2" spans="1:50"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W2" s="2"/>
      <c r="X2" s="2"/>
      <c r="Y2" s="2"/>
      <c r="Z2" s="4"/>
      <c r="AA2" s="2"/>
      <c r="AB2" s="2"/>
      <c r="AC2" s="2"/>
      <c r="AD2" s="2"/>
      <c r="AE2" s="2"/>
      <c r="AF2" s="2"/>
      <c r="AG2" s="2"/>
      <c r="AH2" s="2"/>
      <c r="AQ2" s="2"/>
      <c r="AR2" s="2"/>
      <c r="AS2" s="2"/>
      <c r="AX2" s="2"/>
    </row>
    <row r="3" spans="1:50">
      <c r="B3" s="12"/>
      <c r="C3" s="20"/>
      <c r="X3" s="12"/>
      <c r="AD3" s="12"/>
      <c r="AE3" s="12"/>
      <c r="AF3" s="12"/>
      <c r="AT3" s="3">
        <f>+AT4-AH28+AF28+AD28</f>
        <v>0</v>
      </c>
    </row>
    <row r="4" spans="1:50" s="1" customFormat="1">
      <c r="A4" s="12"/>
      <c r="B4" s="12"/>
      <c r="C4" s="20"/>
      <c r="X4" s="12"/>
      <c r="AD4" s="12"/>
      <c r="AE4" s="12"/>
      <c r="AF4" s="12"/>
      <c r="AI4" s="12"/>
      <c r="AJ4" s="12"/>
      <c r="AK4" s="12"/>
      <c r="AL4" s="12"/>
      <c r="AM4" s="12"/>
      <c r="AN4" s="12"/>
      <c r="AO4" s="12"/>
      <c r="AP4" s="12"/>
      <c r="AS4" s="12"/>
      <c r="AT4" s="3">
        <f>+AT5-AH29+AF29+AD29</f>
        <v>0</v>
      </c>
      <c r="AU4" s="12"/>
      <c r="AV4" s="12"/>
      <c r="AW4" s="12"/>
    </row>
    <row r="5" spans="1:50" s="1" customFormat="1">
      <c r="A5" s="12"/>
      <c r="B5" s="12"/>
      <c r="C5" s="20"/>
      <c r="X5" s="12"/>
      <c r="AD5" s="12"/>
      <c r="AE5" s="12"/>
      <c r="AF5" s="12"/>
      <c r="AI5" s="12"/>
      <c r="AJ5" s="12"/>
      <c r="AK5" s="12"/>
      <c r="AL5" s="12"/>
      <c r="AM5" s="12"/>
      <c r="AN5" s="12"/>
      <c r="AO5" s="12"/>
      <c r="AP5" s="12"/>
      <c r="AS5" s="12"/>
      <c r="AT5" s="3">
        <f>+AT6-AH30+AF30+AD30</f>
        <v>0</v>
      </c>
      <c r="AU5" s="12"/>
      <c r="AV5" s="12"/>
      <c r="AW5" s="12"/>
    </row>
    <row r="6" spans="1:50" s="1" customFormat="1">
      <c r="A6" s="12"/>
      <c r="B6" s="12"/>
      <c r="C6" s="20"/>
      <c r="X6" s="12"/>
      <c r="AD6" s="12"/>
      <c r="AE6" s="12"/>
      <c r="AF6" s="12"/>
      <c r="AI6" s="12"/>
      <c r="AJ6" s="12"/>
      <c r="AK6" s="12"/>
      <c r="AL6" s="12"/>
      <c r="AM6" s="12"/>
      <c r="AN6" s="12"/>
      <c r="AO6" s="12"/>
      <c r="AP6" s="12"/>
      <c r="AS6" s="12"/>
      <c r="AT6" s="3">
        <f>+AT7-AH31+AF31+AD31</f>
        <v>0</v>
      </c>
      <c r="AU6" s="12"/>
      <c r="AV6" s="12"/>
      <c r="AW6" s="12"/>
    </row>
    <row r="7" spans="1:50" s="1" customFormat="1">
      <c r="A7" s="12">
        <v>0</v>
      </c>
      <c r="B7" s="1">
        <v>0</v>
      </c>
      <c r="C7" s="20">
        <v>40</v>
      </c>
      <c r="N7" s="4"/>
      <c r="T7" s="4"/>
      <c r="U7" s="4"/>
      <c r="V7" s="4"/>
      <c r="X7" s="12"/>
      <c r="Y7" s="3"/>
      <c r="Z7" s="4"/>
      <c r="AE7" s="12"/>
      <c r="AF7" s="12"/>
      <c r="AI7" s="12"/>
      <c r="AJ7" s="12"/>
      <c r="AK7" s="12"/>
      <c r="AL7" s="12"/>
      <c r="AM7" s="12"/>
      <c r="AN7" s="12"/>
      <c r="AO7" s="12"/>
      <c r="AP7" s="12"/>
      <c r="AT7" s="17">
        <f>+A7</f>
        <v>0</v>
      </c>
      <c r="AU7" s="12"/>
      <c r="AV7" s="12">
        <f>+B7</f>
        <v>0</v>
      </c>
      <c r="AW7" s="12">
        <f>+C7</f>
        <v>40</v>
      </c>
    </row>
    <row r="8" spans="1:50" s="1" customFormat="1">
      <c r="A8" s="12">
        <v>1</v>
      </c>
      <c r="B8" s="12" t="s">
        <v>30</v>
      </c>
      <c r="C8" s="2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3"/>
      <c r="Z8" s="12"/>
      <c r="AA8" s="12"/>
      <c r="AB8" s="12"/>
      <c r="AC8" s="12"/>
      <c r="AD8" s="12"/>
      <c r="AE8" s="12"/>
      <c r="AF8" s="12"/>
      <c r="AH8" s="4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>
        <f>+AT7+AH8-AF8-AD8</f>
        <v>0</v>
      </c>
      <c r="AU8" s="3">
        <f>+AT4</f>
        <v>0</v>
      </c>
      <c r="AV8" s="12">
        <f>+AV7+AL8-AJ8</f>
        <v>0</v>
      </c>
      <c r="AW8" s="12">
        <f>+AW7+AN8-AP8</f>
        <v>40</v>
      </c>
    </row>
    <row r="9" spans="1:50" s="1" customFormat="1">
      <c r="A9" s="12">
        <v>2</v>
      </c>
      <c r="B9" s="12" t="s">
        <v>31</v>
      </c>
      <c r="C9" s="1" t="s">
        <v>31</v>
      </c>
      <c r="D9" s="1">
        <v>385</v>
      </c>
      <c r="E9" s="1">
        <v>42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3"/>
      <c r="Z9" s="12"/>
      <c r="AA9" s="12"/>
      <c r="AB9" s="12"/>
      <c r="AC9" s="12"/>
      <c r="AD9" s="12"/>
      <c r="AE9" s="12" t="s">
        <v>31</v>
      </c>
      <c r="AF9" s="12">
        <v>1</v>
      </c>
      <c r="AG9" s="1" t="s">
        <v>31</v>
      </c>
      <c r="AH9" s="4">
        <v>384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>
        <f>+AT8+AH9-AF9-AD9</f>
        <v>383</v>
      </c>
      <c r="AU9" s="3">
        <f>+AT5</f>
        <v>0</v>
      </c>
      <c r="AV9" s="12">
        <f>+AV8+AL9-AJ9</f>
        <v>0</v>
      </c>
      <c r="AW9" s="12">
        <f>+AW8+AN9-AP9</f>
        <v>40</v>
      </c>
    </row>
    <row r="10" spans="1:50" s="1" customFormat="1">
      <c r="A10" s="12">
        <v>3</v>
      </c>
      <c r="B10" s="12" t="s">
        <v>32</v>
      </c>
      <c r="C10" s="1" t="s">
        <v>32</v>
      </c>
      <c r="D10" s="1">
        <v>485</v>
      </c>
      <c r="E10" s="1">
        <v>50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3"/>
      <c r="Z10" s="12"/>
      <c r="AA10" s="12"/>
      <c r="AB10" s="12"/>
      <c r="AC10" s="12"/>
      <c r="AD10" s="12"/>
      <c r="AE10" s="12"/>
      <c r="AF10" s="12"/>
      <c r="AG10" s="1" t="s">
        <v>32</v>
      </c>
      <c r="AH10" s="4">
        <v>470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>
        <f>+AT9+AH10-AF10-AD10</f>
        <v>853</v>
      </c>
      <c r="AU10" s="3">
        <f>+AT6</f>
        <v>0</v>
      </c>
      <c r="AV10" s="12">
        <f>+AV9+AL10-AJ10</f>
        <v>0</v>
      </c>
      <c r="AW10" s="12">
        <f>+AW9+AN10-AP10</f>
        <v>40</v>
      </c>
    </row>
    <row r="11" spans="1:50" s="1" customFormat="1">
      <c r="A11" s="12">
        <v>4</v>
      </c>
      <c r="B11" s="12" t="s">
        <v>33</v>
      </c>
      <c r="C11" s="1" t="s">
        <v>33</v>
      </c>
      <c r="D11" s="1">
        <v>521</v>
      </c>
      <c r="E11" s="1">
        <v>63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3"/>
      <c r="Z11" s="12"/>
      <c r="AA11" s="12"/>
      <c r="AB11" s="12"/>
      <c r="AC11" s="12"/>
      <c r="AD11" s="12"/>
      <c r="AE11" s="12"/>
      <c r="AF11" s="12"/>
      <c r="AG11" s="1" t="s">
        <v>33</v>
      </c>
      <c r="AH11" s="4">
        <v>499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>
        <f>+AT10+AH11-AF11-AD11</f>
        <v>1352</v>
      </c>
      <c r="AU11" s="12">
        <f>+AT7</f>
        <v>0</v>
      </c>
      <c r="AV11" s="12">
        <f>+AV10+AL11-AJ11</f>
        <v>0</v>
      </c>
      <c r="AW11" s="12">
        <f>+AW10+AN11-AP11</f>
        <v>40</v>
      </c>
    </row>
    <row r="12" spans="1:50">
      <c r="A12" s="12">
        <v>5</v>
      </c>
      <c r="B12" s="12" t="s">
        <v>34</v>
      </c>
      <c r="C12" t="s">
        <v>34</v>
      </c>
      <c r="D12">
        <v>834</v>
      </c>
      <c r="E12">
        <v>113</v>
      </c>
      <c r="G12">
        <v>0</v>
      </c>
      <c r="H12">
        <v>0</v>
      </c>
      <c r="I12">
        <v>0</v>
      </c>
      <c r="J12">
        <v>0</v>
      </c>
      <c r="K12">
        <v>0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3"/>
      <c r="Z12" s="12"/>
      <c r="AA12" s="12"/>
      <c r="AB12" s="12"/>
      <c r="AC12" s="12"/>
      <c r="AD12" s="12"/>
      <c r="AE12" s="12" t="s">
        <v>34</v>
      </c>
      <c r="AF12" s="12">
        <v>1</v>
      </c>
      <c r="AG12" s="1" t="s">
        <v>34</v>
      </c>
      <c r="AH12" s="4">
        <v>798</v>
      </c>
      <c r="AQ12" s="12"/>
      <c r="AR12" s="12"/>
      <c r="AS12" s="12"/>
      <c r="AT12" s="12">
        <f>+AT11+AH12-AF12-AD12</f>
        <v>2149</v>
      </c>
      <c r="AU12" s="12">
        <f>+AT8</f>
        <v>0</v>
      </c>
      <c r="AV12" s="12">
        <f>+AV11+AL12-AJ12</f>
        <v>0</v>
      </c>
      <c r="AW12" s="12">
        <f>+AW11+AN12-AP12</f>
        <v>40</v>
      </c>
    </row>
    <row r="13" spans="1:50">
      <c r="A13" s="12">
        <v>6</v>
      </c>
      <c r="B13" s="12" t="s">
        <v>35</v>
      </c>
      <c r="C13" t="s">
        <v>35</v>
      </c>
      <c r="D13">
        <v>697</v>
      </c>
      <c r="E13">
        <v>94</v>
      </c>
      <c r="G13">
        <v>12</v>
      </c>
      <c r="H13">
        <v>4</v>
      </c>
      <c r="I13">
        <v>4</v>
      </c>
      <c r="J13">
        <v>4</v>
      </c>
      <c r="K13">
        <v>4</v>
      </c>
      <c r="L13" t="s">
        <v>35</v>
      </c>
      <c r="M13">
        <v>390</v>
      </c>
      <c r="N13" s="12">
        <v>4867</v>
      </c>
      <c r="O13" s="12">
        <v>202</v>
      </c>
      <c r="P13" s="12">
        <v>131</v>
      </c>
      <c r="Q13" s="12">
        <v>106</v>
      </c>
      <c r="R13" s="12">
        <v>0</v>
      </c>
      <c r="S13" s="12">
        <v>4428</v>
      </c>
      <c r="T13" s="12">
        <v>45417</v>
      </c>
      <c r="U13" s="12">
        <v>0</v>
      </c>
      <c r="V13" s="12">
        <v>353</v>
      </c>
      <c r="W13" s="12" t="s">
        <v>35</v>
      </c>
      <c r="X13" s="12">
        <v>144</v>
      </c>
      <c r="Y13" s="3">
        <v>1576</v>
      </c>
      <c r="Z13" s="12">
        <v>2985</v>
      </c>
      <c r="AA13" s="12" t="s">
        <v>35</v>
      </c>
      <c r="AB13" s="12">
        <v>176</v>
      </c>
      <c r="AC13" s="12" t="s">
        <v>35</v>
      </c>
      <c r="AD13" s="12">
        <v>11</v>
      </c>
      <c r="AE13" s="12" t="s">
        <v>35</v>
      </c>
      <c r="AF13" s="12">
        <v>14</v>
      </c>
      <c r="AG13" s="1" t="s">
        <v>35</v>
      </c>
      <c r="AH13" s="4">
        <v>661</v>
      </c>
      <c r="AQ13" s="12"/>
      <c r="AR13" s="12"/>
      <c r="AS13" s="12"/>
      <c r="AT13" s="12">
        <f>+AT12+AH13-AF13-AD13</f>
        <v>2785</v>
      </c>
      <c r="AU13" s="12">
        <f>+AT9</f>
        <v>383</v>
      </c>
      <c r="AV13" s="12">
        <f>+AV12+AL13-AJ13</f>
        <v>0</v>
      </c>
      <c r="AW13" s="12">
        <f>+AW12+AN13-AP13</f>
        <v>40</v>
      </c>
    </row>
    <row r="14" spans="1:50">
      <c r="A14" s="12">
        <v>7</v>
      </c>
      <c r="B14" s="12" t="s">
        <v>36</v>
      </c>
      <c r="C14" t="s">
        <v>36</v>
      </c>
      <c r="D14">
        <v>656</v>
      </c>
      <c r="E14">
        <v>78</v>
      </c>
      <c r="G14">
        <v>2575</v>
      </c>
      <c r="H14">
        <v>312</v>
      </c>
      <c r="I14">
        <v>312</v>
      </c>
      <c r="J14">
        <v>312</v>
      </c>
      <c r="K14">
        <v>241</v>
      </c>
      <c r="L14" t="s">
        <v>36</v>
      </c>
      <c r="M14">
        <v>519</v>
      </c>
      <c r="N14" s="12">
        <v>6424</v>
      </c>
      <c r="O14" s="12">
        <v>217</v>
      </c>
      <c r="P14" s="12">
        <v>209</v>
      </c>
      <c r="Q14" s="12">
        <v>99</v>
      </c>
      <c r="R14" s="12">
        <v>0</v>
      </c>
      <c r="S14" s="12">
        <v>5899</v>
      </c>
      <c r="T14" s="12">
        <v>60696</v>
      </c>
      <c r="U14" s="12">
        <v>0</v>
      </c>
      <c r="V14" s="12">
        <v>491</v>
      </c>
      <c r="W14" s="12" t="s">
        <v>36</v>
      </c>
      <c r="X14" s="12">
        <v>359</v>
      </c>
      <c r="Y14" s="3">
        <v>3870</v>
      </c>
      <c r="Z14" s="12">
        <v>7335</v>
      </c>
      <c r="AA14" s="12" t="s">
        <v>36</v>
      </c>
      <c r="AB14" s="12">
        <v>185</v>
      </c>
      <c r="AC14" s="12" t="s">
        <v>36</v>
      </c>
      <c r="AD14" s="12">
        <v>32</v>
      </c>
      <c r="AE14" s="12" t="s">
        <v>36</v>
      </c>
      <c r="AF14" s="12">
        <v>18</v>
      </c>
      <c r="AG14" s="1" t="s">
        <v>36</v>
      </c>
      <c r="AH14" s="4">
        <v>284</v>
      </c>
      <c r="AQ14" s="12"/>
      <c r="AR14" s="12"/>
      <c r="AS14" s="12"/>
      <c r="AT14" s="12">
        <f>+AT13+AH14-AF14-AD14</f>
        <v>3019</v>
      </c>
      <c r="AU14" s="12">
        <f>+AT10</f>
        <v>853</v>
      </c>
      <c r="AV14" s="12">
        <f>+AV13+AL14-AJ14</f>
        <v>0</v>
      </c>
      <c r="AW14" s="12">
        <f>+AW13+AN14-AP14</f>
        <v>40</v>
      </c>
    </row>
    <row r="15" spans="1:50">
      <c r="A15" s="12">
        <v>8</v>
      </c>
      <c r="B15" s="12" t="s">
        <v>37</v>
      </c>
      <c r="C15" t="s">
        <v>37</v>
      </c>
      <c r="D15">
        <v>679</v>
      </c>
      <c r="E15">
        <v>94</v>
      </c>
      <c r="G15">
        <v>4377</v>
      </c>
      <c r="H15">
        <v>442</v>
      </c>
      <c r="I15">
        <v>442</v>
      </c>
      <c r="J15">
        <v>442</v>
      </c>
      <c r="K15">
        <v>329</v>
      </c>
      <c r="L15" t="s">
        <v>37</v>
      </c>
      <c r="M15">
        <v>367</v>
      </c>
      <c r="N15" s="12">
        <v>4529</v>
      </c>
      <c r="O15" s="12">
        <v>164</v>
      </c>
      <c r="P15" s="12">
        <v>106</v>
      </c>
      <c r="Q15" s="12">
        <v>102</v>
      </c>
      <c r="R15" s="12">
        <v>0</v>
      </c>
      <c r="S15" s="12">
        <v>4157</v>
      </c>
      <c r="T15" s="12">
        <v>42775</v>
      </c>
      <c r="U15" s="12">
        <v>0</v>
      </c>
      <c r="V15" s="12">
        <v>344</v>
      </c>
      <c r="W15" s="12" t="s">
        <v>37</v>
      </c>
      <c r="X15" s="12">
        <v>593</v>
      </c>
      <c r="Y15" s="3">
        <v>6262</v>
      </c>
      <c r="Z15" s="12">
        <v>12147</v>
      </c>
      <c r="AA15" s="12" t="s">
        <v>37</v>
      </c>
      <c r="AB15" s="12">
        <v>175</v>
      </c>
      <c r="AC15" s="12" t="s">
        <v>37</v>
      </c>
      <c r="AD15" s="12">
        <v>49</v>
      </c>
      <c r="AE15" s="12" t="s">
        <v>37</v>
      </c>
      <c r="AF15" s="12">
        <v>14</v>
      </c>
      <c r="AG15" s="1" t="s">
        <v>37</v>
      </c>
      <c r="AH15" s="4">
        <v>165</v>
      </c>
      <c r="AQ15" s="12"/>
      <c r="AR15" s="12"/>
      <c r="AS15" s="12"/>
      <c r="AT15" s="12">
        <f>+AT14+AH15-AF15-AD15</f>
        <v>3121</v>
      </c>
      <c r="AU15" s="12">
        <f>+AT11</f>
        <v>1352</v>
      </c>
      <c r="AV15" s="12">
        <f>+AV14+AL15-AJ15</f>
        <v>0</v>
      </c>
      <c r="AW15" s="12">
        <f>+AW14+AN15-AP15</f>
        <v>40</v>
      </c>
    </row>
    <row r="16" spans="1:50">
      <c r="A16" s="12">
        <v>9</v>
      </c>
      <c r="B16" s="12" t="s">
        <v>38</v>
      </c>
      <c r="C16" t="s">
        <v>38</v>
      </c>
      <c r="D16">
        <v>629</v>
      </c>
      <c r="E16">
        <v>133</v>
      </c>
      <c r="G16">
        <v>5815</v>
      </c>
      <c r="H16">
        <v>386</v>
      </c>
      <c r="I16">
        <v>386</v>
      </c>
      <c r="J16">
        <v>386</v>
      </c>
      <c r="K16">
        <v>195</v>
      </c>
      <c r="L16" t="s">
        <v>38</v>
      </c>
      <c r="M16">
        <v>774</v>
      </c>
      <c r="N16" s="12">
        <v>9459</v>
      </c>
      <c r="O16" s="12">
        <v>348</v>
      </c>
      <c r="P16" s="12">
        <v>210</v>
      </c>
      <c r="Q16" s="12">
        <v>215</v>
      </c>
      <c r="R16" s="12">
        <v>0</v>
      </c>
      <c r="S16" s="12">
        <v>8686</v>
      </c>
      <c r="T16" s="12">
        <v>89977</v>
      </c>
      <c r="U16" s="12">
        <v>0</v>
      </c>
      <c r="V16" s="12">
        <v>715</v>
      </c>
      <c r="W16" s="12" t="s">
        <v>38</v>
      </c>
      <c r="X16" s="12">
        <v>521</v>
      </c>
      <c r="Y16" s="3">
        <v>5597</v>
      </c>
      <c r="Z16" s="12">
        <v>9841</v>
      </c>
      <c r="AA16" s="12" t="s">
        <v>38</v>
      </c>
      <c r="AB16" s="12">
        <v>352</v>
      </c>
      <c r="AC16" s="12" t="s">
        <v>38</v>
      </c>
      <c r="AD16" s="12">
        <v>50</v>
      </c>
      <c r="AE16" s="12" t="s">
        <v>38</v>
      </c>
      <c r="AF16" s="12">
        <v>18</v>
      </c>
      <c r="AG16" t="s">
        <v>38</v>
      </c>
      <c r="AH16" s="4">
        <v>148</v>
      </c>
      <c r="AQ16" s="12"/>
      <c r="AR16" s="12"/>
      <c r="AS16" s="12"/>
      <c r="AT16" s="12">
        <f>+AT15+AH16-AF16-AD16</f>
        <v>3201</v>
      </c>
      <c r="AU16" s="12">
        <f>+AT12</f>
        <v>2149</v>
      </c>
      <c r="AV16" s="12">
        <f>+AV15+AL16-AJ16</f>
        <v>0</v>
      </c>
      <c r="AW16" s="12">
        <f>+AW15+AN16-AP16</f>
        <v>40</v>
      </c>
    </row>
    <row r="17" spans="1:50">
      <c r="A17" s="12">
        <v>10</v>
      </c>
      <c r="B17" s="12" t="s">
        <v>39</v>
      </c>
      <c r="C17" t="s">
        <v>39</v>
      </c>
      <c r="D17">
        <v>660</v>
      </c>
      <c r="E17">
        <v>110</v>
      </c>
      <c r="G17">
        <v>7057</v>
      </c>
      <c r="H17">
        <v>530</v>
      </c>
      <c r="I17">
        <v>530</v>
      </c>
      <c r="J17">
        <v>530</v>
      </c>
      <c r="K17">
        <v>349</v>
      </c>
      <c r="L17" t="s">
        <v>39</v>
      </c>
      <c r="M17">
        <v>621</v>
      </c>
      <c r="N17" s="12">
        <v>7558</v>
      </c>
      <c r="O17" s="12">
        <v>226</v>
      </c>
      <c r="P17" s="12">
        <v>183</v>
      </c>
      <c r="Q17" s="12">
        <v>204</v>
      </c>
      <c r="R17" s="12">
        <v>0</v>
      </c>
      <c r="S17" s="12">
        <v>6945</v>
      </c>
      <c r="T17" s="12">
        <v>72359</v>
      </c>
      <c r="U17" s="12">
        <v>0</v>
      </c>
      <c r="V17" s="12">
        <v>564</v>
      </c>
      <c r="W17" s="12" t="s">
        <v>39</v>
      </c>
      <c r="X17" s="12">
        <v>610</v>
      </c>
      <c r="Y17" s="3">
        <v>6128</v>
      </c>
      <c r="Z17" s="12">
        <v>13169</v>
      </c>
      <c r="AA17" s="12" t="s">
        <v>39</v>
      </c>
      <c r="AB17" s="12">
        <v>831</v>
      </c>
      <c r="AC17" s="12" t="s">
        <v>39</v>
      </c>
      <c r="AD17" s="12">
        <v>233</v>
      </c>
      <c r="AE17" s="12" t="s">
        <v>39</v>
      </c>
      <c r="AF17" s="12">
        <v>20</v>
      </c>
      <c r="AG17" t="s">
        <v>39</v>
      </c>
      <c r="AH17" s="4">
        <v>41</v>
      </c>
      <c r="AQ17" s="12"/>
      <c r="AR17" s="12"/>
      <c r="AS17" s="12"/>
      <c r="AT17" s="12">
        <f>+AT16+AH17-AF17-AD17</f>
        <v>2989</v>
      </c>
      <c r="AU17" s="12">
        <f>+AT13</f>
        <v>2785</v>
      </c>
      <c r="AV17" s="12">
        <f>+AV16+AL17-AJ17</f>
        <v>0</v>
      </c>
      <c r="AW17" s="12">
        <f>+AW16+AN17-AP17</f>
        <v>40</v>
      </c>
    </row>
    <row r="18" spans="1:50">
      <c r="A18" s="12">
        <v>11</v>
      </c>
      <c r="B18" s="12" t="s">
        <v>40</v>
      </c>
      <c r="L18" t="s">
        <v>40</v>
      </c>
      <c r="M18">
        <v>455</v>
      </c>
      <c r="N18" s="12">
        <v>5473</v>
      </c>
      <c r="O18" s="12">
        <v>172</v>
      </c>
      <c r="P18" s="12">
        <v>110</v>
      </c>
      <c r="Q18" s="12">
        <v>143</v>
      </c>
      <c r="R18" s="12">
        <v>0</v>
      </c>
      <c r="S18" s="12">
        <v>5048</v>
      </c>
      <c r="T18" s="12">
        <v>52952</v>
      </c>
      <c r="U18" s="12">
        <v>0</v>
      </c>
      <c r="V18" s="12">
        <v>412</v>
      </c>
      <c r="W18" s="12" t="s">
        <v>40</v>
      </c>
      <c r="X18" s="12">
        <v>391</v>
      </c>
      <c r="Y18" s="3">
        <v>3523</v>
      </c>
      <c r="Z18" s="12">
        <v>9442</v>
      </c>
      <c r="AA18" s="12" t="s">
        <v>40</v>
      </c>
      <c r="AB18" s="12">
        <v>439</v>
      </c>
      <c r="AC18" s="12" t="s">
        <v>40</v>
      </c>
      <c r="AD18" s="12">
        <v>159</v>
      </c>
      <c r="AE18" s="12" t="s">
        <v>40</v>
      </c>
      <c r="AF18" s="12">
        <v>6</v>
      </c>
      <c r="AH18" s="4"/>
      <c r="AM18" s="12" t="s">
        <v>40</v>
      </c>
      <c r="AN18" s="12">
        <v>5</v>
      </c>
      <c r="AQ18" s="12"/>
      <c r="AR18" s="12"/>
      <c r="AS18" s="12"/>
      <c r="AT18" s="12">
        <f>+AT17+AH18-AF18-AD18</f>
        <v>2824</v>
      </c>
      <c r="AU18" s="12">
        <f>+AT14</f>
        <v>3019</v>
      </c>
      <c r="AV18" s="12">
        <f>+AV17+AL18-AJ18</f>
        <v>0</v>
      </c>
      <c r="AW18" s="12">
        <f>+AW17+AN18-AP18</f>
        <v>45</v>
      </c>
    </row>
    <row r="19" spans="1:50">
      <c r="A19" s="12">
        <v>12</v>
      </c>
      <c r="B19" t="s">
        <v>41</v>
      </c>
      <c r="C19" t="s">
        <v>41</v>
      </c>
      <c r="D19">
        <v>651</v>
      </c>
      <c r="E19">
        <v>69</v>
      </c>
      <c r="G19">
        <v>16109</v>
      </c>
      <c r="H19">
        <v>524</v>
      </c>
      <c r="I19">
        <v>524</v>
      </c>
      <c r="J19">
        <v>524</v>
      </c>
      <c r="K19">
        <v>184</v>
      </c>
      <c r="L19" t="s">
        <v>41</v>
      </c>
      <c r="M19">
        <v>521</v>
      </c>
      <c r="N19" s="1">
        <v>6241</v>
      </c>
      <c r="O19">
        <v>263</v>
      </c>
      <c r="P19" s="1">
        <v>137</v>
      </c>
      <c r="Q19" s="1">
        <v>128</v>
      </c>
      <c r="R19" s="1">
        <v>0</v>
      </c>
      <c r="S19" s="1">
        <v>5713</v>
      </c>
      <c r="T19" s="4">
        <v>60873</v>
      </c>
      <c r="U19" s="4">
        <v>0</v>
      </c>
      <c r="V19" s="4">
        <v>460</v>
      </c>
      <c r="W19" s="1" t="s">
        <v>41</v>
      </c>
      <c r="X19" s="1">
        <v>569</v>
      </c>
      <c r="Y19" s="1">
        <v>5213</v>
      </c>
      <c r="Z19" s="2">
        <v>17200</v>
      </c>
      <c r="AA19" t="s">
        <v>41</v>
      </c>
      <c r="AB19">
        <v>832</v>
      </c>
      <c r="AC19" t="s">
        <v>41</v>
      </c>
      <c r="AD19" s="1">
        <v>146</v>
      </c>
      <c r="AE19" s="3" t="s">
        <v>41</v>
      </c>
      <c r="AF19" s="3">
        <v>6</v>
      </c>
      <c r="AG19" t="s">
        <v>41</v>
      </c>
      <c r="AH19">
        <v>49</v>
      </c>
      <c r="AM19" s="12" t="s">
        <v>41</v>
      </c>
      <c r="AN19" s="12">
        <v>1</v>
      </c>
      <c r="AT19" s="12">
        <f>+AT18+AH19-AF19-AD19</f>
        <v>2721</v>
      </c>
      <c r="AU19" s="12">
        <f>+AT15</f>
        <v>3121</v>
      </c>
      <c r="AV19" s="12">
        <f>+AV18+AL19-AJ19</f>
        <v>0</v>
      </c>
      <c r="AW19" s="12">
        <f>+AW18+AN19-AP19</f>
        <v>46</v>
      </c>
    </row>
    <row r="20" spans="1:50">
      <c r="A20" s="12">
        <v>1001</v>
      </c>
      <c r="B20" t="s">
        <v>42</v>
      </c>
    </row>
    <row r="21" spans="1:50">
      <c r="A21" s="12">
        <v>1002</v>
      </c>
      <c r="B21" t="s">
        <v>43</v>
      </c>
    </row>
    <row r="22" spans="1:50">
      <c r="A22" s="12">
        <v>1003</v>
      </c>
      <c r="B22" t="s">
        <v>44</v>
      </c>
    </row>
    <row r="23" spans="1:50">
      <c r="A23" s="12">
        <v>1004</v>
      </c>
      <c r="B23" t="s">
        <v>45</v>
      </c>
    </row>
    <row r="24" spans="1:50">
      <c r="A24" s="12">
        <v>1005</v>
      </c>
      <c r="B24" t="s">
        <v>46</v>
      </c>
    </row>
    <row r="25" spans="1:50">
      <c r="A25" s="12">
        <v>1006</v>
      </c>
      <c r="B25" t="s">
        <v>47</v>
      </c>
    </row>
    <row r="26" spans="1:50">
      <c r="A26" s="12">
        <v>1007</v>
      </c>
      <c r="B26" t="s">
        <v>48</v>
      </c>
    </row>
    <row r="27" spans="1:50">
      <c r="A27" s="12">
        <v>1008</v>
      </c>
      <c r="B27" t="s">
        <v>49</v>
      </c>
    </row>
    <row r="28" spans="1:50">
      <c r="A28" s="12">
        <v>1009</v>
      </c>
      <c r="B28" t="s">
        <v>50</v>
      </c>
    </row>
    <row r="29" spans="1:50">
      <c r="A29" s="12">
        <v>1010</v>
      </c>
      <c r="B29" t="s">
        <v>51</v>
      </c>
    </row>
    <row r="30" spans="1:50">
      <c r="A30" s="12">
        <v>1011</v>
      </c>
      <c r="B30" t="s">
        <v>52</v>
      </c>
    </row>
    <row r="31" spans="1:50">
      <c r="A31" s="12">
        <v>1012</v>
      </c>
      <c r="B3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9"/>
  <sheetViews>
    <sheetView tabSelected="1" workbookViewId="0" showGridLines="true" showRowColHeaders="1">
      <selection activeCell="A14" sqref="A14"/>
    </sheetView>
  </sheetViews>
  <sheetFormatPr defaultRowHeight="14.4" defaultColWidth="8.42578125" outlineLevelRow="0" outlineLevelCol="0"/>
  <cols>
    <col min="1" max="1" width="8.42578125" style="4"/>
    <col min="2" max="2" width="10.85546875" customWidth="true" style="10"/>
    <col min="3" max="3" width="10" customWidth="true" style="10"/>
    <col min="4" max="4" width="8.42578125" style="8"/>
    <col min="5" max="5" width="8.42578125" style="8"/>
    <col min="6" max="6" width="8.42578125" style="8"/>
    <col min="7" max="7" width="8.42578125" style="8"/>
    <col min="8" max="8" width="6.28515625" customWidth="true" style="9"/>
    <col min="9" max="9" width="6.7109375" customWidth="true" style="8"/>
    <col min="10" max="10" width="10" customWidth="true" style="9"/>
    <col min="11" max="11" width="8.42578125" style="8"/>
    <col min="12" max="12" width="8.42578125" style="8"/>
    <col min="13" max="13" width="8.42578125" style="8"/>
    <col min="14" max="14" width="8.42578125" style="15"/>
    <col min="15" max="15" width="10" customWidth="true" style="9"/>
    <col min="16" max="16" width="10" customWidth="true" style="9"/>
    <col min="17" max="17" width="10" customWidth="true" style="9"/>
    <col min="18" max="18" width="10" customWidth="true" style="9"/>
    <col min="19" max="19" width="8.42578125" style="8"/>
    <col min="20" max="20" width="7.42578125" customWidth="true" style="8"/>
    <col min="21" max="21" width="6.7109375" customWidth="true" style="9"/>
    <col min="22" max="22" width="8.42578125" style="8"/>
    <col min="23" max="23" width="10" customWidth="true" style="9"/>
    <col min="24" max="24" width="8.42578125" style="8"/>
    <col min="25" max="25" width="10" customWidth="true" style="9"/>
    <col min="26" max="26" width="8.42578125" style="8"/>
    <col min="27" max="27" width="8.42578125" style="8"/>
    <col min="28" max="28" width="8.42578125" style="8"/>
    <col min="29" max="29" width="10" customWidth="true" style="9"/>
    <col min="30" max="30" width="8.42578125" style="8"/>
    <col min="31" max="31" width="10" customWidth="true" style="9"/>
    <col min="32" max="32" width="10" customWidth="true" style="9"/>
    <col min="33" max="33" width="10" customWidth="true" style="9"/>
    <col min="34" max="34" width="10" customWidth="true" style="9"/>
    <col min="35" max="35" width="10" customWidth="true" style="9"/>
    <col min="36" max="36" width="10" customWidth="true" style="8"/>
    <col min="37" max="37" width="8.42578125" style="8"/>
    <col min="38" max="38" width="10" customWidth="true" style="9"/>
    <col min="39" max="39" width="8.42578125" style="8"/>
    <col min="40" max="40" width="8.42578125" style="8"/>
    <col min="41" max="41" width="10" customWidth="true" style="9"/>
    <col min="42" max="42" width="10" customWidth="true" style="9"/>
    <col min="43" max="43" width="8.42578125" style="8"/>
    <col min="44" max="44" width="8.42578125" style="10"/>
  </cols>
  <sheetData>
    <row r="1" spans="1:44" customHeight="1" ht="45">
      <c r="A1" s="4">
        <f>IF(A14=0,-2,A14)</f>
        <v>12</v>
      </c>
      <c r="C1" s="10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9" t="s">
        <v>59</v>
      </c>
      <c r="I1" s="7" t="s">
        <v>60</v>
      </c>
      <c r="J1" s="9" t="s">
        <v>61</v>
      </c>
      <c r="K1" s="7" t="s">
        <v>62</v>
      </c>
      <c r="L1" s="15" t="s">
        <v>63</v>
      </c>
      <c r="M1" s="8" t="s">
        <v>64</v>
      </c>
      <c r="N1" s="15" t="s">
        <v>65</v>
      </c>
      <c r="O1" s="9" t="s">
        <v>66</v>
      </c>
      <c r="P1" s="9" t="s">
        <v>67</v>
      </c>
      <c r="Q1" s="9" t="s">
        <v>68</v>
      </c>
      <c r="R1" s="9" t="s">
        <v>69</v>
      </c>
      <c r="S1" s="8" t="s">
        <v>70</v>
      </c>
      <c r="T1" s="8" t="s">
        <v>71</v>
      </c>
      <c r="U1" s="9" t="s">
        <v>72</v>
      </c>
      <c r="V1" s="8" t="s">
        <v>73</v>
      </c>
      <c r="W1" s="9" t="s">
        <v>74</v>
      </c>
      <c r="X1" s="18" t="s">
        <v>75</v>
      </c>
      <c r="Y1" s="18" t="s">
        <v>76</v>
      </c>
      <c r="Z1" s="18" t="s">
        <v>77</v>
      </c>
      <c r="AA1" s="8" t="s">
        <v>78</v>
      </c>
      <c r="AB1" s="18" t="s">
        <v>79</v>
      </c>
      <c r="AC1" s="9" t="s">
        <v>80</v>
      </c>
      <c r="AD1" s="8" t="s">
        <v>81</v>
      </c>
      <c r="AE1" s="9" t="s">
        <v>82</v>
      </c>
      <c r="AF1" s="9" t="s">
        <v>83</v>
      </c>
      <c r="AG1" s="9" t="s">
        <v>84</v>
      </c>
      <c r="AH1" s="9" t="s">
        <v>85</v>
      </c>
      <c r="AI1" s="16" t="s">
        <v>86</v>
      </c>
      <c r="AJ1" s="8" t="s">
        <v>87</v>
      </c>
      <c r="AK1" s="8" t="s">
        <v>88</v>
      </c>
      <c r="AL1" s="9" t="s">
        <v>89</v>
      </c>
      <c r="AM1" s="8" t="s">
        <v>90</v>
      </c>
      <c r="AN1" s="8" t="s">
        <v>91</v>
      </c>
      <c r="AO1" s="9" t="s">
        <v>92</v>
      </c>
      <c r="AP1" s="9" t="s">
        <v>93</v>
      </c>
      <c r="AR1" s="10" t="s">
        <v>94</v>
      </c>
    </row>
    <row r="2" spans="1:44">
      <c r="A2" s="12">
        <f>+IFERROR(B2+B3+B4+B5+B6+B7+B8+B9+B10+B11+B12+B13,1)</f>
        <v>1</v>
      </c>
      <c r="B2" s="10">
        <f>IF(+data!C8&amp;"-"="-",0,+data!C8&amp;"-")</f>
        <v>0</v>
      </c>
      <c r="C2" s="10">
        <f>IF(A2=1,1,$C$14)</f>
        <v>1</v>
      </c>
      <c r="D2" s="11">
        <f>IFERROR(IF(A2=1,+data!AT8,D$14),0)</f>
        <v>0</v>
      </c>
      <c r="E2" s="11">
        <f>+data!AW8</f>
        <v>40</v>
      </c>
      <c r="F2" s="11">
        <f>+data!AV8</f>
        <v>0</v>
      </c>
      <c r="G2" s="8">
        <f>+IF($A2=1,data!AD8,G$14)</f>
        <v>0</v>
      </c>
      <c r="H2" s="9">
        <f>+IF($A2=1,+IFERROR(G2/D2*100,0),H$14)</f>
        <v>0</v>
      </c>
      <c r="I2" s="8">
        <f>+IF($A2=1,data!AF8,I$14)</f>
        <v>0</v>
      </c>
      <c r="J2" s="9">
        <f>+IF($A2=1,IFERROR(I2/D2*100,0),J$14)</f>
        <v>0</v>
      </c>
      <c r="K2" s="8">
        <f>+IF($A2=1,data!D8,K$14)</f>
        <v>0</v>
      </c>
      <c r="L2" s="8">
        <f>+IF($A2=1,data!F8,L$14)</f>
        <v>0</v>
      </c>
      <c r="M2" s="8">
        <f>+IF($A2=1,data!AH8,M$14)</f>
        <v>0</v>
      </c>
      <c r="N2" s="15">
        <f>IF(A2=1,+data!I8,$N$14)</f>
        <v>0</v>
      </c>
      <c r="O2" s="9">
        <f>+IFERROR(IF($A2=1,IFERROR(data!G8/data!I8,0),O$14),0)</f>
        <v>0</v>
      </c>
      <c r="P2" s="9">
        <f>IFERROR(IF($A2=1,IFERROR(data!K8/data!I8*100,0),P$14),0)</f>
        <v>0</v>
      </c>
      <c r="Q2" s="11">
        <f>IF(A2=1,+data!E8,$Q$14)</f>
        <v>0</v>
      </c>
      <c r="R2" s="9">
        <f>+IFERROR((K2-Q2)/K2*100,0)</f>
        <v>0</v>
      </c>
      <c r="S2" s="8">
        <f>+IF($A2=1,data!M8,S$14)</f>
        <v>0</v>
      </c>
      <c r="T2" s="8">
        <f>+IF($A2=1,data!N8,T$14)</f>
        <v>0</v>
      </c>
      <c r="U2" s="9">
        <f>+IF($A2=1,IFERROR(+T2/S2,0),U$14)</f>
        <v>0</v>
      </c>
      <c r="V2" s="8">
        <f>+IF($A2=1,data!O8,V$14)</f>
        <v>0</v>
      </c>
      <c r="W2" s="9">
        <f>+IF($A2=1,IFERROR(V2/T2*100,0),W$14)</f>
        <v>0</v>
      </c>
      <c r="X2" s="8">
        <f>+IF($A2=1,data!P8,X$14)</f>
        <v>0</v>
      </c>
      <c r="Y2" s="9">
        <f>+IF($A2=1,IFERROR(X2/T2*100,0),Y$14)</f>
        <v>0</v>
      </c>
      <c r="Z2" s="8">
        <f>+IF($A2=1,data!R8,Z$14)</f>
        <v>0</v>
      </c>
      <c r="AA2" s="8">
        <f>+IF($A2=1,IFERROR(Z2/T2*100,0),AA$14)</f>
        <v>0</v>
      </c>
      <c r="AB2" s="8">
        <f>+IF($A2=1,data!Q8,AB$14)</f>
        <v>0</v>
      </c>
      <c r="AC2" s="9">
        <f>+IF($A2=1,IFERROR(AB2/T2*100,0),AC$14)</f>
        <v>0</v>
      </c>
      <c r="AD2" s="8">
        <f>+IF($A2=1,data!S8,AD$14)</f>
        <v>0</v>
      </c>
      <c r="AE2" s="9">
        <f>+IF($A2=1,IFERROR(AD2/S2,0),AE$14)</f>
        <v>0</v>
      </c>
      <c r="AF2" s="9">
        <f>+IFERROR(IF($A2=1,IFERROR(+(data!M8-data!V8)/S2*100,0),AF$14),0)</f>
        <v>0</v>
      </c>
      <c r="AG2" s="9">
        <f>+IFERROR(IF($A2=1,IFERROR(data!U8/data!S8,0),AG$14),0)</f>
        <v>0</v>
      </c>
      <c r="AH2" s="9">
        <f>+IFERROR(IF($A2=1,IFERROR(data!T8/data!M8,0),AH$14),0)</f>
        <v>0</v>
      </c>
      <c r="AI2" s="16">
        <f>+IF($A2=1,IFERROR(S2*12/data!AT4,0),AI$14)</f>
        <v>0</v>
      </c>
      <c r="AJ2" s="8">
        <f>+IF($A2=1,data!X8,AJ$14)</f>
        <v>0</v>
      </c>
      <c r="AK2" s="8">
        <f>+IF($A2=1,data!Y8,AK$14)</f>
        <v>0</v>
      </c>
      <c r="AL2" s="9">
        <f>+IF($A2=1,IFERROR(AK2/AJ2,0),AL$14)</f>
        <v>0</v>
      </c>
      <c r="AM2" s="8">
        <f>+IF($A2=1,data!AB8,AM$14)</f>
        <v>0</v>
      </c>
      <c r="AN2" s="9">
        <f>+IF($A2=1,IFERROR(AM2/AD2*100,0),AN$14)</f>
        <v>0</v>
      </c>
      <c r="AO2" s="9">
        <f>+IFERROR(IF($A2=1,IFERROR(data!Z8/data!X8,0),AO$14),0)</f>
        <v>0</v>
      </c>
      <c r="AP2" s="9">
        <f>+IF($A2=1,IFERROR(AK2*12/data!AT4,0),AP$14)</f>
        <v>0</v>
      </c>
      <c r="AR2" s="10">
        <f>+IF(A2=1,data!AU8,0)</f>
        <v>0</v>
      </c>
    </row>
    <row r="3" spans="1:44">
      <c r="A3" s="12">
        <f>IFERROR(+B3+B4+B5+B6+B7+B8+B9+B10+B11+B12+B13,1)</f>
        <v>1</v>
      </c>
      <c r="B3" s="10" t="str">
        <f>IF(+data!C9&amp;"-"="-",0,+data!C9&amp;"-")</f>
        <v>2020-2-</v>
      </c>
      <c r="C3" s="10">
        <f>IF(A3=1,C2+1,$C$14)</f>
        <v>2</v>
      </c>
      <c r="D3" s="11">
        <f>IFERROR(IF(A3=1,+data!AT9,D$14),0)</f>
        <v>383</v>
      </c>
      <c r="E3" s="11">
        <f>+data!AW9</f>
        <v>40</v>
      </c>
      <c r="F3" s="11">
        <f>+data!AV9</f>
        <v>0</v>
      </c>
      <c r="G3" s="15">
        <f>+IF($A3=1,data!AD9,G$14)</f>
        <v>0</v>
      </c>
      <c r="H3" s="9">
        <f>+IF($A3=1,+IFERROR(G3/D3*100,0),H$14)</f>
        <v>0</v>
      </c>
      <c r="I3" s="15">
        <f>+IF($A3=1,data!AF9,I$14)</f>
        <v>1</v>
      </c>
      <c r="J3" s="9">
        <f>+IF($A3=1,IFERROR(I3/D3*100,0),J$14)</f>
        <v>0.26109660574413</v>
      </c>
      <c r="K3" s="15">
        <f>+IF($A3=1,data!D9,K$14)</f>
        <v>385</v>
      </c>
      <c r="L3" s="15">
        <f>+IF($A3=1,data!F9,L$14)</f>
        <v>0</v>
      </c>
      <c r="M3" s="15">
        <f>+IF($A3=1,data!AH9,M$14)</f>
        <v>384</v>
      </c>
      <c r="N3" s="18">
        <f>IF(A3=1,+data!I9,$N$14)</f>
        <v>0</v>
      </c>
      <c r="O3" s="9">
        <f>+IFERROR(IF($A3=1,IFERROR(data!G9/data!I9,0),O$14),0)</f>
        <v>0</v>
      </c>
      <c r="P3" s="9">
        <f>IFERROR(IF($A3=1,IFERROR(data!K9/data!I9*100,0),P$14),0)</f>
        <v>0</v>
      </c>
      <c r="Q3" s="11">
        <f>IF(A3=1,+data!E9,$Q$14)</f>
        <v>42</v>
      </c>
      <c r="R3" s="9">
        <f>+IFERROR((K3-Q3)/K3*100,0)</f>
        <v>89.090909090909</v>
      </c>
      <c r="S3" s="15">
        <f>+IF($A3=1,data!M9,S$14)</f>
        <v>0</v>
      </c>
      <c r="T3" s="15">
        <f>+IF($A3=1,data!N9,T$14)</f>
        <v>0</v>
      </c>
      <c r="U3" s="9">
        <f>+IF($A3=1,IFERROR(+T3/S3,0),U$14)</f>
        <v>0</v>
      </c>
      <c r="V3" s="15">
        <f>+IF($A3=1,data!O9,V$14)</f>
        <v>0</v>
      </c>
      <c r="W3" s="9">
        <f>+IF($A3=1,IFERROR(V3/T3*100,0),W$14)</f>
        <v>0</v>
      </c>
      <c r="X3" s="15">
        <f>+IF($A3=1,data!P9,X$14)</f>
        <v>0</v>
      </c>
      <c r="Y3" s="9">
        <f>+IF($A3=1,IFERROR(X3/T3*100,0),Y$14)</f>
        <v>0</v>
      </c>
      <c r="Z3" s="15">
        <f>+IF($A3=1,data!R9,Z$14)</f>
        <v>0</v>
      </c>
      <c r="AA3" s="15">
        <f>+IF($A3=1,IFERROR(Z3/T3*100,0),AA$14)</f>
        <v>0</v>
      </c>
      <c r="AB3" s="15">
        <f>+IF($A3=1,data!Q9,AB$14)</f>
        <v>0</v>
      </c>
      <c r="AC3" s="9">
        <f>+IF($A3=1,IFERROR(AB3/T3*100,0),AC$14)</f>
        <v>0</v>
      </c>
      <c r="AD3" s="15">
        <f>+IF($A3=1,data!S9,AD$14)</f>
        <v>0</v>
      </c>
      <c r="AE3" s="9">
        <f>+IF($A3=1,IFERROR(AD3/S3,0),AE$14)</f>
        <v>0</v>
      </c>
      <c r="AF3" s="9">
        <f>+IFERROR(IF($A3=1,IFERROR(+(data!M9-data!V9)/S3*100,0),AF$14),0)</f>
        <v>0</v>
      </c>
      <c r="AG3" s="9">
        <f>+IFERROR(IF($A3=1,IFERROR(data!U9/data!S9,0),AG$14),0)</f>
        <v>0</v>
      </c>
      <c r="AH3" s="9">
        <f>+IFERROR(IF($A3=1,IFERROR(data!T9/data!M9,0),AH$14),0)</f>
        <v>0</v>
      </c>
      <c r="AI3" s="16">
        <f>+IF($A3=1,IFERROR(S3*12/data!AT5,0),AI$14)</f>
        <v>0</v>
      </c>
      <c r="AJ3" s="15">
        <f>+IF($A3=1,data!X9,AJ$14)</f>
        <v>0</v>
      </c>
      <c r="AK3" s="15">
        <f>+IF($A3=1,data!Y9,AK$14)</f>
        <v>0</v>
      </c>
      <c r="AL3" s="9">
        <f>+IF($A3=1,IFERROR(AK3/AJ3,0),AL$14)</f>
        <v>0</v>
      </c>
      <c r="AM3" s="15">
        <f>+IF($A3=1,data!AB9,AM$14)</f>
        <v>0</v>
      </c>
      <c r="AN3" s="9">
        <f>+IF($A3=1,IFERROR(AM3/AD3*100,0),AN$14)</f>
        <v>0</v>
      </c>
      <c r="AO3" s="9">
        <f>+IFERROR(IF($A3=1,IFERROR(data!Z9/data!X9,0),AO$14),0)</f>
        <v>0</v>
      </c>
      <c r="AP3" s="9">
        <f>+IF($A3=1,IFERROR(AK3*12/data!AT5,0),AP$14)</f>
        <v>0</v>
      </c>
      <c r="AR3" s="10">
        <f>+IF(A3=1,data!AU9,0)</f>
        <v>0</v>
      </c>
    </row>
    <row r="4" spans="1:44">
      <c r="A4" s="12">
        <f>IFERROR(+B4+B5+B6+B7+B8+B9+B10+B11+B12+B13,1)</f>
        <v>1</v>
      </c>
      <c r="B4" s="10" t="str">
        <f>IF(+data!C10&amp;"-"="-",0,+data!C10&amp;"-")</f>
        <v>2020-3-</v>
      </c>
      <c r="C4" s="10">
        <f>IF(A4=1,C3+1,$C$14)</f>
        <v>3</v>
      </c>
      <c r="D4" s="11">
        <f>IFERROR(IF(A4=1,+data!AT10,D$14),0)</f>
        <v>853</v>
      </c>
      <c r="E4" s="11">
        <f>+data!AW10</f>
        <v>40</v>
      </c>
      <c r="F4" s="11">
        <f>+data!AV10</f>
        <v>0</v>
      </c>
      <c r="G4" s="15">
        <f>+IF($A4=1,data!AD10,G$14)</f>
        <v>0</v>
      </c>
      <c r="H4" s="9">
        <f>+IF($A4=1,+IFERROR(G4/D4*100,0),H$14)</f>
        <v>0</v>
      </c>
      <c r="I4" s="15">
        <f>+IF($A4=1,data!AF10,I$14)</f>
        <v>0</v>
      </c>
      <c r="J4" s="9">
        <f>+IF($A4=1,IFERROR(I4/D4*100,0),J$14)</f>
        <v>0</v>
      </c>
      <c r="K4" s="15">
        <f>+IF($A4=1,data!D10,K$14)</f>
        <v>485</v>
      </c>
      <c r="L4" s="15">
        <f>+IF($A4=1,data!F10,L$14)</f>
        <v>0</v>
      </c>
      <c r="M4" s="15">
        <f>+IF($A4=1,data!AH10,M$14)</f>
        <v>470</v>
      </c>
      <c r="N4" s="18">
        <f>IF(A4=1,+data!I10,$N$14)</f>
        <v>0</v>
      </c>
      <c r="O4" s="9">
        <f>+IFERROR(IF($A4=1,IFERROR(data!G10/data!I10,0),O$14),0)</f>
        <v>0</v>
      </c>
      <c r="P4" s="9">
        <f>IFERROR(IF($A4=1,IFERROR(data!K10/data!I10*100,0),P$14),0)</f>
        <v>0</v>
      </c>
      <c r="Q4" s="11">
        <f>IF(A4=1,+data!E10,$Q$14)</f>
        <v>50</v>
      </c>
      <c r="R4" s="9">
        <f>+IFERROR((K4-Q4)/K4*100,0)</f>
        <v>89.690721649485</v>
      </c>
      <c r="S4" s="15">
        <f>+IF($A4=1,data!M10,S$14)</f>
        <v>0</v>
      </c>
      <c r="T4" s="15">
        <f>+IF($A4=1,data!N10,T$14)</f>
        <v>0</v>
      </c>
      <c r="U4" s="9">
        <f>+IF($A4=1,IFERROR(+T4/S4,0),U$14)</f>
        <v>0</v>
      </c>
      <c r="V4" s="15">
        <f>+IF($A4=1,data!O10,V$14)</f>
        <v>0</v>
      </c>
      <c r="W4" s="9">
        <f>+IF($A4=1,IFERROR(V4/T4*100,0),W$14)</f>
        <v>0</v>
      </c>
      <c r="X4" s="15">
        <f>+IF($A4=1,data!P10,X$14)</f>
        <v>0</v>
      </c>
      <c r="Y4" s="9">
        <f>+IF($A4=1,IFERROR(X4/T4*100,0),Y$14)</f>
        <v>0</v>
      </c>
      <c r="Z4" s="15">
        <f>+IF($A4=1,data!R10,Z$14)</f>
        <v>0</v>
      </c>
      <c r="AA4" s="15">
        <f>+IF($A4=1,IFERROR(Z4/T4*100,0),AA$14)</f>
        <v>0</v>
      </c>
      <c r="AB4" s="15">
        <f>+IF($A4=1,data!Q10,AB$14)</f>
        <v>0</v>
      </c>
      <c r="AC4" s="9">
        <f>+IF($A4=1,IFERROR(AB4/T4*100,0),AC$14)</f>
        <v>0</v>
      </c>
      <c r="AD4" s="15">
        <f>+IF($A4=1,data!S10,AD$14)</f>
        <v>0</v>
      </c>
      <c r="AE4" s="9">
        <f>+IF($A4=1,IFERROR(AD4/S4,0),AE$14)</f>
        <v>0</v>
      </c>
      <c r="AF4" s="9">
        <f>+IFERROR(IF($A4=1,IFERROR(+(data!M10-data!V10)/S4*100,0),AF$14),0)</f>
        <v>0</v>
      </c>
      <c r="AG4" s="9">
        <f>+IFERROR(IF($A4=1,IFERROR(data!U10/data!S10,0),AG$14),0)</f>
        <v>0</v>
      </c>
      <c r="AH4" s="9">
        <f>+IFERROR(IF($A4=1,IFERROR(data!T10/data!M10,0),AH$14),0)</f>
        <v>0</v>
      </c>
      <c r="AI4" s="16">
        <f>+IF($A4=1,IFERROR(S4*12/data!AT6,0),AI$14)</f>
        <v>0</v>
      </c>
      <c r="AJ4" s="15">
        <f>+IF($A4=1,data!X10,AJ$14)</f>
        <v>0</v>
      </c>
      <c r="AK4" s="15">
        <f>+IF($A4=1,data!Y10,AK$14)</f>
        <v>0</v>
      </c>
      <c r="AL4" s="9">
        <f>+IF($A4=1,IFERROR(AK4/AJ4,0),AL$14)</f>
        <v>0</v>
      </c>
      <c r="AM4" s="15">
        <f>+IF($A4=1,data!AB10,AM$14)</f>
        <v>0</v>
      </c>
      <c r="AN4" s="9">
        <f>+IF($A4=1,IFERROR(AM4/AD4*100,0),AN$14)</f>
        <v>0</v>
      </c>
      <c r="AO4" s="9">
        <f>+IFERROR(IF($A4=1,IFERROR(data!Z10/data!X10,0),AO$14),0)</f>
        <v>0</v>
      </c>
      <c r="AP4" s="9">
        <f>+IF($A4=1,IFERROR(AK4*12/data!AT6,0),AP$14)</f>
        <v>0</v>
      </c>
      <c r="AR4" s="10">
        <f>+IF(A4=1,data!AU10,0)</f>
        <v>0</v>
      </c>
    </row>
    <row r="5" spans="1:44">
      <c r="A5" s="12">
        <f>+IFERROR(B5+B6+B7+B8+B9+B10+B11+B12+B13,1)</f>
        <v>1</v>
      </c>
      <c r="B5" s="10" t="str">
        <f>IF(+data!C11&amp;"-"="-",0,+data!C11&amp;"-")</f>
        <v>2020-4-</v>
      </c>
      <c r="C5" s="10">
        <f>IF(A5=1,C4+1,$C$14)</f>
        <v>4</v>
      </c>
      <c r="D5" s="11">
        <f>IFERROR(IF(A5=1,+data!AT11,D$14),0)</f>
        <v>1352</v>
      </c>
      <c r="E5" s="11">
        <f>+data!AW11</f>
        <v>40</v>
      </c>
      <c r="F5" s="11">
        <f>+data!AV11</f>
        <v>0</v>
      </c>
      <c r="G5" s="15">
        <f>+IF($A5=1,data!AD11,G$14)</f>
        <v>0</v>
      </c>
      <c r="H5" s="9">
        <f>+IF($A5=1,+IFERROR(G5/D5*100,0),H$14)</f>
        <v>0</v>
      </c>
      <c r="I5" s="15">
        <f>+IF($A5=1,data!AF11,I$14)</f>
        <v>0</v>
      </c>
      <c r="J5" s="9">
        <f>+IF($A5=1,IFERROR(I5/D5*100,0),J$14)</f>
        <v>0</v>
      </c>
      <c r="K5" s="15">
        <f>+IF($A5=1,data!D11,K$14)</f>
        <v>521</v>
      </c>
      <c r="L5" s="15">
        <f>+IF($A5=1,data!F11,L$14)</f>
        <v>0</v>
      </c>
      <c r="M5" s="15">
        <f>+IF($A5=1,data!AH11,M$14)</f>
        <v>499</v>
      </c>
      <c r="N5" s="18">
        <f>IF(A5=1,+data!I11,$N$14)</f>
        <v>0</v>
      </c>
      <c r="O5" s="9">
        <f>+IFERROR(IF($A5=1,IFERROR(data!G11/data!I11,0),O$14),0)</f>
        <v>0</v>
      </c>
      <c r="P5" s="9">
        <f>IFERROR(IF($A5=1,IFERROR(data!K11/data!I11*100,0),P$14),0)</f>
        <v>0</v>
      </c>
      <c r="Q5" s="11">
        <f>IF(A5=1,+data!E11,$Q$14)</f>
        <v>63</v>
      </c>
      <c r="R5" s="9">
        <f>+IFERROR((K5-Q5)/K5*100,0)</f>
        <v>87.907869481766</v>
      </c>
      <c r="S5" s="15">
        <f>+IF($A5=1,data!M11,S$14)</f>
        <v>0</v>
      </c>
      <c r="T5" s="15">
        <f>+IF($A5=1,data!N11,T$14)</f>
        <v>0</v>
      </c>
      <c r="U5" s="9">
        <f>+IF($A5=1,IFERROR(+T5/S5,0),U$14)</f>
        <v>0</v>
      </c>
      <c r="V5" s="15">
        <f>+IF($A5=1,data!O11,V$14)</f>
        <v>0</v>
      </c>
      <c r="W5" s="9">
        <f>+IF($A5=1,IFERROR(V5/T5*100,0),W$14)</f>
        <v>0</v>
      </c>
      <c r="X5" s="15">
        <f>+IF($A5=1,data!P11,X$14)</f>
        <v>0</v>
      </c>
      <c r="Y5" s="9">
        <f>+IF($A5=1,IFERROR(X5/T5*100,0),Y$14)</f>
        <v>0</v>
      </c>
      <c r="Z5" s="15">
        <f>+IF($A5=1,data!R11,Z$14)</f>
        <v>0</v>
      </c>
      <c r="AA5" s="15">
        <f>+IF($A5=1,IFERROR(Z5/T5*100,0),AA$14)</f>
        <v>0</v>
      </c>
      <c r="AB5" s="15">
        <f>+IF($A5=1,data!Q11,AB$14)</f>
        <v>0</v>
      </c>
      <c r="AC5" s="9">
        <f>+IF($A5=1,IFERROR(AB5/T5*100,0),AC$14)</f>
        <v>0</v>
      </c>
      <c r="AD5" s="15">
        <f>+IF($A5=1,data!S11,AD$14)</f>
        <v>0</v>
      </c>
      <c r="AE5" s="9">
        <f>+IF($A5=1,IFERROR(AD5/S5,0),AE$14)</f>
        <v>0</v>
      </c>
      <c r="AF5" s="9">
        <f>+IFERROR(IF($A5=1,IFERROR(+(data!M11-data!V11)/S5*100,0),AF$14),0)</f>
        <v>0</v>
      </c>
      <c r="AG5" s="9">
        <f>+IFERROR(IF($A5=1,IFERROR(data!U11/data!S11,0),AG$14),0)</f>
        <v>0</v>
      </c>
      <c r="AH5" s="9">
        <f>+IFERROR(IF($A5=1,IFERROR(data!T11/data!M11,0),AH$14),0)</f>
        <v>0</v>
      </c>
      <c r="AI5" s="16">
        <f>+IF($A5=1,IFERROR(S5*12/data!AT7,0),AI$14)</f>
        <v>0</v>
      </c>
      <c r="AJ5" s="15">
        <f>+IF($A5=1,data!X11,AJ$14)</f>
        <v>0</v>
      </c>
      <c r="AK5" s="15">
        <f>+IF($A5=1,data!Y11,AK$14)</f>
        <v>0</v>
      </c>
      <c r="AL5" s="9">
        <f>+IF($A5=1,IFERROR(AK5/AJ5,0),AL$14)</f>
        <v>0</v>
      </c>
      <c r="AM5" s="15">
        <f>+IF($A5=1,data!AB11,AM$14)</f>
        <v>0</v>
      </c>
      <c r="AN5" s="9">
        <f>+IF($A5=1,IFERROR(AM5/AD5*100,0),AN$14)</f>
        <v>0</v>
      </c>
      <c r="AO5" s="9">
        <f>+IFERROR(IF($A5=1,IFERROR(data!Z11/data!X11,0),AO$14),0)</f>
        <v>0</v>
      </c>
      <c r="AP5" s="9">
        <f>+IF($A5=1,IFERROR(AK5*12/data!AT7,0),AP$14)</f>
        <v>0</v>
      </c>
      <c r="AR5" s="10">
        <f>+IF(A5=1,data!AU11,0)</f>
        <v>0</v>
      </c>
    </row>
    <row r="6" spans="1:44">
      <c r="A6" s="12">
        <f>IFERROR(+B6+B7+B8+B9+B10+B11+B12+B13,1)</f>
        <v>1</v>
      </c>
      <c r="B6" s="10" t="str">
        <f>IF(+data!C12&amp;"-"="-",0,+data!C12&amp;"-")</f>
        <v>2020-5-</v>
      </c>
      <c r="C6" s="10">
        <f>IF(A6=1,C5+1,$C$14)</f>
        <v>5</v>
      </c>
      <c r="D6" s="11">
        <f>IFERROR(IF(A6=1,+data!AT12,D$14),0)</f>
        <v>2149</v>
      </c>
      <c r="E6" s="11">
        <f>+data!AW12</f>
        <v>40</v>
      </c>
      <c r="F6" s="11">
        <f>+data!AV12</f>
        <v>0</v>
      </c>
      <c r="G6" s="15">
        <f>+IF($A6=1,data!AD12,G$14)</f>
        <v>0</v>
      </c>
      <c r="H6" s="9">
        <f>+IF($A6=1,+IFERROR(G6/D6*100,0),H$14)</f>
        <v>0</v>
      </c>
      <c r="I6" s="15">
        <f>+IF($A6=1,data!AF12,I$14)</f>
        <v>1</v>
      </c>
      <c r="J6" s="9">
        <f>+IF($A6=1,IFERROR(I6/D6*100,0),J$14)</f>
        <v>0.046533271288972</v>
      </c>
      <c r="K6" s="15">
        <f>+IF($A6=1,data!D12,K$14)</f>
        <v>834</v>
      </c>
      <c r="L6" s="15">
        <f>+IF($A6=1,data!F12,L$14)</f>
        <v>0</v>
      </c>
      <c r="M6" s="15">
        <f>+IF($A6=1,data!AH12,M$14)</f>
        <v>798</v>
      </c>
      <c r="N6" s="18">
        <f>IF(A6=1,+data!I12,$N$14)</f>
        <v>0</v>
      </c>
      <c r="O6" s="9">
        <f>+IFERROR(IF($A6=1,IFERROR(data!G12/data!I12,0),O$14),0)</f>
        <v>0</v>
      </c>
      <c r="P6" s="9">
        <f>IFERROR(IF($A6=1,IFERROR(data!K12/data!I12*100,0),P$14),0)</f>
        <v>0</v>
      </c>
      <c r="Q6" s="11">
        <f>IF(A6=1,+data!E12,$Q$14)</f>
        <v>113</v>
      </c>
      <c r="R6" s="9">
        <f>+IFERROR((K6-Q6)/K6*100,0)</f>
        <v>86.450839328537</v>
      </c>
      <c r="S6" s="15">
        <f>+IF($A6=1,data!M12,S$14)</f>
        <v>0</v>
      </c>
      <c r="T6" s="15">
        <f>+IF($A6=1,data!N12,T$14)</f>
        <v>0</v>
      </c>
      <c r="U6" s="9">
        <f>+IF($A6=1,IFERROR(+T6/S6,0),U$14)</f>
        <v>0</v>
      </c>
      <c r="V6" s="15">
        <f>+IF($A6=1,data!O12,V$14)</f>
        <v>0</v>
      </c>
      <c r="W6" s="9">
        <f>+IF($A6=1,IFERROR(V6/T6*100,0),W$14)</f>
        <v>0</v>
      </c>
      <c r="X6" s="15">
        <f>+IF($A6=1,data!P12,X$14)</f>
        <v>0</v>
      </c>
      <c r="Y6" s="9">
        <f>+IF($A6=1,IFERROR(X6/T6*100,0),Y$14)</f>
        <v>0</v>
      </c>
      <c r="Z6" s="15">
        <f>+IF($A6=1,data!R12,Z$14)</f>
        <v>0</v>
      </c>
      <c r="AA6" s="15">
        <f>+IF($A6=1,IFERROR(Z6/T6*100,0),AA$14)</f>
        <v>0</v>
      </c>
      <c r="AB6" s="15">
        <f>+IF($A6=1,data!Q12,AB$14)</f>
        <v>0</v>
      </c>
      <c r="AC6" s="9">
        <f>+IF($A6=1,IFERROR(AB6/T6*100,0),AC$14)</f>
        <v>0</v>
      </c>
      <c r="AD6" s="15">
        <f>+IF($A6=1,data!S12,AD$14)</f>
        <v>0</v>
      </c>
      <c r="AE6" s="9">
        <f>+IF($A6=1,IFERROR(AD6/S6,0),AE$14)</f>
        <v>0</v>
      </c>
      <c r="AF6" s="9">
        <f>+IFERROR(IF($A6=1,IFERROR(+(data!M12-data!V12)/S6*100,0),AF$14),0)</f>
        <v>0</v>
      </c>
      <c r="AG6" s="9">
        <f>+IFERROR(IF($A6=1,IFERROR(data!U12/data!S12,0),AG$14),0)</f>
        <v>0</v>
      </c>
      <c r="AH6" s="9">
        <f>+IFERROR(IF($A6=1,IFERROR(data!T12/data!M12,0),AH$14),0)</f>
        <v>0</v>
      </c>
      <c r="AI6" s="16">
        <f>+IF($A6=1,IFERROR(S6*12/data!AT8,0),AI$14)</f>
        <v>0</v>
      </c>
      <c r="AJ6" s="15">
        <f>+IF($A6=1,data!X12,AJ$14)</f>
        <v>0</v>
      </c>
      <c r="AK6" s="15">
        <f>+IF($A6=1,data!Y12,AK$14)</f>
        <v>0</v>
      </c>
      <c r="AL6" s="9">
        <f>+IF($A6=1,IFERROR(AK6/AJ6,0),AL$14)</f>
        <v>0</v>
      </c>
      <c r="AM6" s="15">
        <f>+IF($A6=1,data!AB12,AM$14)</f>
        <v>0</v>
      </c>
      <c r="AN6" s="9">
        <f>+IF($A6=1,IFERROR(AM6/AD6*100,0),AN$14)</f>
        <v>0</v>
      </c>
      <c r="AO6" s="9">
        <f>+IFERROR(IF($A6=1,IFERROR(data!Z12/data!X12,0),AO$14),0)</f>
        <v>0</v>
      </c>
      <c r="AP6" s="9">
        <f>+IF($A6=1,IFERROR(AK6*12/data!AT8,0),AP$14)</f>
        <v>0</v>
      </c>
      <c r="AR6" s="10">
        <f>+IF(A6=1,data!AU12,0)</f>
        <v>0</v>
      </c>
    </row>
    <row r="7" spans="1:44">
      <c r="A7" s="12">
        <f>IFERROR(+B7+B8+B9+B10+B11+B12+B13,1)</f>
        <v>1</v>
      </c>
      <c r="B7" s="10" t="str">
        <f>IF(+data!C13&amp;"-"="-",0,+data!C13&amp;"-")</f>
        <v>2020-6-</v>
      </c>
      <c r="C7" s="10">
        <f>IF(A7=1,C6+1,$C$14)</f>
        <v>6</v>
      </c>
      <c r="D7" s="11">
        <f>IFERROR(IF(A7=1,+data!AT13,D$14),0)</f>
        <v>2785</v>
      </c>
      <c r="E7" s="11">
        <f>+data!AW13</f>
        <v>40</v>
      </c>
      <c r="F7" s="11">
        <f>+data!AV13</f>
        <v>0</v>
      </c>
      <c r="G7" s="15">
        <f>+IF($A7=1,data!AD13,G$14)</f>
        <v>11</v>
      </c>
      <c r="H7" s="9">
        <f>+IF($A7=1,+IFERROR(G7/D7*100,0),H$14)</f>
        <v>0.39497307001795</v>
      </c>
      <c r="I7" s="15">
        <f>+IF($A7=1,data!AF13,I$14)</f>
        <v>14</v>
      </c>
      <c r="J7" s="9">
        <f>+IF($A7=1,IFERROR(I7/D7*100,0),J$14)</f>
        <v>0.50269299820467</v>
      </c>
      <c r="K7" s="15">
        <f>+IF($A7=1,data!D13,K$14)</f>
        <v>697</v>
      </c>
      <c r="L7" s="15">
        <f>+IF($A7=1,data!F13,L$14)</f>
        <v>0</v>
      </c>
      <c r="M7" s="15">
        <f>+IF($A7=1,data!AH13,M$14)</f>
        <v>661</v>
      </c>
      <c r="N7" s="18">
        <f>IF(A7=1,+data!I13,$N$14)</f>
        <v>4</v>
      </c>
      <c r="O7" s="9">
        <f>+IFERROR(IF($A7=1,IFERROR(data!G13/data!I13,0),O$14),0)</f>
        <v>3</v>
      </c>
      <c r="P7" s="9">
        <f>IFERROR(IF($A7=1,IFERROR(data!K13/data!I13*100,0),P$14),0)</f>
        <v>100</v>
      </c>
      <c r="Q7" s="11">
        <f>IF(A7=1,+data!E13,$Q$14)</f>
        <v>94</v>
      </c>
      <c r="R7" s="9">
        <f>+IFERROR((K7-Q7)/K7*100,0)</f>
        <v>86.513629842181</v>
      </c>
      <c r="S7" s="15">
        <f>+IF($A7=1,data!M13,S$14)</f>
        <v>390</v>
      </c>
      <c r="T7" s="15">
        <f>+IF($A7=1,data!N13,T$14)</f>
        <v>4867</v>
      </c>
      <c r="U7" s="9">
        <f>+IF($A7=1,IFERROR(+T7/S7,0),U$14)</f>
        <v>12.479487179487</v>
      </c>
      <c r="V7" s="15">
        <f>+IF($A7=1,data!O13,V$14)</f>
        <v>202</v>
      </c>
      <c r="W7" s="9">
        <f>+IF($A7=1,IFERROR(V7/T7*100,0),W$14)</f>
        <v>4.1504006574892</v>
      </c>
      <c r="X7" s="15">
        <f>+IF($A7=1,data!P13,X$14)</f>
        <v>131</v>
      </c>
      <c r="Y7" s="9">
        <f>+IF($A7=1,IFERROR(X7/T7*100,0),Y$14)</f>
        <v>2.6915964659955</v>
      </c>
      <c r="Z7" s="15">
        <f>+IF($A7=1,data!R13,Z$14)</f>
        <v>0</v>
      </c>
      <c r="AA7" s="15">
        <f>+IF($A7=1,IFERROR(Z7/T7*100,0),AA$14)</f>
        <v>0</v>
      </c>
      <c r="AB7" s="15">
        <f>+IF($A7=1,data!Q13,AB$14)</f>
        <v>106</v>
      </c>
      <c r="AC7" s="9">
        <f>+IF($A7=1,IFERROR(AB7/T7*100,0),AC$14)</f>
        <v>2.1779330182864</v>
      </c>
      <c r="AD7" s="15">
        <f>+IF($A7=1,data!S13,AD$14)</f>
        <v>4428</v>
      </c>
      <c r="AE7" s="9">
        <f>+IF($A7=1,IFERROR(AD7/S7,0),AE$14)</f>
        <v>11.353846153846</v>
      </c>
      <c r="AF7" s="9">
        <f>+IFERROR(IF($A7=1,IFERROR(+(data!M13-data!V13)/S7*100,0),AF$14),0)</f>
        <v>9.4871794871795</v>
      </c>
      <c r="AG7" s="9">
        <f>+IFERROR(IF($A7=1,IFERROR(data!U13/data!S13,0),AG$14),0)</f>
        <v>0</v>
      </c>
      <c r="AH7" s="9">
        <f>+IFERROR(IF($A7=1,IFERROR(data!T13/data!M13,0),AH$14),0)</f>
        <v>116.45384615385</v>
      </c>
      <c r="AI7" s="16">
        <f>+IF($A7=1,IFERROR(S7*12/data!AT9,0),AI$14)</f>
        <v>12.219321148825</v>
      </c>
      <c r="AJ7" s="15">
        <f>+IF($A7=1,data!X13,AJ$14)</f>
        <v>144</v>
      </c>
      <c r="AK7" s="15">
        <f>+IF($A7=1,data!Y13,AK$14)</f>
        <v>1576</v>
      </c>
      <c r="AL7" s="9">
        <f>+IF($A7=1,IFERROR(AK7/AJ7,0),AL$14)</f>
        <v>10.944444444444</v>
      </c>
      <c r="AM7" s="15">
        <f>+IF($A7=1,data!AB13,AM$14)</f>
        <v>176</v>
      </c>
      <c r="AN7" s="9">
        <f>+IF($A7=1,IFERROR(AM7/AD7*100,0),AN$14)</f>
        <v>3.9747064137308</v>
      </c>
      <c r="AO7" s="9">
        <f>+IFERROR(IF($A7=1,IFERROR(data!Z13/data!X13,0),AO$14),0)</f>
        <v>20.729166666667</v>
      </c>
      <c r="AP7" s="9">
        <f>+IF($A7=1,IFERROR(AK7*12/data!AT9,0),AP$14)</f>
        <v>49.378590078329</v>
      </c>
      <c r="AR7" s="10">
        <f>+IF(A7=1,data!AU13,0)</f>
        <v>383</v>
      </c>
    </row>
    <row r="8" spans="1:44">
      <c r="A8" s="12">
        <f>IFERROR(+B8+B9+B10+B11+B12+B13,1)</f>
        <v>1</v>
      </c>
      <c r="B8" s="10" t="str">
        <f>IF(+data!C14&amp;"-"="-",0,+data!C14&amp;"-")</f>
        <v>2020-7-</v>
      </c>
      <c r="C8" s="10">
        <f>IF(A8=1,C7+1,$C$14)</f>
        <v>7</v>
      </c>
      <c r="D8" s="11">
        <f>IFERROR(IF(A8=1,+data!AT14,D$14),0)</f>
        <v>3019</v>
      </c>
      <c r="E8" s="11">
        <f>+data!AW14</f>
        <v>40</v>
      </c>
      <c r="F8" s="11">
        <f>+data!AV14</f>
        <v>0</v>
      </c>
      <c r="G8" s="15">
        <f>+IF($A8=1,data!AD14,G$14)</f>
        <v>32</v>
      </c>
      <c r="H8" s="9">
        <f>+IF($A8=1,+IFERROR(G8/D8*100,0),H$14)</f>
        <v>1.0599536270288</v>
      </c>
      <c r="I8" s="15">
        <f>+IF($A8=1,data!AF14,I$14)</f>
        <v>18</v>
      </c>
      <c r="J8" s="9">
        <f>+IF($A8=1,IFERROR(I8/D8*100,0),J$14)</f>
        <v>0.59622391520371</v>
      </c>
      <c r="K8" s="15">
        <f>+IF($A8=1,data!D14,K$14)</f>
        <v>656</v>
      </c>
      <c r="L8" s="15">
        <f>+IF($A8=1,data!F14,L$14)</f>
        <v>0</v>
      </c>
      <c r="M8" s="15">
        <f>+IF($A8=1,data!AH14,M$14)</f>
        <v>284</v>
      </c>
      <c r="N8" s="18">
        <f>IF(A8=1,+data!I14,$N$14)</f>
        <v>312</v>
      </c>
      <c r="O8" s="9">
        <f>+IFERROR(IF($A8=1,IFERROR(data!G14/data!I14,0),O$14),0)</f>
        <v>8.2532051282051</v>
      </c>
      <c r="P8" s="9">
        <f>IFERROR(IF($A8=1,IFERROR(data!K14/data!I14*100,0),P$14),0)</f>
        <v>77.24358974359</v>
      </c>
      <c r="Q8" s="11">
        <f>IF(A8=1,+data!E14,$Q$14)</f>
        <v>78</v>
      </c>
      <c r="R8" s="9">
        <f>+IFERROR((K8-Q8)/K8*100,0)</f>
        <v>88.109756097561</v>
      </c>
      <c r="S8" s="15">
        <f>+IF($A8=1,data!M14,S$14)</f>
        <v>519</v>
      </c>
      <c r="T8" s="15">
        <f>+IF($A8=1,data!N14,T$14)</f>
        <v>6424</v>
      </c>
      <c r="U8" s="9">
        <f>+IF($A8=1,IFERROR(+T8/S8,0),U$14)</f>
        <v>12.377649325626</v>
      </c>
      <c r="V8" s="15">
        <f>+IF($A8=1,data!O14,V$14)</f>
        <v>217</v>
      </c>
      <c r="W8" s="9">
        <f>+IF($A8=1,IFERROR(V8/T8*100,0),W$14)</f>
        <v>3.3779576587796</v>
      </c>
      <c r="X8" s="15">
        <f>+IF($A8=1,data!P14,X$14)</f>
        <v>209</v>
      </c>
      <c r="Y8" s="9">
        <f>+IF($A8=1,IFERROR(X8/T8*100,0),Y$14)</f>
        <v>3.2534246575342</v>
      </c>
      <c r="Z8" s="15">
        <f>+IF($A8=1,data!R14,Z$14)</f>
        <v>0</v>
      </c>
      <c r="AA8" s="15">
        <f>+IF($A8=1,IFERROR(Z8/T8*100,0),AA$14)</f>
        <v>0</v>
      </c>
      <c r="AB8" s="15">
        <f>+IF($A8=1,data!Q14,AB$14)</f>
        <v>99</v>
      </c>
      <c r="AC8" s="9">
        <f>+IF($A8=1,IFERROR(AB8/T8*100,0),AC$14)</f>
        <v>1.541095890411</v>
      </c>
      <c r="AD8" s="15">
        <f>+IF($A8=1,data!S14,AD$14)</f>
        <v>5899</v>
      </c>
      <c r="AE8" s="9">
        <f>+IF($A8=1,IFERROR(AD8/S8,0),AE$14)</f>
        <v>11.366088631985</v>
      </c>
      <c r="AF8" s="9">
        <f>+IFERROR(IF($A8=1,IFERROR(+(data!M14-data!V14)/S8*100,0),AF$14),0)</f>
        <v>5.3949903660886</v>
      </c>
      <c r="AG8" s="9">
        <f>+IFERROR(IF($A8=1,IFERROR(data!U14/data!S14,0),AG$14),0)</f>
        <v>0</v>
      </c>
      <c r="AH8" s="9">
        <f>+IFERROR(IF($A8=1,IFERROR(data!T14/data!M14,0),AH$14),0)</f>
        <v>116.94797687861</v>
      </c>
      <c r="AI8" s="16">
        <f>+IF($A8=1,IFERROR(S8*12/data!AT10,0),AI$14)</f>
        <v>7.3012895662368</v>
      </c>
      <c r="AJ8" s="15">
        <f>+IF($A8=1,data!X14,AJ$14)</f>
        <v>359</v>
      </c>
      <c r="AK8" s="15">
        <f>+IF($A8=1,data!Y14,AK$14)</f>
        <v>3870</v>
      </c>
      <c r="AL8" s="9">
        <f>+IF($A8=1,IFERROR(AK8/AJ8,0),AL$14)</f>
        <v>10.779944289694</v>
      </c>
      <c r="AM8" s="15">
        <f>+IF($A8=1,data!AB14,AM$14)</f>
        <v>185</v>
      </c>
      <c r="AN8" s="9">
        <f>+IF($A8=1,IFERROR(AM8/AD8*100,0),AN$14)</f>
        <v>3.1361247669096</v>
      </c>
      <c r="AO8" s="9">
        <f>+IFERROR(IF($A8=1,IFERROR(data!Z14/data!X14,0),AO$14),0)</f>
        <v>20.431754874652</v>
      </c>
      <c r="AP8" s="9">
        <f>+IF($A8=1,IFERROR(AK8*12/data!AT10,0),AP$14)</f>
        <v>54.443141852286</v>
      </c>
      <c r="AR8" s="10">
        <f>+IF(A8=1,data!AU14,0)</f>
        <v>853</v>
      </c>
    </row>
    <row r="9" spans="1:44">
      <c r="A9" s="12">
        <f>IFERROR(+B9+B10+B11+B12+B13,1)</f>
        <v>1</v>
      </c>
      <c r="B9" s="10" t="str">
        <f>IF(+data!C15&amp;"-"="-",0,+data!C15&amp;"-")</f>
        <v>2020-8-</v>
      </c>
      <c r="C9" s="10">
        <f>IF(A9=1,C8+1,$C$14)</f>
        <v>8</v>
      </c>
      <c r="D9" s="11">
        <f>IFERROR(IF(A9=1,+data!AT15,D$14),0)</f>
        <v>3121</v>
      </c>
      <c r="E9" s="11">
        <f>+data!AW15</f>
        <v>40</v>
      </c>
      <c r="F9" s="11">
        <f>+data!AV15</f>
        <v>0</v>
      </c>
      <c r="G9" s="15">
        <f>+IF($A9=1,data!AD15,G$14)</f>
        <v>49</v>
      </c>
      <c r="H9" s="9">
        <f>+IF($A9=1,+IFERROR(G9/D9*100,0),H$14)</f>
        <v>1.5700096123037</v>
      </c>
      <c r="I9" s="15">
        <f>+IF($A9=1,data!AF15,I$14)</f>
        <v>14</v>
      </c>
      <c r="J9" s="9">
        <f>+IF($A9=1,IFERROR(I9/D9*100,0),J$14)</f>
        <v>0.44857417494393</v>
      </c>
      <c r="K9" s="15">
        <f>+IF($A9=1,data!D15,K$14)</f>
        <v>679</v>
      </c>
      <c r="L9" s="15">
        <f>+IF($A9=1,data!F15,L$14)</f>
        <v>0</v>
      </c>
      <c r="M9" s="15">
        <f>+IF($A9=1,data!AH15,M$14)</f>
        <v>165</v>
      </c>
      <c r="N9" s="18">
        <f>IF(A9=1,+data!I15,$N$14)</f>
        <v>442</v>
      </c>
      <c r="O9" s="9">
        <f>+IFERROR(IF($A9=1,IFERROR(data!G15/data!I15,0),O$14),0)</f>
        <v>9.9027149321267</v>
      </c>
      <c r="P9" s="9">
        <f>IFERROR(IF($A9=1,IFERROR(data!K15/data!I15*100,0),P$14),0)</f>
        <v>74.434389140271</v>
      </c>
      <c r="Q9" s="11">
        <f>IF(A9=1,+data!E15,$Q$14)</f>
        <v>94</v>
      </c>
      <c r="R9" s="9">
        <f>+IFERROR((K9-Q9)/K9*100,0)</f>
        <v>86.156111929308</v>
      </c>
      <c r="S9" s="15">
        <f>+IF($A9=1,data!M15,S$14)</f>
        <v>367</v>
      </c>
      <c r="T9" s="15">
        <f>+IF($A9=1,data!N15,T$14)</f>
        <v>4529</v>
      </c>
      <c r="U9" s="9">
        <f>+IF($A9=1,IFERROR(+T9/S9,0),U$14)</f>
        <v>12.340599455041</v>
      </c>
      <c r="V9" s="15">
        <f>+IF($A9=1,data!O15,V$14)</f>
        <v>164</v>
      </c>
      <c r="W9" s="9">
        <f>+IF($A9=1,IFERROR(V9/T9*100,0),W$14)</f>
        <v>3.6211084124531</v>
      </c>
      <c r="X9" s="15">
        <f>+IF($A9=1,data!P15,X$14)</f>
        <v>106</v>
      </c>
      <c r="Y9" s="9">
        <f>+IF($A9=1,IFERROR(X9/T9*100,0),Y$14)</f>
        <v>2.340472510488</v>
      </c>
      <c r="Z9" s="15">
        <f>+IF($A9=1,data!R15,Z$14)</f>
        <v>0</v>
      </c>
      <c r="AA9" s="15">
        <f>+IF($A9=1,IFERROR(Z9/T9*100,0),AA$14)</f>
        <v>0</v>
      </c>
      <c r="AB9" s="15">
        <f>+IF($A9=1,data!Q15,AB$14)</f>
        <v>102</v>
      </c>
      <c r="AC9" s="9">
        <f>+IF($A9=1,IFERROR(AB9/T9*100,0),AC$14)</f>
        <v>2.2521527931111</v>
      </c>
      <c r="AD9" s="15">
        <f>+IF($A9=1,data!S15,AD$14)</f>
        <v>4157</v>
      </c>
      <c r="AE9" s="9">
        <f>+IF($A9=1,IFERROR(AD9/S9,0),AE$14)</f>
        <v>11.326975476839</v>
      </c>
      <c r="AF9" s="9">
        <f>+IFERROR(IF($A9=1,IFERROR(+(data!M15-data!V15)/S9*100,0),AF$14),0)</f>
        <v>6.267029972752</v>
      </c>
      <c r="AG9" s="9">
        <f>+IFERROR(IF($A9=1,IFERROR(data!U15/data!S15,0),AG$14),0)</f>
        <v>0</v>
      </c>
      <c r="AH9" s="9">
        <f>+IFERROR(IF($A9=1,IFERROR(data!T15/data!M15,0),AH$14),0)</f>
        <v>116.55313351499</v>
      </c>
      <c r="AI9" s="16">
        <f>+IF($A9=1,IFERROR(S9*12/data!AT11,0),AI$14)</f>
        <v>3.2573964497041</v>
      </c>
      <c r="AJ9" s="15">
        <f>+IF($A9=1,data!X15,AJ$14)</f>
        <v>593</v>
      </c>
      <c r="AK9" s="15">
        <f>+IF($A9=1,data!Y15,AK$14)</f>
        <v>6262</v>
      </c>
      <c r="AL9" s="9">
        <f>+IF($A9=1,IFERROR(AK9/AJ9,0),AL$14)</f>
        <v>10.559865092749</v>
      </c>
      <c r="AM9" s="15">
        <f>+IF($A9=1,data!AB15,AM$14)</f>
        <v>175</v>
      </c>
      <c r="AN9" s="9">
        <f>+IF($A9=1,IFERROR(AM9/AD9*100,0),AN$14)</f>
        <v>4.2097666586481</v>
      </c>
      <c r="AO9" s="9">
        <f>+IFERROR(IF($A9=1,IFERROR(data!Z15/data!X15,0),AO$14),0)</f>
        <v>20.483979763912</v>
      </c>
      <c r="AP9" s="9">
        <f>+IF($A9=1,IFERROR(AK9*12/data!AT11,0),AP$14)</f>
        <v>55.579881656805</v>
      </c>
      <c r="AR9" s="10">
        <f>+IF(A9=1,data!AU15,0)</f>
        <v>1352</v>
      </c>
    </row>
    <row r="10" spans="1:44">
      <c r="A10" s="12">
        <f>IFERROR(+B10+B11+B12+B13,1)</f>
        <v>1</v>
      </c>
      <c r="B10" s="10" t="str">
        <f>IF(+data!C16&amp;"-"="-",0,+data!C16&amp;"-")</f>
        <v>2020-9-</v>
      </c>
      <c r="C10" s="10">
        <f>IF(A10=1,C9+1,$C$14)</f>
        <v>9</v>
      </c>
      <c r="D10" s="11">
        <f>IFERROR(IF(A10=1,+data!AT16,D$14),0)</f>
        <v>3201</v>
      </c>
      <c r="E10" s="11">
        <f>+data!AW16</f>
        <v>40</v>
      </c>
      <c r="F10" s="11">
        <f>+data!AV16</f>
        <v>0</v>
      </c>
      <c r="G10" s="15">
        <f>+IF($A10=1,data!AD16,G$14)</f>
        <v>50</v>
      </c>
      <c r="H10" s="9">
        <f>+IF($A10=1,+IFERROR(G10/D10*100,0),H$14)</f>
        <v>1.5620118712902</v>
      </c>
      <c r="I10" s="15">
        <f>+IF($A10=1,data!AF16,I$14)</f>
        <v>18</v>
      </c>
      <c r="J10" s="9">
        <f>+IF($A10=1,IFERROR(I10/D10*100,0),J$14)</f>
        <v>0.56232427366448</v>
      </c>
      <c r="K10" s="15">
        <f>+IF($A10=1,data!D16,K$14)</f>
        <v>629</v>
      </c>
      <c r="L10" s="15">
        <f>+IF($A10=1,data!F16,L$14)</f>
        <v>0</v>
      </c>
      <c r="M10" s="15">
        <f>+IF($A10=1,data!AH16,M$14)</f>
        <v>148</v>
      </c>
      <c r="N10" s="18">
        <f>IF(A10=1,+data!I16,$N$14)</f>
        <v>386</v>
      </c>
      <c r="O10" s="9">
        <f>+IFERROR(IF($A10=1,IFERROR(data!G16/data!I16,0),O$14),0)</f>
        <v>15.064766839378</v>
      </c>
      <c r="P10" s="9">
        <f>IFERROR(IF($A10=1,IFERROR(data!K16/data!I16*100,0),P$14),0)</f>
        <v>50.518134715026</v>
      </c>
      <c r="Q10" s="11">
        <f>IF(A10=1,+data!E16,$Q$14)</f>
        <v>133</v>
      </c>
      <c r="R10" s="9">
        <f>+IFERROR((K10-Q10)/K10*100,0)</f>
        <v>78.855325914149</v>
      </c>
      <c r="S10" s="15">
        <f>+IF($A10=1,data!M16,S$14)</f>
        <v>774</v>
      </c>
      <c r="T10" s="15">
        <f>+IF($A10=1,data!N16,T$14)</f>
        <v>9459</v>
      </c>
      <c r="U10" s="9">
        <f>+IF($A10=1,IFERROR(+T10/S10,0),U$14)</f>
        <v>12.220930232558</v>
      </c>
      <c r="V10" s="15">
        <f>+IF($A10=1,data!O16,V$14)</f>
        <v>348</v>
      </c>
      <c r="W10" s="9">
        <f>+IF($A10=1,IFERROR(V10/T10*100,0),W$14)</f>
        <v>3.6790358388836</v>
      </c>
      <c r="X10" s="15">
        <f>+IF($A10=1,data!P16,X$14)</f>
        <v>210</v>
      </c>
      <c r="Y10" s="9">
        <f>+IF($A10=1,IFERROR(X10/T10*100,0),Y$14)</f>
        <v>2.2201078338091</v>
      </c>
      <c r="Z10" s="15">
        <f>+IF($A10=1,data!R16,Z$14)</f>
        <v>0</v>
      </c>
      <c r="AA10" s="15">
        <f>+IF($A10=1,IFERROR(Z10/T10*100,0),AA$14)</f>
        <v>0</v>
      </c>
      <c r="AB10" s="15">
        <f>+IF($A10=1,data!Q16,AB$14)</f>
        <v>215</v>
      </c>
      <c r="AC10" s="9">
        <f>+IF($A10=1,IFERROR(AB10/T10*100,0),AC$14)</f>
        <v>2.2729675441379</v>
      </c>
      <c r="AD10" s="15">
        <f>+IF($A10=1,data!S16,AD$14)</f>
        <v>8686</v>
      </c>
      <c r="AE10" s="9">
        <f>+IF($A10=1,IFERROR(AD10/S10,0),AE$14)</f>
        <v>11.222222222222</v>
      </c>
      <c r="AF10" s="9">
        <f>+IFERROR(IF($A10=1,IFERROR(+(data!M16-data!V16)/S10*100,0),AF$14),0)</f>
        <v>7.6227390180879</v>
      </c>
      <c r="AG10" s="9">
        <f>+IFERROR(IF($A10=1,IFERROR(data!U16/data!S16,0),AG$14),0)</f>
        <v>0</v>
      </c>
      <c r="AH10" s="9">
        <f>+IFERROR(IF($A10=1,IFERROR(data!T16/data!M16,0),AH$14),0)</f>
        <v>116.24935400517</v>
      </c>
      <c r="AI10" s="16">
        <f>+IF($A10=1,IFERROR(S10*12/data!AT12,0),AI$14)</f>
        <v>4.3220102373197</v>
      </c>
      <c r="AJ10" s="15">
        <f>+IF($A10=1,data!X16,AJ$14)</f>
        <v>521</v>
      </c>
      <c r="AK10" s="15">
        <f>+IF($A10=1,data!Y16,AK$14)</f>
        <v>5597</v>
      </c>
      <c r="AL10" s="9">
        <f>+IF($A10=1,IFERROR(AK10/AJ10,0),AL$14)</f>
        <v>10.742802303263</v>
      </c>
      <c r="AM10" s="15">
        <f>+IF($A10=1,data!AB16,AM$14)</f>
        <v>352</v>
      </c>
      <c r="AN10" s="9">
        <f>+IF($A10=1,IFERROR(AM10/AD10*100,0),AN$14)</f>
        <v>4.0524982730831</v>
      </c>
      <c r="AO10" s="9">
        <f>+IFERROR(IF($A10=1,IFERROR(data!Z16/data!X16,0),AO$14),0)</f>
        <v>18.8886756238</v>
      </c>
      <c r="AP10" s="9">
        <f>+IF($A10=1,IFERROR(AK10*12/data!AT12,0),AP$14)</f>
        <v>31.253606328525</v>
      </c>
      <c r="AR10" s="10">
        <f>+IF(A10=1,data!AU16,0)</f>
        <v>2149</v>
      </c>
    </row>
    <row r="11" spans="1:44">
      <c r="A11" s="12">
        <f>IFERROR(+B13+B12+B11,1)</f>
        <v>1</v>
      </c>
      <c r="B11" s="10" t="str">
        <f>IF(+data!C17&amp;"-"="-",0,+data!C17&amp;"-")</f>
        <v>2020-9-10-</v>
      </c>
      <c r="C11" s="10">
        <f>IF(A11=1,C10+1,$C$14)</f>
        <v>10</v>
      </c>
      <c r="D11" s="11">
        <f>IFERROR(IF(A11=1,+data!AT17,D$14),0)</f>
        <v>2989</v>
      </c>
      <c r="E11" s="11">
        <f>+data!AW17</f>
        <v>40</v>
      </c>
      <c r="F11" s="11">
        <f>+data!AV17</f>
        <v>0</v>
      </c>
      <c r="G11" s="15">
        <f>+IF($A11=1,data!AD17,G$14)</f>
        <v>233</v>
      </c>
      <c r="H11" s="9">
        <f>+IF($A11=1,+IFERROR(G11/D11*100,0),H$14)</f>
        <v>7.7952492472399</v>
      </c>
      <c r="I11" s="15">
        <f>+IF($A11=1,data!AF17,I$14)</f>
        <v>20</v>
      </c>
      <c r="J11" s="9">
        <f>+IF($A11=1,IFERROR(I11/D11*100,0),J$14)</f>
        <v>0.66912010705922</v>
      </c>
      <c r="K11" s="15">
        <f>+IF($A11=1,data!D17,K$14)</f>
        <v>660</v>
      </c>
      <c r="L11" s="15">
        <f>+IF($A11=1,data!F17,L$14)</f>
        <v>0</v>
      </c>
      <c r="M11" s="15">
        <f>+IF($A11=1,data!AH17,M$14)</f>
        <v>41</v>
      </c>
      <c r="N11" s="18">
        <f>IF(A11=1,+data!I17,$N$14)</f>
        <v>530</v>
      </c>
      <c r="O11" s="9">
        <f>+IFERROR(IF($A11=1,IFERROR(data!G17/data!I17,0),O$14),0)</f>
        <v>13.315094339623</v>
      </c>
      <c r="P11" s="9">
        <f>IFERROR(IF($A11=1,IFERROR(data!K17/data!I17*100,0),P$14),0)</f>
        <v>65.849056603774</v>
      </c>
      <c r="Q11" s="11">
        <f>IF(A11=1,+data!E17,$Q$14)</f>
        <v>110</v>
      </c>
      <c r="R11" s="9">
        <f>+IFERROR((K11-Q11)/K11*100,0)</f>
        <v>83.333333333333</v>
      </c>
      <c r="S11" s="15">
        <f>+IF($A11=1,data!M17,S$14)</f>
        <v>621</v>
      </c>
      <c r="T11" s="15">
        <f>+IF($A11=1,data!N17,T$14)</f>
        <v>7558</v>
      </c>
      <c r="U11" s="9">
        <f>+IF($A11=1,IFERROR(+T11/S11,0),U$14)</f>
        <v>12.170692431562</v>
      </c>
      <c r="V11" s="15">
        <f>+IF($A11=1,data!O17,V$14)</f>
        <v>226</v>
      </c>
      <c r="W11" s="9">
        <f>+IF($A11=1,IFERROR(V11/T11*100,0),W$14)</f>
        <v>2.9902090500132</v>
      </c>
      <c r="X11" s="15">
        <f>+IF($A11=1,data!P17,X$14)</f>
        <v>183</v>
      </c>
      <c r="Y11" s="9">
        <f>+IF($A11=1,IFERROR(X11/T11*100,0),Y$14)</f>
        <v>2.421275469701</v>
      </c>
      <c r="Z11" s="15">
        <f>+IF($A11=1,data!R17,Z$14)</f>
        <v>0</v>
      </c>
      <c r="AA11" s="15">
        <f>+IF($A11=1,IFERROR(Z11/T11*100,0),AA$14)</f>
        <v>0</v>
      </c>
      <c r="AB11" s="15">
        <f>+IF($A11=1,data!Q17,AB$14)</f>
        <v>204</v>
      </c>
      <c r="AC11" s="9">
        <f>+IF($A11=1,IFERROR(AB11/T11*100,0),AC$14)</f>
        <v>2.6991267531093</v>
      </c>
      <c r="AD11" s="15">
        <f>+IF($A11=1,data!S17,AD$14)</f>
        <v>6945</v>
      </c>
      <c r="AE11" s="9">
        <f>+IF($A11=1,IFERROR(AD11/S11,0),AE$14)</f>
        <v>11.183574879227</v>
      </c>
      <c r="AF11" s="9">
        <f>+IFERROR(IF($A11=1,IFERROR(+(data!M17-data!V17)/S11*100,0),AF$14),0)</f>
        <v>9.1787439613527</v>
      </c>
      <c r="AG11" s="9">
        <f>+IFERROR(IF($A11=1,IFERROR(data!U17/data!S17,0),AG$14),0)</f>
        <v>0</v>
      </c>
      <c r="AH11" s="9">
        <f>+IFERROR(IF($A11=1,IFERROR(data!T17/data!M17,0),AH$14),0)</f>
        <v>116.52012882448</v>
      </c>
      <c r="AI11" s="16">
        <f>+IF($A11=1,IFERROR(S11*12/data!AT13,0),AI$14)</f>
        <v>2.675763016158</v>
      </c>
      <c r="AJ11" s="15">
        <f>+IF($A11=1,data!X17,AJ$14)</f>
        <v>610</v>
      </c>
      <c r="AK11" s="15">
        <f>+IF($A11=1,data!Y17,AK$14)</f>
        <v>6128</v>
      </c>
      <c r="AL11" s="9">
        <f>+IF($A11=1,IFERROR(AK11/AJ11,0),AL$14)</f>
        <v>10.045901639344</v>
      </c>
      <c r="AM11" s="15">
        <f>+IF($A11=1,data!AB17,AM$14)</f>
        <v>831</v>
      </c>
      <c r="AN11" s="9">
        <f>+IF($A11=1,IFERROR(AM11/AD11*100,0),AN$14)</f>
        <v>11.965442764579</v>
      </c>
      <c r="AO11" s="9">
        <f>+IFERROR(IF($A11=1,IFERROR(data!Z17/data!X17,0),AO$14),0)</f>
        <v>21.588524590164</v>
      </c>
      <c r="AP11" s="9">
        <f>+IF($A11=1,IFERROR(AK11*12/data!AT13,0),AP$14)</f>
        <v>26.404308797127</v>
      </c>
      <c r="AR11" s="10">
        <f>+IF(A11=1,data!AU17,0)</f>
        <v>2785</v>
      </c>
    </row>
    <row r="12" spans="1:44">
      <c r="A12" s="12">
        <f>IFERROR(+B13+B12,1)</f>
        <v>1</v>
      </c>
      <c r="B12" s="10">
        <f>IF(+data!C18&amp;"-"="-",0,+data!C18&amp;"-")</f>
        <v>0</v>
      </c>
      <c r="C12" s="10">
        <f>IF(A12=1,C11+1,$C$14)</f>
        <v>11</v>
      </c>
      <c r="D12" s="11">
        <f>IFERROR(IF(A12=1,+data!AT18,D$14),0)</f>
        <v>2824</v>
      </c>
      <c r="E12" s="11">
        <f>+data!AW18</f>
        <v>45</v>
      </c>
      <c r="F12" s="11">
        <f>+data!AV18</f>
        <v>0</v>
      </c>
      <c r="G12" s="15">
        <f>+IF($A12=1,data!AD18,G$14)</f>
        <v>159</v>
      </c>
      <c r="H12" s="9">
        <f>+IF($A12=1,+IFERROR(G12/D12*100,0),H$14)</f>
        <v>5.6303116147309</v>
      </c>
      <c r="I12" s="15">
        <f>+IF($A12=1,data!AF18,I$14)</f>
        <v>6</v>
      </c>
      <c r="J12" s="9">
        <f>+IF($A12=1,IFERROR(I12/D12*100,0),J$14)</f>
        <v>0.21246458923513</v>
      </c>
      <c r="K12" s="15">
        <f>+IF($A12=1,data!D18,K$14)</f>
        <v>0</v>
      </c>
      <c r="L12" s="15">
        <f>+IF($A12=1,data!F18,L$14)</f>
        <v>0</v>
      </c>
      <c r="M12" s="15">
        <f>+IF($A12=1,data!AH18,M$14)</f>
        <v>0</v>
      </c>
      <c r="N12" s="18">
        <f>IF(A12=1,+data!I18,$N$14)</f>
        <v>0</v>
      </c>
      <c r="O12" s="9">
        <f>+IFERROR(IF($A12=1,IFERROR(data!G18/data!I18,0),O$14),0)</f>
        <v>0</v>
      </c>
      <c r="P12" s="9">
        <f>IFERROR(IF($A12=1,IFERROR(data!K18/data!I18*100,0),P$14),0)</f>
        <v>0</v>
      </c>
      <c r="Q12" s="11">
        <f>IF(A12=1,+data!E18,$Q$14)</f>
        <v>0</v>
      </c>
      <c r="R12" s="9">
        <f>+IFERROR((K12-Q12)/K12*100,0)</f>
        <v>0</v>
      </c>
      <c r="S12" s="15">
        <f>+IF($A12=1,data!M18,S$14)</f>
        <v>455</v>
      </c>
      <c r="T12" s="15">
        <f>+IF($A12=1,data!N18,T$14)</f>
        <v>5473</v>
      </c>
      <c r="U12" s="9">
        <f>+IF($A12=1,IFERROR(+T12/S12,0),U$14)</f>
        <v>12.028571428571</v>
      </c>
      <c r="V12" s="15">
        <f>+IF($A12=1,data!O18,V$14)</f>
        <v>172</v>
      </c>
      <c r="W12" s="9">
        <f>+IF($A12=1,IFERROR(V12/T12*100,0),W$14)</f>
        <v>3.1427005298739</v>
      </c>
      <c r="X12" s="15">
        <f>+IF($A12=1,data!P18,X$14)</f>
        <v>110</v>
      </c>
      <c r="Y12" s="9">
        <f>+IF($A12=1,IFERROR(X12/T12*100,0),Y$14)</f>
        <v>2.0098666179426</v>
      </c>
      <c r="Z12" s="15">
        <f>+IF($A12=1,data!R18,Z$14)</f>
        <v>0</v>
      </c>
      <c r="AA12" s="15">
        <f>+IF($A12=1,IFERROR(Z12/T12*100,0),AA$14)</f>
        <v>0</v>
      </c>
      <c r="AB12" s="15">
        <f>+IF($A12=1,data!Q18,AB$14)</f>
        <v>143</v>
      </c>
      <c r="AC12" s="9">
        <f>+IF($A12=1,IFERROR(AB12/T12*100,0),AC$14)</f>
        <v>2.6128266033254</v>
      </c>
      <c r="AD12" s="15">
        <f>+IF($A12=1,data!S18,AD$14)</f>
        <v>5048</v>
      </c>
      <c r="AE12" s="9">
        <f>+IF($A12=1,IFERROR(AD12/S12,0),AE$14)</f>
        <v>11.094505494505</v>
      </c>
      <c r="AF12" s="9">
        <f>+IFERROR(IF($A12=1,IFERROR(+(data!M18-data!V18)/S12*100,0),AF$14),0)</f>
        <v>9.4505494505495</v>
      </c>
      <c r="AG12" s="9">
        <f>+IFERROR(IF($A12=1,IFERROR(data!U18/data!S18,0),AG$14),0)</f>
        <v>0</v>
      </c>
      <c r="AH12" s="9">
        <f>+IFERROR(IF($A12=1,IFERROR(data!T18/data!M18,0),AH$14),0)</f>
        <v>116.37802197802</v>
      </c>
      <c r="AI12" s="16">
        <f>+IF($A12=1,IFERROR(S12*12/data!AT14,0),AI$14)</f>
        <v>1.8085458761179</v>
      </c>
      <c r="AJ12" s="15">
        <f>+IF($A12=1,data!X18,AJ$14)</f>
        <v>391</v>
      </c>
      <c r="AK12" s="15">
        <f>+IF($A12=1,data!Y18,AK$14)</f>
        <v>3523</v>
      </c>
      <c r="AL12" s="9">
        <f>+IF($A12=1,IFERROR(AK12/AJ12,0),AL$14)</f>
        <v>9.0102301790281</v>
      </c>
      <c r="AM12" s="15">
        <f>+IF($A12=1,data!AB18,AM$14)</f>
        <v>439</v>
      </c>
      <c r="AN12" s="9">
        <f>+IF($A12=1,IFERROR(AM12/AD12*100,0),AN$14)</f>
        <v>8.6965134706815</v>
      </c>
      <c r="AO12" s="9">
        <f>+IFERROR(IF($A12=1,IFERROR(data!Z18/data!X18,0),AO$14),0)</f>
        <v>24.148337595908</v>
      </c>
      <c r="AP12" s="9">
        <f>+IF($A12=1,IFERROR(AK12*12/data!AT14,0),AP$14)</f>
        <v>14.003312355084</v>
      </c>
      <c r="AR12" s="10">
        <f>+IF(A12=1,data!AU18,0)</f>
        <v>3019</v>
      </c>
    </row>
    <row r="13" spans="1:44">
      <c r="A13" s="12">
        <f>IFERROR(+B14+B13,1)</f>
        <v>1</v>
      </c>
      <c r="B13" s="10" t="str">
        <f>IF(+data!C19&amp;"-"="-",0,+data!C19&amp;"-")</f>
        <v>2020-9-12-</v>
      </c>
      <c r="C13" s="10">
        <f>IF(A13=1,C12+1,$C$14)</f>
        <v>12</v>
      </c>
      <c r="D13" s="11">
        <f>IFERROR(IF(A13=1,+data!AT19,D$14),0)</f>
        <v>2721</v>
      </c>
      <c r="E13" s="11">
        <f>+data!AW19</f>
        <v>46</v>
      </c>
      <c r="F13" s="11">
        <f>+data!AV19</f>
        <v>0</v>
      </c>
      <c r="G13" s="15">
        <f>+IF($A13=1,data!AD19,G$14)</f>
        <v>146</v>
      </c>
      <c r="H13" s="9">
        <f>+IF($A13=1,+IFERROR(G13/D13*100,0),H$14)</f>
        <v>5.3656743844175</v>
      </c>
      <c r="I13" s="15">
        <f>+IF($A13=1,data!AF19,I$14)</f>
        <v>6</v>
      </c>
      <c r="J13" s="9">
        <f>+IF($A13=1,IFERROR(I13/D13*100,0),J$14)</f>
        <v>0.22050716648291</v>
      </c>
      <c r="K13" s="15">
        <f>+IF($A13=1,data!D19,K$14)</f>
        <v>651</v>
      </c>
      <c r="L13" s="15">
        <f>+IF($A13=1,data!F19,L$14)</f>
        <v>0</v>
      </c>
      <c r="M13" s="15">
        <f>+IF($A13=1,data!AH19,M$14)</f>
        <v>49</v>
      </c>
      <c r="N13" s="18">
        <f>IF(A13=1,+data!I19,$N$14)</f>
        <v>524</v>
      </c>
      <c r="O13" s="9">
        <f>+IFERROR(IF($A13=1,IFERROR(data!G19/data!I19,0),O$14),0)</f>
        <v>30.742366412214</v>
      </c>
      <c r="P13" s="9">
        <f>IFERROR(IF($A13=1,IFERROR(data!K19/data!I19*100,0),P$14),0)</f>
        <v>35.114503816794</v>
      </c>
      <c r="Q13" s="11">
        <f>IF(A13=1,+data!E19,$Q$14)</f>
        <v>69</v>
      </c>
      <c r="R13" s="9">
        <f>+IFERROR((K13-Q13)/K13*100,0)</f>
        <v>89.400921658986</v>
      </c>
      <c r="S13" s="15">
        <f>+IF($A13=1,data!M19,S$14)</f>
        <v>521</v>
      </c>
      <c r="T13" s="15">
        <f>+IF($A13=1,data!N19,T$14)</f>
        <v>6241</v>
      </c>
      <c r="U13" s="9">
        <f>+IF($A13=1,IFERROR(+T13/S13,0),U$14)</f>
        <v>11.978886756238</v>
      </c>
      <c r="V13" s="15">
        <f>+IF($A13=1,data!O19,V$14)</f>
        <v>263</v>
      </c>
      <c r="W13" s="9">
        <f>+IF($A13=1,IFERROR(V13/T13*100,0),W$14)</f>
        <v>4.2140682582919</v>
      </c>
      <c r="X13" s="15">
        <f>+IF($A13=1,data!P19,X$14)</f>
        <v>137</v>
      </c>
      <c r="Y13" s="9">
        <f>+IF($A13=1,IFERROR(X13/T13*100,0),Y$14)</f>
        <v>2.1951610318859</v>
      </c>
      <c r="Z13" s="15">
        <f>+IF($A13=1,data!R19,Z$14)</f>
        <v>0</v>
      </c>
      <c r="AA13" s="15">
        <f>+IF($A13=1,IFERROR(Z13/T13*100,0),AA$14)</f>
        <v>0</v>
      </c>
      <c r="AB13" s="15">
        <f>+IF($A13=1,data!Q19,AB$14)</f>
        <v>128</v>
      </c>
      <c r="AC13" s="9">
        <f>+IF($A13=1,IFERROR(AB13/T13*100,0),AC$14)</f>
        <v>2.0509533728569</v>
      </c>
      <c r="AD13" s="15">
        <f>+IF($A13=1,data!S19,AD$14)</f>
        <v>5713</v>
      </c>
      <c r="AE13" s="9">
        <f>+IF($A13=1,IFERROR(AD13/S13,0),AE$14)</f>
        <v>10.965451055662</v>
      </c>
      <c r="AF13" s="9">
        <f>+IFERROR(IF($A13=1,IFERROR(+(data!M19-data!V19)/S13*100,0),AF$14),0)</f>
        <v>11.708253358925</v>
      </c>
      <c r="AG13" s="9">
        <f>+IFERROR(IF($A13=1,IFERROR(data!U19/data!S19,0),AG$14),0)</f>
        <v>0</v>
      </c>
      <c r="AH13" s="9">
        <f>+IFERROR(IF($A13=1,IFERROR(data!T19/data!M19,0),AH$14),0)</f>
        <v>116.83877159309</v>
      </c>
      <c r="AI13" s="16">
        <f>+IF($A13=1,IFERROR(S13*12/data!AT15,0),AI$14)</f>
        <v>2.0032041012496</v>
      </c>
      <c r="AJ13" s="15">
        <f>+IF($A13=1,data!X19,AJ$14)</f>
        <v>569</v>
      </c>
      <c r="AK13" s="15">
        <f>+IF($A13=1,data!Y19,AK$14)</f>
        <v>5213</v>
      </c>
      <c r="AL13" s="9">
        <f>+IF($A13=1,IFERROR(AK13/AJ13,0),AL$14)</f>
        <v>9.1616871704745</v>
      </c>
      <c r="AM13" s="15">
        <f>+IF($A13=1,data!AB19,AM$14)</f>
        <v>832</v>
      </c>
      <c r="AN13" s="9">
        <f>+IF($A13=1,IFERROR(AM13/AD13*100,0),AN$14)</f>
        <v>14.563276737266</v>
      </c>
      <c r="AO13" s="9">
        <f>+IFERROR(IF($A13=1,IFERROR(data!Z19/data!X19,0),AO$14),0)</f>
        <v>30.228471001757</v>
      </c>
      <c r="AP13" s="9">
        <f>+IF($A13=1,IFERROR(AK13*12/data!AT15,0),AP$14)</f>
        <v>20.043575776995</v>
      </c>
      <c r="AR13" s="10">
        <f>+IF(A13=1,data!AU19,0)</f>
        <v>3121</v>
      </c>
    </row>
    <row r="14" spans="1:44">
      <c r="A14" s="12">
        <f>+SUM(A2:A13)</f>
        <v>12</v>
      </c>
      <c r="C14" s="10" t="str">
        <f>+"Năm "&amp;LEFT(data!B8,4)</f>
        <v>Năm 2020</v>
      </c>
      <c r="D14" s="11">
        <f>+IFERROR(_xlfn.SUMIFS(D2:D13,A2:A13,1)/A14,0)</f>
        <v>2116.4166666667</v>
      </c>
      <c r="E14" s="11">
        <f>+E13</f>
        <v>46</v>
      </c>
      <c r="F14" s="11">
        <f>+F13</f>
        <v>0</v>
      </c>
      <c r="G14" s="8">
        <f>+_xlfn.SUMIFS(G2:G13,$A$2:$A$13,1)</f>
        <v>680</v>
      </c>
      <c r="H14" s="9">
        <f>+IFERROR(G14*12/D14*100/A14,0)</f>
        <v>32.129779107769</v>
      </c>
      <c r="I14" s="8">
        <f>+_xlfn.SUMIFS(I2:I13,$A$2:$A$13,1)</f>
        <v>98</v>
      </c>
      <c r="J14" s="9">
        <f>+IFERROR(I14*12/A14/D14*100,0)</f>
        <v>4.6304681655314</v>
      </c>
      <c r="K14" s="8">
        <f>+_xlfn.SUMIFS(K2:K13,$A$2:$A$13,1)</f>
        <v>6197</v>
      </c>
      <c r="L14" s="8">
        <f>+_xlfn.SUMIFS(L2:L13,$A$2:$A$13,1)</f>
        <v>0</v>
      </c>
      <c r="M14" s="8">
        <f>+_xlfn.SUMIFS(M2:M13,$A$2:$A$13,1)</f>
        <v>3499</v>
      </c>
      <c r="N14" s="18">
        <f>+_xlfn.SUMIFS(N2:N13,$A$2:$A$13,1)</f>
        <v>2198</v>
      </c>
      <c r="O14" s="9">
        <f>+IFERROR(_xlfn.SUMIFS(O2:O13,$A$2:$A$13,1)/A14,0)</f>
        <v>6.6898456376289</v>
      </c>
      <c r="P14" s="9">
        <f>IFERROR(_xlfn.SUMIFS(P2:P13,$A$2:$A$13,1)/A14,0)</f>
        <v>33.596639501621</v>
      </c>
      <c r="Q14" s="18">
        <f>+_xlfn.SUMIFS(Q2:Q13,$A$2:$A$13,1)</f>
        <v>846</v>
      </c>
      <c r="R14" s="9">
        <f>+IFERROR((K14-Q14)/K14*100,0)</f>
        <v>86.348233015975</v>
      </c>
      <c r="S14" s="8">
        <f>+_xlfn.SUMIFS(S2:S13,$A$2:$A$13,1)</f>
        <v>3647</v>
      </c>
      <c r="T14" s="8">
        <f>+_xlfn.SUMIFS(T2:T13,$A$2:$A$13,1)</f>
        <v>44551</v>
      </c>
      <c r="U14" s="9">
        <f>+IFERROR(T14/S14,0)</f>
        <v>12.215793803126</v>
      </c>
      <c r="V14" s="8">
        <f>+_xlfn.SUMIFS(V2:V13,$A$2:$A$13,1)</f>
        <v>1592</v>
      </c>
      <c r="W14" s="9">
        <f>IFERROR(V14/T14*100,0)</f>
        <v>3.5734326951135</v>
      </c>
      <c r="X14" s="8">
        <f>+_xlfn.SUMIFS(X2:X13,$A$2:$A$13,1)</f>
        <v>1086</v>
      </c>
      <c r="Y14" s="9">
        <f>+IFERROR(X14/T14*100,0)</f>
        <v>2.4376557204103</v>
      </c>
      <c r="Z14" s="8">
        <f>+_xlfn.SUMIFS(Z2:Z13,$A$2:$A$13,1)</f>
        <v>0</v>
      </c>
      <c r="AA14" s="8">
        <f>+IFERROR(Z14/T14*100,0)</f>
        <v>0</v>
      </c>
      <c r="AB14" s="8">
        <f>+_xlfn.SUMIFS(AB2:AB13,$A$2:$A$13,1)</f>
        <v>997</v>
      </c>
      <c r="AC14" s="9">
        <f>+IFERROR(AB14/T14*100,0)</f>
        <v>2.2378846715001</v>
      </c>
      <c r="AD14" s="8">
        <f>+_xlfn.SUMIFS(AD2:AD13,$A$2:$A$13,1)</f>
        <v>40876</v>
      </c>
      <c r="AE14" s="9">
        <f>+IFERROR(AD14/S14,0)</f>
        <v>11.20811625994</v>
      </c>
      <c r="AF14" s="9">
        <f>+IFERROR(_xlfn.SUMIFS(AF2:AF13,$A$2:$A$13,1)/A14,0)</f>
        <v>4.9257904679113</v>
      </c>
      <c r="AG14" s="9">
        <f>+IFERROR(_xlfn.SUMIFS(AG2:AG13,$A$2:$A$13,1)/A14,0)</f>
        <v>0</v>
      </c>
      <c r="AH14" s="9">
        <f>+IFERROR(_xlfn.SUMIFS(AH2:AH13,$A$2:$A$13,1)/A14,0)</f>
        <v>67.995102745683</v>
      </c>
      <c r="AI14" s="16">
        <f>IFERROR(S14/$A$14*12/AI16,0)</f>
        <v>3.2033377250769</v>
      </c>
      <c r="AJ14" s="8">
        <f>+_xlfn.SUMIFS(AJ2:AJ13,$A$2:$A$13,1)</f>
        <v>3187</v>
      </c>
      <c r="AK14" s="8">
        <f>+_xlfn.SUMIFS(AK2:AK13,$A$2:$A$13,1)</f>
        <v>32169</v>
      </c>
      <c r="AL14" s="9">
        <f>+IFERROR(AK14/AJ14,0)</f>
        <v>10.093818638218</v>
      </c>
      <c r="AM14" s="8">
        <f>+_xlfn.SUMIFS(AM2:AM13,$A$2:$A$13,1)</f>
        <v>2990</v>
      </c>
      <c r="AN14" s="9">
        <f>+IFERROR(AM14/AD14*100,0)</f>
        <v>7.3148057539877</v>
      </c>
      <c r="AO14" s="9">
        <f>+IFERROR(_xlfn.SUMIFS(AO2:AO13,$A$2:$A$13,1)/A14,0)</f>
        <v>13.041575843072</v>
      </c>
      <c r="AP14" s="9">
        <f>IFERROR(AK14/$A$14*12/AI16,0)</f>
        <v>28.255599472991</v>
      </c>
      <c r="AR14" s="10">
        <f>+SUM(AR2:AR13)</f>
        <v>13662</v>
      </c>
    </row>
    <row r="15" spans="1:44">
      <c r="AI15" s="9">
        <f>+AR14</f>
        <v>13662</v>
      </c>
    </row>
    <row r="16" spans="1:44">
      <c r="AI16" s="9">
        <f>+AI15/A14</f>
        <v>1138.5</v>
      </c>
    </row>
    <row r="23" spans="1:44">
      <c r="D23" s="7"/>
      <c r="E23" s="7"/>
      <c r="F23" s="7"/>
      <c r="G23" s="7"/>
      <c r="I23" s="7"/>
      <c r="K23" s="7"/>
    </row>
    <row r="32" spans="1:44">
      <c r="D32" s="7"/>
      <c r="E32" s="7"/>
      <c r="F32" s="7"/>
      <c r="G32" s="7"/>
      <c r="I32" s="7"/>
      <c r="K32" s="7"/>
    </row>
    <row r="39" spans="1:44">
      <c r="D39" s="7"/>
      <c r="E39" s="7"/>
      <c r="F39" s="7"/>
      <c r="G39" s="7"/>
      <c r="I39" s="7"/>
      <c r="K3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getdata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hieu</cp:lastModifiedBy>
  <dcterms:created xsi:type="dcterms:W3CDTF">2020-12-30T05:21:18+01:00</dcterms:created>
  <dcterms:modified xsi:type="dcterms:W3CDTF">2023-04-28T06:22:49+02:00</dcterms:modified>
  <dc:title/>
  <dc:description/>
  <dc:subject/>
  <cp:keywords/>
  <cp:category/>
</cp:coreProperties>
</file>