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" sheetId="1" r:id="rId4"/>
    <sheet state="visible" name="Angel Investments" sheetId="2" r:id="rId5"/>
  </sheets>
  <definedNames>
    <definedName hidden="1" localSheetId="1" name="_xlnm._FilterDatabase">'Angel Investments'!$B$2:$Q$39</definedName>
  </definedNames>
  <calcPr/>
</workbook>
</file>

<file path=xl/sharedStrings.xml><?xml version="1.0" encoding="utf-8"?>
<sst xmlns="http://schemas.openxmlformats.org/spreadsheetml/2006/main" count="225" uniqueCount="98">
  <si>
    <t>xx</t>
  </si>
  <si>
    <t>Summary Metrics</t>
  </si>
  <si>
    <t>Metrics</t>
  </si>
  <si>
    <t>IRR</t>
  </si>
  <si>
    <t>Year</t>
  </si>
  <si>
    <t>Invested</t>
  </si>
  <si>
    <t>Value</t>
  </si>
  <si>
    <t>Total</t>
  </si>
  <si>
    <t># Investments</t>
  </si>
  <si>
    <t># Markups</t>
  </si>
  <si>
    <t># Busts</t>
  </si>
  <si>
    <t>Gross Multiple</t>
  </si>
  <si>
    <t>Net Multiple, Net of Carry</t>
  </si>
  <si>
    <t>TVPI</t>
  </si>
  <si>
    <t>Return, net of fees</t>
  </si>
  <si>
    <t># years invested</t>
  </si>
  <si>
    <t>Net Value</t>
  </si>
  <si>
    <t>Gross Value, Net of Fees</t>
  </si>
  <si>
    <t>Original Valuation</t>
  </si>
  <si>
    <t>Current Valuation</t>
  </si>
  <si>
    <t>Firm</t>
  </si>
  <si>
    <t>Invest Date</t>
  </si>
  <si>
    <t>Invest Year</t>
  </si>
  <si>
    <t>Fees %</t>
  </si>
  <si>
    <t>Carry %</t>
  </si>
  <si>
    <t>Referral</t>
  </si>
  <si>
    <t>Investment Type</t>
  </si>
  <si>
    <t>Round</t>
  </si>
  <si>
    <t>Market</t>
  </si>
  <si>
    <t>AON3D</t>
  </si>
  <si>
    <t>Mana Ventures</t>
  </si>
  <si>
    <t>Syndicate</t>
  </si>
  <si>
    <t>Series A</t>
  </si>
  <si>
    <t>Hardware</t>
  </si>
  <si>
    <t>Aura Health</t>
  </si>
  <si>
    <t>Seed+</t>
  </si>
  <si>
    <t>Health</t>
  </si>
  <si>
    <t>GEM</t>
  </si>
  <si>
    <t>Seed</t>
  </si>
  <si>
    <t>Good Day</t>
  </si>
  <si>
    <t>Pre-Seed</t>
  </si>
  <si>
    <t>Food / Beverages</t>
  </si>
  <si>
    <t>Goodmylk Co.</t>
  </si>
  <si>
    <t>Consumer Product</t>
  </si>
  <si>
    <t>Hamlet</t>
  </si>
  <si>
    <t>Samir</t>
  </si>
  <si>
    <t>Angel</t>
  </si>
  <si>
    <t>SAFE</t>
  </si>
  <si>
    <t>Marketplace</t>
  </si>
  <si>
    <t>Harper</t>
  </si>
  <si>
    <t>2 Days Early</t>
  </si>
  <si>
    <t>Fintech</t>
  </si>
  <si>
    <t>Hedgehog</t>
  </si>
  <si>
    <t>E-commerce</t>
  </si>
  <si>
    <t>InstaSwitch</t>
  </si>
  <si>
    <t>JuneShine</t>
  </si>
  <si>
    <t>Keep</t>
  </si>
  <si>
    <t>Data Tech Fund</t>
  </si>
  <si>
    <t>LaunchPad</t>
  </si>
  <si>
    <t>Fitness</t>
  </si>
  <si>
    <t>Margin</t>
  </si>
  <si>
    <t>Maridea</t>
  </si>
  <si>
    <t>Metadata.io</t>
  </si>
  <si>
    <t>Series A+</t>
  </si>
  <si>
    <t>Martech</t>
  </si>
  <si>
    <t>Moku Foods</t>
  </si>
  <si>
    <t>Onjuno</t>
  </si>
  <si>
    <t>Parrot Finance</t>
  </si>
  <si>
    <t>Perplexity</t>
  </si>
  <si>
    <t>Series C</t>
  </si>
  <si>
    <t>AI</t>
  </si>
  <si>
    <t>Playbook</t>
  </si>
  <si>
    <t>Rely</t>
  </si>
  <si>
    <t>Restream.io</t>
  </si>
  <si>
    <t>Media / Entertainment</t>
  </si>
  <si>
    <t>RPM Training</t>
  </si>
  <si>
    <t>Sanzo</t>
  </si>
  <si>
    <t>Soot</t>
  </si>
  <si>
    <t>Spacecadet</t>
  </si>
  <si>
    <t>SaaS</t>
  </si>
  <si>
    <t>Sugar</t>
  </si>
  <si>
    <t>Ride Wave Ventures</t>
  </si>
  <si>
    <t>Real Estate</t>
  </si>
  <si>
    <t>Sundae</t>
  </si>
  <si>
    <t>Alex Harris</t>
  </si>
  <si>
    <t>Superplastic</t>
  </si>
  <si>
    <t>Swan Bitcoin</t>
  </si>
  <si>
    <t>Crypto</t>
  </si>
  <si>
    <t>Swansea City</t>
  </si>
  <si>
    <t>SPV</t>
  </si>
  <si>
    <t>Techmate</t>
  </si>
  <si>
    <t>The Coffee</t>
  </si>
  <si>
    <t>AirAngels - Airbnb Alumni Investors</t>
  </si>
  <si>
    <t>The Food Company</t>
  </si>
  <si>
    <t>Dante Iuidici</t>
  </si>
  <si>
    <t>Toucan</t>
  </si>
  <si>
    <t>Education</t>
  </si>
  <si>
    <t>Waldo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</si>
</sst>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&quot;$&quot;#,##0"/>
    <numFmt numFmtId="166" formatCode="m/d/yyyy"/>
    <numFmt numFmtId="167" formatCode="0.00x"/>
  </numFmts>
  <fonts count="13">
    <font>
      <sz val="10.0"/>
      <color rgb="FF000000"/>
      <name val="Arial"/>
      <scheme val="minor"/>
    </font>
    <font>
      <color theme="1"/>
      <name val="Inter"/>
    </font>
    <font>
      <b/>
      <sz val="10.0"/>
      <color theme="1"/>
      <name val="Inter"/>
    </font>
    <font>
      <sz val="10.0"/>
      <color theme="1"/>
      <name val="Inter"/>
    </font>
    <font>
      <color rgb="FF38761D"/>
      <name val="Inter"/>
    </font>
    <font>
      <color rgb="FF0000FF"/>
      <name val="Inter"/>
    </font>
    <font>
      <sz val="10.0"/>
      <color rgb="FF000000"/>
      <name val="Inter"/>
    </font>
    <font>
      <b/>
      <color theme="1"/>
      <name val="Inter"/>
    </font>
    <font>
      <sz val="10.0"/>
      <color theme="1"/>
      <name val="Source Sans Pro"/>
    </font>
    <font>
      <b/>
      <sz val="10.0"/>
      <color theme="1"/>
      <name val="Source Sans Pro"/>
    </font>
    <font>
      <b/>
      <sz val="10.0"/>
      <color rgb="FF000000"/>
      <name val="Source Sans Pro"/>
    </font>
    <font>
      <sz val="10.0"/>
      <color rgb="FF0000FF"/>
      <name val="Source Sans Pro"/>
    </font>
    <font>
      <sz val="10.0"/>
      <color rgb="FF000000"/>
      <name val="Source Sans Pro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3" xfId="0" applyAlignment="1" applyFont="1" applyNumberFormat="1">
      <alignment horizontal="center"/>
    </xf>
    <xf borderId="0" fillId="0" fontId="4" numFmtId="164" xfId="0" applyAlignment="1" applyFont="1" applyNumberFormat="1">
      <alignment horizontal="left"/>
    </xf>
    <xf borderId="0" fillId="0" fontId="1" numFmtId="49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1" numFmtId="166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5" numFmtId="166" xfId="0" applyAlignment="1" applyFont="1" applyNumberFormat="1">
      <alignment horizontal="left" readingOrder="0"/>
    </xf>
    <xf borderId="0" fillId="0" fontId="6" numFmtId="167" xfId="0" applyAlignment="1" applyFont="1" applyNumberFormat="1">
      <alignment horizontal="left" readingOrder="0" shrinkToFit="0" vertical="bottom" wrapText="0"/>
    </xf>
    <xf borderId="0" fillId="0" fontId="3" numFmtId="167" xfId="0" applyAlignment="1" applyFont="1" applyNumberFormat="1">
      <alignment horizontal="center" vertical="bottom"/>
    </xf>
    <xf borderId="0" fillId="0" fontId="3" numFmtId="167" xfId="0" applyAlignment="1" applyFont="1" applyNumberFormat="1">
      <alignment horizontal="center"/>
    </xf>
    <xf borderId="0" fillId="0" fontId="3" numFmtId="165" xfId="0" applyFont="1" applyNumberFormat="1"/>
    <xf borderId="0" fillId="0" fontId="3" numFmtId="9" xfId="0" applyAlignment="1" applyFont="1" applyNumberFormat="1">
      <alignment horizontal="center"/>
    </xf>
    <xf borderId="1" fillId="0" fontId="1" numFmtId="166" xfId="0" applyAlignment="1" applyBorder="1" applyFont="1" applyNumberFormat="1">
      <alignment horizontal="left" readingOrder="0"/>
    </xf>
    <xf borderId="1" fillId="0" fontId="1" numFmtId="49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/>
    </xf>
    <xf borderId="1" fillId="0" fontId="3" numFmtId="165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readingOrder="0"/>
    </xf>
    <xf borderId="0" fillId="0" fontId="3" numFmtId="2" xfId="0" applyAlignment="1" applyFont="1" applyNumberFormat="1">
      <alignment horizontal="center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165" xfId="0" applyAlignment="1" applyFont="1" applyNumberFormat="1">
      <alignment horizontal="center"/>
    </xf>
    <xf borderId="0" fillId="0" fontId="3" numFmtId="9" xfId="0" applyAlignment="1" applyFont="1" applyNumberFormat="1">
      <alignment horizontal="center" readingOrder="0"/>
    </xf>
    <xf borderId="0" fillId="0" fontId="6" numFmtId="0" xfId="0" applyAlignment="1" applyFont="1">
      <alignment horizontal="left" readingOrder="0" shrinkToFit="0" vertical="bottom" wrapText="0"/>
    </xf>
    <xf borderId="0" fillId="0" fontId="3" numFmtId="165" xfId="0" applyAlignment="1" applyFont="1" applyNumberFormat="1">
      <alignment horizontal="center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164" xfId="0" applyAlignment="1" applyFont="1" applyNumberForma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0" numFmtId="167" xfId="0" applyAlignment="1" applyFont="1" applyNumberFormat="1">
      <alignment horizontal="center" readingOrder="0" shrinkToFit="0" vertical="bottom" wrapText="0"/>
    </xf>
    <xf borderId="0" fillId="0" fontId="8" numFmtId="0" xfId="0" applyFont="1"/>
    <xf borderId="1" fillId="0" fontId="9" numFmtId="0" xfId="0" applyAlignment="1" applyBorder="1" applyFont="1">
      <alignment readingOrder="0"/>
    </xf>
    <xf borderId="1" fillId="0" fontId="10" numFmtId="164" xfId="0" applyAlignment="1" applyBorder="1" applyFont="1" applyNumberForma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0" numFmtId="167" xfId="0" applyAlignment="1" applyBorder="1" applyFont="1" applyNumberForma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164" xfId="0" applyAlignment="1" applyFont="1" applyNumberFormat="1">
      <alignment horizontal="center" readingOrder="0" shrinkToFit="0" vertical="bottom" wrapText="0"/>
    </xf>
    <xf borderId="0" fillId="0" fontId="12" numFmtId="1" xfId="0" applyAlignment="1" applyFont="1" applyNumberFormat="1">
      <alignment horizontal="center" readingOrder="0" shrinkToFit="0" vertical="bottom" wrapText="0"/>
    </xf>
    <xf borderId="0" fillId="0" fontId="11" numFmtId="165" xfId="0" applyAlignment="1" applyFont="1" applyNumberFormat="1">
      <alignment horizontal="center" readingOrder="0" shrinkToFit="0" vertical="bottom" wrapText="0"/>
    </xf>
    <xf borderId="0" fillId="0" fontId="11" numFmtId="9" xfId="0" applyAlignment="1" applyFont="1" applyNumberFormat="1">
      <alignment horizontal="center" readingOrder="0"/>
    </xf>
    <xf borderId="0" fillId="0" fontId="8" numFmtId="165" xfId="0" applyAlignment="1" applyFont="1" applyNumberFormat="1">
      <alignment horizontal="center"/>
    </xf>
    <xf borderId="0" fillId="0" fontId="12" numFmtId="165" xfId="0" applyAlignment="1" applyFont="1" applyNumberFormat="1">
      <alignment horizontal="center" readingOrder="0" shrinkToFit="0" vertical="bottom" wrapText="0"/>
    </xf>
    <xf borderId="0" fillId="0" fontId="12" numFmtId="167" xfId="0" applyAlignment="1" applyFont="1" applyNumberFormat="1">
      <alignment horizontal="center" readingOrder="0" shrinkToFit="0" vertical="bottom" wrapText="0"/>
    </xf>
    <xf borderId="0" fillId="0" fontId="8" numFmtId="167" xfId="0" applyAlignment="1" applyFont="1" applyNumberFormat="1">
      <alignment horizontal="center" vertical="bottom"/>
    </xf>
    <xf borderId="0" fillId="0" fontId="11" numFmtId="165" xfId="0" applyAlignment="1" applyFont="1" applyNumberFormat="1">
      <alignment horizontal="center" vertical="bottom"/>
    </xf>
    <xf borderId="0" fillId="0" fontId="11" numFmtId="0" xfId="0" applyAlignment="1" applyFont="1">
      <alignment horizontal="center" readingOrder="0" shrinkToFit="0" vertical="bottom" wrapText="0"/>
    </xf>
    <xf borderId="0" fillId="0" fontId="11" numFmtId="165" xfId="0" applyAlignment="1" applyFont="1" applyNumberFormat="1">
      <alignment horizontal="center" readingOrder="0" vertical="bottom"/>
    </xf>
    <xf borderId="0" fillId="0" fontId="11" numFmtId="164" xfId="0" applyAlignment="1" applyFont="1" applyNumberFormat="1">
      <alignment horizontal="center" readingOrder="0"/>
    </xf>
    <xf borderId="0" fillId="0" fontId="11" numFmtId="10" xfId="0" applyAlignment="1" applyFont="1" applyNumberFormat="1">
      <alignment horizontal="center" readingOrder="0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21.88"/>
    <col customWidth="1" min="3" max="3" width="15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2" t="s">
        <v>0</v>
      </c>
      <c r="B2" s="3" t="s">
        <v>1</v>
      </c>
      <c r="C2" s="4" t="s">
        <v>2</v>
      </c>
      <c r="D2" s="5"/>
      <c r="E2" s="3" t="s">
        <v>3</v>
      </c>
      <c r="F2" s="3" t="s">
        <v>4</v>
      </c>
      <c r="G2" s="4" t="s">
        <v>5</v>
      </c>
      <c r="H2" s="4" t="s">
        <v>6</v>
      </c>
      <c r="I2" s="4" t="s">
        <v>7</v>
      </c>
      <c r="J2" s="1"/>
      <c r="K2" s="1"/>
      <c r="L2" s="1"/>
      <c r="M2" s="1"/>
      <c r="N2" s="1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>
      <c r="A3" s="1"/>
      <c r="B3" s="5" t="s">
        <v>8</v>
      </c>
      <c r="C3" s="7">
        <f>counta('Angel Investments'!B3:B1008)</f>
        <v>37</v>
      </c>
      <c r="D3" s="6"/>
      <c r="E3" s="8">
        <f>min('Angel Investments'!C3:C343)</f>
        <v>43578</v>
      </c>
      <c r="F3" s="9">
        <f t="shared" ref="F3:F9" si="1">year(E3)</f>
        <v>2019</v>
      </c>
      <c r="G3" s="10">
        <f>SUMIFS('Angel Investments'!$E3:$E343,'Angel Investments'!$D3:$D343,$F3)*-1</f>
        <v>-50261.87</v>
      </c>
      <c r="H3" s="11"/>
      <c r="I3" s="12">
        <f t="shared" ref="I3:I9" si="2">SUM(G3:H3)</f>
        <v>-50261.87</v>
      </c>
      <c r="J3" s="11"/>
      <c r="K3" s="11"/>
      <c r="L3" s="11"/>
      <c r="M3" s="11"/>
      <c r="N3" s="11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>
      <c r="A4" s="1"/>
      <c r="B4" s="5" t="s">
        <v>9</v>
      </c>
      <c r="C4" s="7">
        <f>COUNTIF('Angel Investments'!K3:K307,"&gt;1")</f>
        <v>15</v>
      </c>
      <c r="D4" s="6"/>
      <c r="E4" s="13">
        <v>44196.0</v>
      </c>
      <c r="F4" s="9">
        <f t="shared" si="1"/>
        <v>2020</v>
      </c>
      <c r="G4" s="10">
        <f>SUMIFS('Angel Investments'!$E4:$E344,'Angel Investments'!$D4:$D344,$F4)*-1</f>
        <v>-33100</v>
      </c>
      <c r="H4" s="1"/>
      <c r="I4" s="12">
        <f t="shared" si="2"/>
        <v>-33100</v>
      </c>
      <c r="J4" s="1"/>
      <c r="K4" s="1"/>
      <c r="L4" s="1"/>
      <c r="M4" s="1"/>
      <c r="N4" s="1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>
      <c r="A5" s="1"/>
      <c r="B5" s="5" t="s">
        <v>10</v>
      </c>
      <c r="C5" s="7">
        <f>COUNTIF('Angel Investments'!K3:K307,0)+1</f>
        <v>4</v>
      </c>
      <c r="D5" s="6"/>
      <c r="E5" s="13">
        <f t="shared" ref="E5:E8" si="3">eomonth(E4,12)</f>
        <v>44561</v>
      </c>
      <c r="F5" s="9">
        <f t="shared" si="1"/>
        <v>2021</v>
      </c>
      <c r="G5" s="10">
        <f>SUMIFS('Angel Investments'!$E5:$E345,'Angel Investments'!$D5:$D345,$F5)*-1</f>
        <v>-39385.76</v>
      </c>
      <c r="H5" s="1"/>
      <c r="I5" s="12">
        <f t="shared" si="2"/>
        <v>-39385.76</v>
      </c>
      <c r="J5" s="1"/>
      <c r="K5" s="1"/>
      <c r="L5" s="1"/>
      <c r="M5" s="1"/>
      <c r="N5" s="1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>
      <c r="A6" s="1"/>
      <c r="B6" s="14" t="s">
        <v>11</v>
      </c>
      <c r="C6" s="15">
        <f>C18/C17</f>
        <v>1.868642202</v>
      </c>
      <c r="D6" s="6"/>
      <c r="E6" s="13">
        <f t="shared" si="3"/>
        <v>44926</v>
      </c>
      <c r="F6" s="9">
        <f t="shared" si="1"/>
        <v>2022</v>
      </c>
      <c r="G6" s="10">
        <f>SUMIFS('Angel Investments'!$E6:$E346,'Angel Investments'!$D6:$D346,$F6)*-1</f>
        <v>-12500</v>
      </c>
      <c r="H6" s="1"/>
      <c r="I6" s="12">
        <f t="shared" si="2"/>
        <v>-12500</v>
      </c>
      <c r="J6" s="1"/>
      <c r="K6" s="1"/>
      <c r="L6" s="1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>
      <c r="A7" s="1"/>
      <c r="B7" s="14" t="s">
        <v>12</v>
      </c>
      <c r="C7" s="15">
        <f>SUMPRODUCT('Angel Investments'!L3:L307,'Angel Investments'!J3:J307)/SUM('Angel Investments'!L3:L307)</f>
        <v>1.661331982</v>
      </c>
      <c r="D7" s="6"/>
      <c r="E7" s="13">
        <f t="shared" si="3"/>
        <v>45291</v>
      </c>
      <c r="F7" s="9">
        <f t="shared" si="1"/>
        <v>2023</v>
      </c>
      <c r="G7" s="10">
        <f>SUMIFS('Angel Investments'!$E7:$E347,'Angel Investments'!$D7:$D347,$F7)*-1</f>
        <v>-31000</v>
      </c>
      <c r="H7" s="1"/>
      <c r="I7" s="12">
        <f t="shared" si="2"/>
        <v>-31000</v>
      </c>
      <c r="J7" s="1"/>
      <c r="K7" s="1"/>
      <c r="L7" s="1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>
      <c r="A8" s="1"/>
      <c r="B8" s="5" t="s">
        <v>13</v>
      </c>
      <c r="C8" s="16">
        <f>Performance!C15/Performance!C13</f>
        <v>1.391448647</v>
      </c>
      <c r="D8" s="17"/>
      <c r="E8" s="13">
        <f t="shared" si="3"/>
        <v>45657</v>
      </c>
      <c r="F8" s="9">
        <f t="shared" si="1"/>
        <v>2024</v>
      </c>
      <c r="G8" s="10">
        <f>SUMIFS('Angel Investments'!$E8:$E348,'Angel Investments'!$D8:$D348,$F8)*-1</f>
        <v>0</v>
      </c>
      <c r="H8" s="1"/>
      <c r="I8" s="12">
        <f t="shared" si="2"/>
        <v>0</v>
      </c>
      <c r="J8" s="1"/>
      <c r="K8" s="1"/>
      <c r="L8" s="1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>
      <c r="A9" s="1"/>
      <c r="B9" s="2" t="s">
        <v>14</v>
      </c>
      <c r="C9" s="18">
        <f>Performance!C14/Performance!C13-1</f>
        <v>0.3187156986</v>
      </c>
      <c r="D9" s="17"/>
      <c r="E9" s="19">
        <f>today()</f>
        <v>45768</v>
      </c>
      <c r="F9" s="20">
        <f t="shared" si="1"/>
        <v>2025</v>
      </c>
      <c r="G9" s="21">
        <f>SUMIFS('Angel Investments'!$E9:$E349,'Angel Investments'!$D9:$D349,$F9)*-1</f>
        <v>-47996</v>
      </c>
      <c r="H9" s="22">
        <f>SUM('Angel Investments'!I3:I343)</f>
        <v>298109.009</v>
      </c>
      <c r="I9" s="23">
        <f t="shared" si="2"/>
        <v>250113.009</v>
      </c>
      <c r="J9" s="1"/>
      <c r="K9" s="1"/>
      <c r="L9" s="1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>
      <c r="A10" s="1"/>
      <c r="B10" s="2" t="s">
        <v>15</v>
      </c>
      <c r="C10" s="24">
        <f>yearfrac(min('Angel Investments'!C3:C307),today())</f>
        <v>5.994444444</v>
      </c>
      <c r="D10" s="1"/>
      <c r="E10" s="25" t="s">
        <v>7</v>
      </c>
      <c r="F10" s="26"/>
      <c r="G10" s="27">
        <f t="shared" ref="G10:I10" si="4">SUM(G3:G9)</f>
        <v>-214243.63</v>
      </c>
      <c r="H10" s="27">
        <f t="shared" si="4"/>
        <v>298109.009</v>
      </c>
      <c r="I10" s="27">
        <f t="shared" si="4"/>
        <v>83865.37904</v>
      </c>
      <c r="J10" s="1"/>
      <c r="K10" s="1"/>
      <c r="L10" s="1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>
      <c r="A11" s="1"/>
      <c r="B11" s="2" t="s">
        <v>3</v>
      </c>
      <c r="C11" s="28">
        <f>XIRR(I3:I9,E3:E9)</f>
        <v>0.1070047386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>
      <c r="A13" s="1"/>
      <c r="B13" s="29" t="s">
        <v>5</v>
      </c>
      <c r="C13" s="30">
        <f>SUM('Angel Investments'!E3:E307)</f>
        <v>214243.63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>
      <c r="A14" s="1"/>
      <c r="B14" s="29" t="s">
        <v>16</v>
      </c>
      <c r="C14" s="30">
        <f>SUM('Angel Investments'!H3:H307)</f>
        <v>282526.4382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>
      <c r="A15" s="1"/>
      <c r="B15" s="29" t="s">
        <v>17</v>
      </c>
      <c r="C15" s="30">
        <f>SUM('Angel Investments'!I3:I307)</f>
        <v>298109.009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>
      <c r="A17" s="1"/>
      <c r="B17" s="29" t="s">
        <v>18</v>
      </c>
      <c r="C17" s="30">
        <f>SUM('Angel Investments'!L3:L307)</f>
        <v>10900000000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>
      <c r="A18" s="1"/>
      <c r="B18" s="29" t="s">
        <v>19</v>
      </c>
      <c r="C18" s="30">
        <f>SUM('Angel Investments'!M3:M307)</f>
        <v>20368200004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>
      <c r="A19" s="6"/>
      <c r="B19" s="6"/>
      <c r="C19" s="6"/>
      <c r="D19" s="6"/>
      <c r="E19" s="1"/>
      <c r="F19" s="1"/>
      <c r="G19" s="1"/>
      <c r="H19" s="1"/>
      <c r="I19" s="1"/>
      <c r="J19" s="1"/>
      <c r="K19" s="1"/>
      <c r="L19" s="1"/>
      <c r="M19" s="1"/>
      <c r="N19" s="1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>
      <c r="A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.63"/>
    <col customWidth="1" min="2" max="2" width="15.13"/>
    <col customWidth="1" min="3" max="3" width="12.0"/>
    <col customWidth="1" min="4" max="4" width="9.0"/>
    <col customWidth="1" min="9" max="9" width="13.5"/>
    <col customWidth="1" min="10" max="10" width="10.75"/>
    <col customWidth="1" min="11" max="12" width="14.25"/>
    <col customWidth="1" min="13" max="13" width="14.0"/>
    <col customWidth="1" min="15" max="15" width="14.63"/>
    <col customWidth="1" min="17" max="17" width="14.38"/>
    <col customWidth="1" min="19" max="19" width="2.63"/>
  </cols>
  <sheetData>
    <row r="1">
      <c r="A1" s="31"/>
      <c r="B1" s="32"/>
      <c r="C1" s="33"/>
      <c r="D1" s="34"/>
      <c r="E1" s="34"/>
      <c r="F1" s="34"/>
      <c r="G1" s="34"/>
      <c r="H1" s="34"/>
      <c r="I1" s="34"/>
      <c r="J1" s="35"/>
      <c r="K1" s="35"/>
      <c r="L1" s="34"/>
      <c r="M1" s="34"/>
      <c r="N1" s="34"/>
      <c r="O1" s="34"/>
      <c r="P1" s="34"/>
      <c r="Q1" s="34"/>
      <c r="R1" s="36"/>
      <c r="AE1" s="36"/>
      <c r="AF1" s="36"/>
    </row>
    <row r="2">
      <c r="A2" s="31" t="s">
        <v>0</v>
      </c>
      <c r="B2" s="37" t="s">
        <v>20</v>
      </c>
      <c r="C2" s="38" t="s">
        <v>21</v>
      </c>
      <c r="D2" s="39" t="s">
        <v>22</v>
      </c>
      <c r="E2" s="39" t="s">
        <v>5</v>
      </c>
      <c r="F2" s="39" t="s">
        <v>23</v>
      </c>
      <c r="G2" s="39" t="s">
        <v>24</v>
      </c>
      <c r="H2" s="39" t="s">
        <v>16</v>
      </c>
      <c r="I2" s="39" t="s">
        <v>17</v>
      </c>
      <c r="J2" s="40" t="s">
        <v>12</v>
      </c>
      <c r="K2" s="40" t="s">
        <v>11</v>
      </c>
      <c r="L2" s="39" t="s">
        <v>18</v>
      </c>
      <c r="M2" s="39" t="s">
        <v>19</v>
      </c>
      <c r="N2" s="39" t="s">
        <v>25</v>
      </c>
      <c r="O2" s="39" t="s">
        <v>26</v>
      </c>
      <c r="P2" s="39" t="s">
        <v>27</v>
      </c>
      <c r="Q2" s="39" t="s">
        <v>28</v>
      </c>
      <c r="R2" s="36"/>
      <c r="AE2" s="36"/>
      <c r="AF2" s="36"/>
    </row>
    <row r="3">
      <c r="A3" s="36"/>
      <c r="B3" s="41" t="s">
        <v>29</v>
      </c>
      <c r="C3" s="42">
        <v>43816.709027777775</v>
      </c>
      <c r="D3" s="43">
        <f t="shared" ref="D3:D39" si="1">year(C3)</f>
        <v>2019</v>
      </c>
      <c r="E3" s="44">
        <v>10000.0</v>
      </c>
      <c r="F3" s="45">
        <v>0.04</v>
      </c>
      <c r="G3" s="45">
        <v>0.2</v>
      </c>
      <c r="H3" s="46">
        <f t="shared" ref="H3:H39" si="2">E3*J3</f>
        <v>11539.39394</v>
      </c>
      <c r="I3" s="47">
        <f t="shared" ref="I3:I39" si="3">E3*K3*(1-$F3)</f>
        <v>11927.27273</v>
      </c>
      <c r="J3" s="48">
        <f t="shared" ref="J3:J39" si="4">(IF(K3&gt;1,(K3-1)*(1-$G3)+1*(1-$F3),IF(AND(K3&lt;=1,K3&gt;0),K3*(1-$F3),$F3*-1)))</f>
        <v>1.153939394</v>
      </c>
      <c r="K3" s="49">
        <f t="shared" ref="K3:K39" si="5">M3/L3</f>
        <v>1.242424242</v>
      </c>
      <c r="L3" s="50">
        <v>3.3E7</v>
      </c>
      <c r="M3" s="50">
        <v>4.1E7</v>
      </c>
      <c r="N3" s="51" t="s">
        <v>30</v>
      </c>
      <c r="O3" s="51" t="s">
        <v>31</v>
      </c>
      <c r="P3" s="51" t="s">
        <v>32</v>
      </c>
      <c r="Q3" s="51" t="s">
        <v>33</v>
      </c>
      <c r="R3" s="36"/>
      <c r="AE3" s="36"/>
      <c r="AF3" s="36"/>
    </row>
    <row r="4">
      <c r="A4" s="36"/>
      <c r="B4" s="41" t="s">
        <v>34</v>
      </c>
      <c r="C4" s="42">
        <v>44056.77847222222</v>
      </c>
      <c r="D4" s="43">
        <f t="shared" si="1"/>
        <v>2020</v>
      </c>
      <c r="E4" s="44">
        <v>5000.0</v>
      </c>
      <c r="F4" s="45">
        <v>0.02</v>
      </c>
      <c r="G4" s="45">
        <v>0.2</v>
      </c>
      <c r="H4" s="46">
        <f t="shared" si="2"/>
        <v>20429.41176</v>
      </c>
      <c r="I4" s="47">
        <f t="shared" si="3"/>
        <v>23923.52941</v>
      </c>
      <c r="J4" s="48">
        <f t="shared" si="4"/>
        <v>4.085882353</v>
      </c>
      <c r="K4" s="49">
        <f t="shared" si="5"/>
        <v>4.882352941</v>
      </c>
      <c r="L4" s="50">
        <v>1.7E7</v>
      </c>
      <c r="M4" s="52">
        <v>8.3E7</v>
      </c>
      <c r="N4" s="51" t="s">
        <v>30</v>
      </c>
      <c r="O4" s="51" t="s">
        <v>31</v>
      </c>
      <c r="P4" s="51" t="s">
        <v>35</v>
      </c>
      <c r="Q4" s="51" t="s">
        <v>36</v>
      </c>
      <c r="R4" s="36"/>
      <c r="AE4" s="36"/>
      <c r="AF4" s="36"/>
    </row>
    <row r="5">
      <c r="A5" s="36"/>
      <c r="B5" s="41" t="s">
        <v>37</v>
      </c>
      <c r="C5" s="42">
        <v>43847.73819444444</v>
      </c>
      <c r="D5" s="43">
        <f t="shared" si="1"/>
        <v>2020</v>
      </c>
      <c r="E5" s="44">
        <v>5000.0</v>
      </c>
      <c r="F5" s="45">
        <v>0.07</v>
      </c>
      <c r="G5" s="45">
        <v>0.2</v>
      </c>
      <c r="H5" s="46">
        <f t="shared" si="2"/>
        <v>16650</v>
      </c>
      <c r="I5" s="47">
        <f t="shared" si="3"/>
        <v>18600</v>
      </c>
      <c r="J5" s="48">
        <f t="shared" si="4"/>
        <v>3.33</v>
      </c>
      <c r="K5" s="49">
        <f t="shared" si="5"/>
        <v>4</v>
      </c>
      <c r="L5" s="50">
        <v>1.5E7</v>
      </c>
      <c r="M5" s="52">
        <v>6.0E7</v>
      </c>
      <c r="N5" s="51" t="s">
        <v>30</v>
      </c>
      <c r="O5" s="51" t="s">
        <v>31</v>
      </c>
      <c r="P5" s="51" t="s">
        <v>38</v>
      </c>
      <c r="Q5" s="51" t="s">
        <v>36</v>
      </c>
      <c r="R5" s="36"/>
      <c r="AE5" s="36"/>
      <c r="AF5" s="36"/>
    </row>
    <row r="6">
      <c r="A6" s="36"/>
      <c r="B6" s="41" t="s">
        <v>39</v>
      </c>
      <c r="C6" s="42">
        <v>43578.0</v>
      </c>
      <c r="D6" s="43">
        <f t="shared" si="1"/>
        <v>2019</v>
      </c>
      <c r="E6" s="44">
        <v>10000.0</v>
      </c>
      <c r="F6" s="45">
        <v>0.0</v>
      </c>
      <c r="G6" s="45">
        <v>0.2</v>
      </c>
      <c r="H6" s="46">
        <f t="shared" si="2"/>
        <v>0.002</v>
      </c>
      <c r="I6" s="47">
        <f t="shared" si="3"/>
        <v>0.002</v>
      </c>
      <c r="J6" s="48">
        <f t="shared" si="4"/>
        <v>0.0000002</v>
      </c>
      <c r="K6" s="49">
        <f t="shared" si="5"/>
        <v>0.0000002</v>
      </c>
      <c r="L6" s="50">
        <v>5000000.0</v>
      </c>
      <c r="M6" s="52">
        <v>1.0</v>
      </c>
      <c r="N6" s="51" t="s">
        <v>30</v>
      </c>
      <c r="O6" s="51" t="s">
        <v>31</v>
      </c>
      <c r="P6" s="51" t="s">
        <v>40</v>
      </c>
      <c r="Q6" s="51" t="s">
        <v>41</v>
      </c>
      <c r="R6" s="36"/>
      <c r="AE6" s="36"/>
      <c r="AF6" s="36"/>
    </row>
    <row r="7">
      <c r="A7" s="36"/>
      <c r="B7" s="41" t="s">
        <v>42</v>
      </c>
      <c r="C7" s="42">
        <v>43718.71111111111</v>
      </c>
      <c r="D7" s="43">
        <f t="shared" si="1"/>
        <v>2019</v>
      </c>
      <c r="E7" s="44">
        <v>5000.0</v>
      </c>
      <c r="F7" s="45">
        <v>0.09</v>
      </c>
      <c r="G7" s="45">
        <v>0.2</v>
      </c>
      <c r="H7" s="46">
        <f t="shared" si="2"/>
        <v>-450</v>
      </c>
      <c r="I7" s="47">
        <f t="shared" si="3"/>
        <v>0</v>
      </c>
      <c r="J7" s="48">
        <f t="shared" si="4"/>
        <v>-0.09</v>
      </c>
      <c r="K7" s="49">
        <f t="shared" si="5"/>
        <v>0</v>
      </c>
      <c r="L7" s="50">
        <v>8000000.0</v>
      </c>
      <c r="M7" s="52">
        <v>0.0</v>
      </c>
      <c r="N7" s="51" t="s">
        <v>30</v>
      </c>
      <c r="O7" s="51" t="s">
        <v>31</v>
      </c>
      <c r="P7" s="51" t="s">
        <v>35</v>
      </c>
      <c r="Q7" s="51" t="s">
        <v>43</v>
      </c>
      <c r="R7" s="36"/>
      <c r="AE7" s="36"/>
      <c r="AF7" s="36"/>
    </row>
    <row r="8">
      <c r="A8" s="36"/>
      <c r="B8" s="41" t="s">
        <v>44</v>
      </c>
      <c r="C8" s="42">
        <v>43684.708333333336</v>
      </c>
      <c r="D8" s="43">
        <f t="shared" si="1"/>
        <v>2019</v>
      </c>
      <c r="E8" s="44">
        <v>5000.0</v>
      </c>
      <c r="F8" s="45">
        <v>0.0</v>
      </c>
      <c r="G8" s="45">
        <v>0.0</v>
      </c>
      <c r="H8" s="46">
        <f t="shared" si="2"/>
        <v>0</v>
      </c>
      <c r="I8" s="47">
        <f t="shared" si="3"/>
        <v>0</v>
      </c>
      <c r="J8" s="48">
        <f t="shared" si="4"/>
        <v>0</v>
      </c>
      <c r="K8" s="49">
        <f t="shared" si="5"/>
        <v>0</v>
      </c>
      <c r="L8" s="50">
        <v>5000000.0</v>
      </c>
      <c r="M8" s="52">
        <v>0.0</v>
      </c>
      <c r="N8" s="51" t="s">
        <v>45</v>
      </c>
      <c r="O8" s="51" t="s">
        <v>46</v>
      </c>
      <c r="P8" s="51" t="s">
        <v>47</v>
      </c>
      <c r="Q8" s="51" t="s">
        <v>48</v>
      </c>
      <c r="R8" s="36"/>
      <c r="AE8" s="36"/>
      <c r="AF8" s="36"/>
    </row>
    <row r="9">
      <c r="A9" s="36"/>
      <c r="B9" s="32" t="s">
        <v>49</v>
      </c>
      <c r="C9" s="53">
        <v>45231.0</v>
      </c>
      <c r="D9" s="43">
        <f t="shared" si="1"/>
        <v>2023</v>
      </c>
      <c r="E9" s="44">
        <v>2000.0</v>
      </c>
      <c r="F9" s="54">
        <f>1500/18500</f>
        <v>0.08108108108</v>
      </c>
      <c r="G9" s="45">
        <v>0.0</v>
      </c>
      <c r="H9" s="46">
        <f t="shared" si="2"/>
        <v>1837.837838</v>
      </c>
      <c r="I9" s="47">
        <f t="shared" si="3"/>
        <v>1837.837838</v>
      </c>
      <c r="J9" s="48">
        <f t="shared" si="4"/>
        <v>0.9189189189</v>
      </c>
      <c r="K9" s="49">
        <f t="shared" si="5"/>
        <v>1</v>
      </c>
      <c r="L9" s="52">
        <v>4000000.0</v>
      </c>
      <c r="M9" s="52">
        <v>4000000.0</v>
      </c>
      <c r="N9" s="51" t="s">
        <v>50</v>
      </c>
      <c r="O9" s="51" t="s">
        <v>31</v>
      </c>
      <c r="P9" s="51" t="s">
        <v>47</v>
      </c>
      <c r="Q9" s="51" t="s">
        <v>51</v>
      </c>
      <c r="R9" s="36"/>
      <c r="AE9" s="36"/>
      <c r="AF9" s="36"/>
    </row>
    <row r="10">
      <c r="A10" s="36"/>
      <c r="B10" s="32" t="s">
        <v>52</v>
      </c>
      <c r="C10" s="53">
        <v>44360.0</v>
      </c>
      <c r="D10" s="43">
        <f t="shared" si="1"/>
        <v>2021</v>
      </c>
      <c r="E10" s="44">
        <v>5000.0</v>
      </c>
      <c r="F10" s="54">
        <v>0.013</v>
      </c>
      <c r="G10" s="45">
        <v>0.2</v>
      </c>
      <c r="H10" s="46">
        <f t="shared" si="2"/>
        <v>0.000705</v>
      </c>
      <c r="I10" s="47">
        <f t="shared" si="3"/>
        <v>0.000705</v>
      </c>
      <c r="J10" s="48">
        <f t="shared" si="4"/>
        <v>0.000000141</v>
      </c>
      <c r="K10" s="49">
        <f t="shared" si="5"/>
        <v>0.0000001428571429</v>
      </c>
      <c r="L10" s="52">
        <v>7000000.0</v>
      </c>
      <c r="M10" s="52">
        <v>1.0</v>
      </c>
      <c r="N10" s="51" t="s">
        <v>30</v>
      </c>
      <c r="O10" s="51" t="s">
        <v>31</v>
      </c>
      <c r="P10" s="51" t="s">
        <v>40</v>
      </c>
      <c r="Q10" s="51" t="s">
        <v>53</v>
      </c>
      <c r="R10" s="36"/>
      <c r="AE10" s="36"/>
      <c r="AF10" s="36"/>
    </row>
    <row r="11">
      <c r="A11" s="36"/>
      <c r="B11" s="41" t="s">
        <v>54</v>
      </c>
      <c r="C11" s="42">
        <v>45702.0</v>
      </c>
      <c r="D11" s="43">
        <f t="shared" si="1"/>
        <v>2025</v>
      </c>
      <c r="E11" s="44">
        <v>10000.0</v>
      </c>
      <c r="F11" s="45">
        <v>0.0</v>
      </c>
      <c r="G11" s="45">
        <v>0.0</v>
      </c>
      <c r="H11" s="46">
        <f t="shared" si="2"/>
        <v>10000</v>
      </c>
      <c r="I11" s="47">
        <f t="shared" si="3"/>
        <v>10000</v>
      </c>
      <c r="J11" s="48">
        <f t="shared" si="4"/>
        <v>1</v>
      </c>
      <c r="K11" s="49">
        <f t="shared" si="5"/>
        <v>1</v>
      </c>
      <c r="L11" s="52">
        <v>1.0E7</v>
      </c>
      <c r="M11" s="52">
        <v>1.0E7</v>
      </c>
      <c r="N11" s="51" t="s">
        <v>45</v>
      </c>
      <c r="O11" s="51" t="s">
        <v>46</v>
      </c>
      <c r="P11" s="51" t="s">
        <v>47</v>
      </c>
      <c r="Q11" s="51" t="s">
        <v>51</v>
      </c>
      <c r="R11" s="36"/>
      <c r="AE11" s="36"/>
      <c r="AF11" s="36"/>
    </row>
    <row r="12">
      <c r="A12" s="36"/>
      <c r="B12" s="41" t="s">
        <v>55</v>
      </c>
      <c r="C12" s="42">
        <v>43798.0</v>
      </c>
      <c r="D12" s="43">
        <f t="shared" si="1"/>
        <v>2019</v>
      </c>
      <c r="E12" s="44">
        <v>10261.87</v>
      </c>
      <c r="F12" s="45">
        <v>0.1</v>
      </c>
      <c r="G12" s="45">
        <v>0.2</v>
      </c>
      <c r="H12" s="46">
        <f t="shared" si="2"/>
        <v>37067.87676</v>
      </c>
      <c r="I12" s="47">
        <f t="shared" si="3"/>
        <v>40546.90098</v>
      </c>
      <c r="J12" s="48">
        <f t="shared" si="4"/>
        <v>3.612195122</v>
      </c>
      <c r="K12" s="49">
        <f t="shared" si="5"/>
        <v>4.390243902</v>
      </c>
      <c r="L12" s="52">
        <v>4.1E7</v>
      </c>
      <c r="M12" s="52">
        <v>1.8E8</v>
      </c>
      <c r="N12" s="51" t="s">
        <v>30</v>
      </c>
      <c r="O12" s="51" t="s">
        <v>31</v>
      </c>
      <c r="P12" s="51" t="s">
        <v>35</v>
      </c>
      <c r="Q12" s="51" t="s">
        <v>41</v>
      </c>
      <c r="R12" s="36"/>
      <c r="AE12" s="36"/>
      <c r="AF12" s="36"/>
    </row>
    <row r="13">
      <c r="A13" s="36"/>
      <c r="B13" s="41" t="s">
        <v>55</v>
      </c>
      <c r="C13" s="42">
        <v>44176.770833333336</v>
      </c>
      <c r="D13" s="43">
        <f t="shared" si="1"/>
        <v>2020</v>
      </c>
      <c r="E13" s="44">
        <v>5000.0</v>
      </c>
      <c r="F13" s="45">
        <v>0.01</v>
      </c>
      <c r="G13" s="45">
        <v>0.2</v>
      </c>
      <c r="H13" s="46">
        <f t="shared" si="2"/>
        <v>9950</v>
      </c>
      <c r="I13" s="47">
        <f t="shared" si="3"/>
        <v>11137.5</v>
      </c>
      <c r="J13" s="48">
        <f t="shared" si="4"/>
        <v>1.99</v>
      </c>
      <c r="K13" s="49">
        <f t="shared" si="5"/>
        <v>2.25</v>
      </c>
      <c r="L13" s="50">
        <v>8.0E7</v>
      </c>
      <c r="M13" s="52">
        <v>1.8E8</v>
      </c>
      <c r="N13" s="51" t="s">
        <v>30</v>
      </c>
      <c r="O13" s="51" t="s">
        <v>31</v>
      </c>
      <c r="P13" s="51" t="s">
        <v>32</v>
      </c>
      <c r="Q13" s="51" t="s">
        <v>41</v>
      </c>
      <c r="R13" s="36"/>
      <c r="AE13" s="36"/>
      <c r="AF13" s="36"/>
    </row>
    <row r="14">
      <c r="A14" s="36"/>
      <c r="B14" s="55" t="s">
        <v>56</v>
      </c>
      <c r="C14" s="53">
        <v>45684.0</v>
      </c>
      <c r="D14" s="43">
        <f t="shared" si="1"/>
        <v>2025</v>
      </c>
      <c r="E14" s="44">
        <v>5000.0</v>
      </c>
      <c r="F14" s="54">
        <v>0.0043</v>
      </c>
      <c r="G14" s="45">
        <v>0.2</v>
      </c>
      <c r="H14" s="46">
        <f t="shared" si="2"/>
        <v>4978.5</v>
      </c>
      <c r="I14" s="47">
        <f t="shared" si="3"/>
        <v>4978.5</v>
      </c>
      <c r="J14" s="48">
        <f t="shared" si="4"/>
        <v>0.9957</v>
      </c>
      <c r="K14" s="49">
        <f t="shared" si="5"/>
        <v>1</v>
      </c>
      <c r="L14" s="52">
        <v>1.5E8</v>
      </c>
      <c r="M14" s="52">
        <v>1.5E8</v>
      </c>
      <c r="N14" s="51" t="s">
        <v>57</v>
      </c>
      <c r="O14" s="51" t="s">
        <v>31</v>
      </c>
      <c r="P14" s="51" t="s">
        <v>32</v>
      </c>
      <c r="Q14" s="51" t="s">
        <v>51</v>
      </c>
      <c r="R14" s="36"/>
      <c r="AE14" s="36"/>
      <c r="AF14" s="36"/>
    </row>
    <row r="15">
      <c r="A15" s="36"/>
      <c r="B15" s="41" t="s">
        <v>58</v>
      </c>
      <c r="C15" s="42">
        <v>44334.0</v>
      </c>
      <c r="D15" s="43">
        <f t="shared" si="1"/>
        <v>2021</v>
      </c>
      <c r="E15" s="44">
        <v>10000.0</v>
      </c>
      <c r="F15" s="45">
        <v>0.0</v>
      </c>
      <c r="G15" s="45">
        <v>0.0</v>
      </c>
      <c r="H15" s="46">
        <f t="shared" si="2"/>
        <v>0</v>
      </c>
      <c r="I15" s="47">
        <f t="shared" si="3"/>
        <v>0</v>
      </c>
      <c r="J15" s="48">
        <f t="shared" si="4"/>
        <v>0</v>
      </c>
      <c r="K15" s="49">
        <f t="shared" si="5"/>
        <v>0</v>
      </c>
      <c r="L15" s="50">
        <v>5000000.0</v>
      </c>
      <c r="M15" s="52">
        <v>0.0</v>
      </c>
      <c r="N15" s="51" t="s">
        <v>45</v>
      </c>
      <c r="O15" s="51" t="s">
        <v>46</v>
      </c>
      <c r="P15" s="51" t="s">
        <v>40</v>
      </c>
      <c r="Q15" s="51" t="s">
        <v>59</v>
      </c>
      <c r="R15" s="36"/>
      <c r="AE15" s="36"/>
      <c r="AF15" s="36"/>
    </row>
    <row r="16">
      <c r="A16" s="36"/>
      <c r="B16" s="55" t="s">
        <v>60</v>
      </c>
      <c r="C16" s="53">
        <v>45696.0</v>
      </c>
      <c r="D16" s="43">
        <f t="shared" si="1"/>
        <v>2025</v>
      </c>
      <c r="E16" s="44">
        <v>10000.0</v>
      </c>
      <c r="F16" s="45">
        <v>0.0</v>
      </c>
      <c r="G16" s="45">
        <v>0.0</v>
      </c>
      <c r="H16" s="46">
        <f t="shared" si="2"/>
        <v>15000</v>
      </c>
      <c r="I16" s="47">
        <f t="shared" si="3"/>
        <v>15000</v>
      </c>
      <c r="J16" s="48">
        <f t="shared" si="4"/>
        <v>1.5</v>
      </c>
      <c r="K16" s="49">
        <f t="shared" si="5"/>
        <v>1.5</v>
      </c>
      <c r="L16" s="52">
        <v>8000000.0</v>
      </c>
      <c r="M16" s="52">
        <v>1.2E7</v>
      </c>
      <c r="N16" s="51" t="s">
        <v>45</v>
      </c>
      <c r="O16" s="51" t="s">
        <v>46</v>
      </c>
      <c r="P16" s="51" t="s">
        <v>47</v>
      </c>
      <c r="Q16" s="51" t="s">
        <v>51</v>
      </c>
      <c r="R16" s="36"/>
      <c r="AE16" s="36"/>
      <c r="AF16" s="36"/>
    </row>
    <row r="17">
      <c r="A17" s="36"/>
      <c r="B17" s="55" t="s">
        <v>61</v>
      </c>
      <c r="C17" s="53">
        <v>45151.0</v>
      </c>
      <c r="D17" s="43">
        <f t="shared" si="1"/>
        <v>2023</v>
      </c>
      <c r="E17" s="44">
        <v>10000.0</v>
      </c>
      <c r="F17" s="45">
        <v>0.0</v>
      </c>
      <c r="G17" s="45">
        <v>0.0</v>
      </c>
      <c r="H17" s="46">
        <f t="shared" si="2"/>
        <v>18000</v>
      </c>
      <c r="I17" s="47">
        <f t="shared" si="3"/>
        <v>18000</v>
      </c>
      <c r="J17" s="48">
        <f t="shared" si="4"/>
        <v>1.8</v>
      </c>
      <c r="K17" s="49">
        <f t="shared" si="5"/>
        <v>1.8</v>
      </c>
      <c r="L17" s="52">
        <v>4000000.0</v>
      </c>
      <c r="M17" s="52">
        <f>0.9/0.5*L17</f>
        <v>7200000</v>
      </c>
      <c r="N17" s="51" t="s">
        <v>45</v>
      </c>
      <c r="O17" s="51" t="s">
        <v>46</v>
      </c>
      <c r="P17" s="51" t="s">
        <v>40</v>
      </c>
      <c r="Q17" s="51" t="s">
        <v>51</v>
      </c>
      <c r="R17" s="36"/>
      <c r="AE17" s="36"/>
      <c r="AF17" s="36"/>
    </row>
    <row r="18">
      <c r="A18" s="36"/>
      <c r="B18" s="55" t="s">
        <v>62</v>
      </c>
      <c r="C18" s="53">
        <v>44443.0</v>
      </c>
      <c r="D18" s="43">
        <f t="shared" si="1"/>
        <v>2021</v>
      </c>
      <c r="E18" s="44">
        <v>1885.76</v>
      </c>
      <c r="F18" s="54">
        <f>8000/500000</f>
        <v>0.016</v>
      </c>
      <c r="G18" s="45">
        <v>0.2</v>
      </c>
      <c r="H18" s="46">
        <f t="shared" si="2"/>
        <v>3243.5072</v>
      </c>
      <c r="I18" s="47">
        <f t="shared" si="3"/>
        <v>3562.728653</v>
      </c>
      <c r="J18" s="48">
        <f t="shared" si="4"/>
        <v>1.72</v>
      </c>
      <c r="K18" s="49">
        <f t="shared" si="5"/>
        <v>1.92</v>
      </c>
      <c r="L18" s="52">
        <v>1.25E8</v>
      </c>
      <c r="M18" s="52">
        <v>2.4E8</v>
      </c>
      <c r="N18" s="51" t="s">
        <v>30</v>
      </c>
      <c r="O18" s="51" t="s">
        <v>31</v>
      </c>
      <c r="P18" s="51" t="s">
        <v>63</v>
      </c>
      <c r="Q18" s="51" t="s">
        <v>64</v>
      </c>
      <c r="R18" s="36"/>
      <c r="AE18" s="36"/>
      <c r="AF18" s="36"/>
    </row>
    <row r="19">
      <c r="A19" s="36"/>
      <c r="B19" s="41" t="s">
        <v>65</v>
      </c>
      <c r="C19" s="42">
        <v>43670.24652777778</v>
      </c>
      <c r="D19" s="43">
        <f t="shared" si="1"/>
        <v>2019</v>
      </c>
      <c r="E19" s="44">
        <v>10000.0</v>
      </c>
      <c r="F19" s="45">
        <v>0.04</v>
      </c>
      <c r="G19" s="45">
        <v>0.2</v>
      </c>
      <c r="H19" s="46">
        <f t="shared" si="2"/>
        <v>19200</v>
      </c>
      <c r="I19" s="47">
        <f t="shared" si="3"/>
        <v>21120</v>
      </c>
      <c r="J19" s="48">
        <f t="shared" si="4"/>
        <v>1.92</v>
      </c>
      <c r="K19" s="49">
        <f t="shared" si="5"/>
        <v>2.2</v>
      </c>
      <c r="L19" s="50">
        <v>5000000.0</v>
      </c>
      <c r="M19" s="52">
        <v>1.1E7</v>
      </c>
      <c r="N19" s="51" t="s">
        <v>30</v>
      </c>
      <c r="O19" s="51" t="s">
        <v>31</v>
      </c>
      <c r="P19" s="51" t="s">
        <v>40</v>
      </c>
      <c r="Q19" s="51" t="s">
        <v>41</v>
      </c>
      <c r="R19" s="36"/>
      <c r="AE19" s="36"/>
      <c r="AF19" s="36"/>
    </row>
    <row r="20">
      <c r="A20" s="36"/>
      <c r="B20" s="55" t="s">
        <v>66</v>
      </c>
      <c r="C20" s="53">
        <v>44589.71944444445</v>
      </c>
      <c r="D20" s="43">
        <f t="shared" si="1"/>
        <v>2022</v>
      </c>
      <c r="E20" s="44">
        <v>10000.0</v>
      </c>
      <c r="F20" s="54">
        <v>0.08</v>
      </c>
      <c r="G20" s="45">
        <v>0.0</v>
      </c>
      <c r="H20" s="46">
        <f t="shared" si="2"/>
        <v>9200</v>
      </c>
      <c r="I20" s="47">
        <f t="shared" si="3"/>
        <v>9200</v>
      </c>
      <c r="J20" s="48">
        <f t="shared" si="4"/>
        <v>0.92</v>
      </c>
      <c r="K20" s="49">
        <f t="shared" si="5"/>
        <v>1</v>
      </c>
      <c r="L20" s="52">
        <v>5.2E7</v>
      </c>
      <c r="M20" s="52">
        <v>5.2E7</v>
      </c>
      <c r="N20" s="51" t="s">
        <v>50</v>
      </c>
      <c r="O20" s="51" t="s">
        <v>31</v>
      </c>
      <c r="P20" s="51" t="s">
        <v>32</v>
      </c>
      <c r="Q20" s="51" t="s">
        <v>51</v>
      </c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</row>
    <row r="21">
      <c r="A21" s="36"/>
      <c r="B21" s="41" t="s">
        <v>67</v>
      </c>
      <c r="C21" s="42">
        <v>45702.0</v>
      </c>
      <c r="D21" s="43">
        <f t="shared" si="1"/>
        <v>2025</v>
      </c>
      <c r="E21" s="44">
        <v>5000.0</v>
      </c>
      <c r="F21" s="45">
        <v>0.0</v>
      </c>
      <c r="G21" s="45">
        <v>0.0</v>
      </c>
      <c r="H21" s="46">
        <f t="shared" si="2"/>
        <v>5000</v>
      </c>
      <c r="I21" s="47">
        <f t="shared" si="3"/>
        <v>5000</v>
      </c>
      <c r="J21" s="48">
        <f t="shared" si="4"/>
        <v>1</v>
      </c>
      <c r="K21" s="49">
        <f t="shared" si="5"/>
        <v>1</v>
      </c>
      <c r="L21" s="52">
        <v>1.5E7</v>
      </c>
      <c r="M21" s="52">
        <v>1.5E7</v>
      </c>
      <c r="N21" s="51" t="s">
        <v>45</v>
      </c>
      <c r="O21" s="51" t="s">
        <v>46</v>
      </c>
      <c r="P21" s="51" t="s">
        <v>47</v>
      </c>
      <c r="Q21" s="51" t="s">
        <v>51</v>
      </c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>
      <c r="A22" s="36"/>
      <c r="B22" s="41" t="s">
        <v>68</v>
      </c>
      <c r="C22" s="42">
        <v>45708.0</v>
      </c>
      <c r="D22" s="43">
        <f t="shared" si="1"/>
        <v>2025</v>
      </c>
      <c r="E22" s="44">
        <v>12996.0</v>
      </c>
      <c r="F22" s="45">
        <v>0.22996</v>
      </c>
      <c r="G22" s="45">
        <v>0.0</v>
      </c>
      <c r="H22" s="46">
        <f t="shared" si="2"/>
        <v>23003.43984</v>
      </c>
      <c r="I22" s="47">
        <f t="shared" si="3"/>
        <v>20014.87968</v>
      </c>
      <c r="J22" s="48">
        <f t="shared" si="4"/>
        <v>1.77004</v>
      </c>
      <c r="K22" s="49">
        <f t="shared" si="5"/>
        <v>2</v>
      </c>
      <c r="L22" s="52">
        <v>9.0E9</v>
      </c>
      <c r="M22" s="52">
        <v>1.8E10</v>
      </c>
      <c r="N22" s="51" t="s">
        <v>45</v>
      </c>
      <c r="O22" s="51" t="s">
        <v>46</v>
      </c>
      <c r="P22" s="51" t="s">
        <v>69</v>
      </c>
      <c r="Q22" s="51" t="s">
        <v>70</v>
      </c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>
      <c r="A23" s="36"/>
      <c r="B23" s="41" t="s">
        <v>71</v>
      </c>
      <c r="C23" s="42">
        <v>44075.74444444444</v>
      </c>
      <c r="D23" s="43">
        <f t="shared" si="1"/>
        <v>2020</v>
      </c>
      <c r="E23" s="44">
        <v>5000.0</v>
      </c>
      <c r="F23" s="45">
        <v>0.02</v>
      </c>
      <c r="G23" s="45">
        <v>0.2</v>
      </c>
      <c r="H23" s="46">
        <f t="shared" si="2"/>
        <v>4900</v>
      </c>
      <c r="I23" s="47">
        <f t="shared" si="3"/>
        <v>4900</v>
      </c>
      <c r="J23" s="48">
        <f t="shared" si="4"/>
        <v>0.98</v>
      </c>
      <c r="K23" s="49">
        <f t="shared" si="5"/>
        <v>1</v>
      </c>
      <c r="L23" s="50">
        <v>2.8E7</v>
      </c>
      <c r="M23" s="50">
        <v>2.8E7</v>
      </c>
      <c r="N23" s="51" t="s">
        <v>30</v>
      </c>
      <c r="O23" s="51" t="s">
        <v>31</v>
      </c>
      <c r="P23" s="51" t="s">
        <v>32</v>
      </c>
      <c r="Q23" s="51" t="s">
        <v>59</v>
      </c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</row>
    <row r="24">
      <c r="A24" s="36"/>
      <c r="B24" s="56" t="s">
        <v>72</v>
      </c>
      <c r="C24" s="42">
        <v>45689.0</v>
      </c>
      <c r="D24" s="43">
        <f t="shared" si="1"/>
        <v>2025</v>
      </c>
      <c r="E24" s="44">
        <v>5000.0</v>
      </c>
      <c r="F24" s="45">
        <v>0.0</v>
      </c>
      <c r="G24" s="45">
        <v>0.0</v>
      </c>
      <c r="H24" s="46">
        <f t="shared" si="2"/>
        <v>5000</v>
      </c>
      <c r="I24" s="47">
        <f t="shared" si="3"/>
        <v>5000</v>
      </c>
      <c r="J24" s="48">
        <f t="shared" si="4"/>
        <v>1</v>
      </c>
      <c r="K24" s="49">
        <f t="shared" si="5"/>
        <v>1</v>
      </c>
      <c r="L24" s="52">
        <v>5000000.0</v>
      </c>
      <c r="M24" s="52">
        <v>5000000.0</v>
      </c>
      <c r="N24" s="51" t="s">
        <v>45</v>
      </c>
      <c r="O24" s="51" t="s">
        <v>46</v>
      </c>
      <c r="P24" s="51" t="s">
        <v>47</v>
      </c>
      <c r="Q24" s="51" t="s">
        <v>51</v>
      </c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</row>
    <row r="25">
      <c r="A25" s="36"/>
      <c r="B25" s="56" t="s">
        <v>73</v>
      </c>
      <c r="C25" s="42">
        <v>44069.60138888889</v>
      </c>
      <c r="D25" s="43">
        <f t="shared" si="1"/>
        <v>2020</v>
      </c>
      <c r="E25" s="44">
        <v>2100.0</v>
      </c>
      <c r="F25" s="45">
        <v>0.02</v>
      </c>
      <c r="G25" s="45">
        <v>0.2</v>
      </c>
      <c r="H25" s="46">
        <f t="shared" si="2"/>
        <v>2058</v>
      </c>
      <c r="I25" s="47">
        <f t="shared" si="3"/>
        <v>2058</v>
      </c>
      <c r="J25" s="48">
        <f t="shared" si="4"/>
        <v>0.98</v>
      </c>
      <c r="K25" s="49">
        <f t="shared" si="5"/>
        <v>1</v>
      </c>
      <c r="L25" s="50">
        <v>1.7E8</v>
      </c>
      <c r="M25" s="50">
        <v>1.7E8</v>
      </c>
      <c r="N25" s="51" t="s">
        <v>30</v>
      </c>
      <c r="O25" s="51" t="s">
        <v>31</v>
      </c>
      <c r="P25" s="51" t="s">
        <v>32</v>
      </c>
      <c r="Q25" s="51" t="s">
        <v>74</v>
      </c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</row>
    <row r="26">
      <c r="A26" s="36"/>
      <c r="B26" s="32" t="s">
        <v>75</v>
      </c>
      <c r="C26" s="53">
        <v>44285.0</v>
      </c>
      <c r="D26" s="43">
        <f t="shared" si="1"/>
        <v>2021</v>
      </c>
      <c r="E26" s="44">
        <v>3000.0</v>
      </c>
      <c r="F26" s="45">
        <v>0.06</v>
      </c>
      <c r="G26" s="45">
        <v>0.2</v>
      </c>
      <c r="H26" s="46">
        <f t="shared" si="2"/>
        <v>0.000235</v>
      </c>
      <c r="I26" s="47">
        <f t="shared" si="3"/>
        <v>0.000235</v>
      </c>
      <c r="J26" s="48">
        <f t="shared" si="4"/>
        <v>0.00000007833333333</v>
      </c>
      <c r="K26" s="49">
        <f t="shared" si="5"/>
        <v>0.00000008333333333</v>
      </c>
      <c r="L26" s="52">
        <v>1.2E7</v>
      </c>
      <c r="M26" s="52">
        <v>1.0</v>
      </c>
      <c r="N26" s="51" t="s">
        <v>30</v>
      </c>
      <c r="O26" s="51" t="s">
        <v>31</v>
      </c>
      <c r="P26" s="51" t="s">
        <v>38</v>
      </c>
      <c r="Q26" s="51" t="s">
        <v>59</v>
      </c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</row>
    <row r="27">
      <c r="A27" s="36"/>
      <c r="B27" s="41" t="s">
        <v>76</v>
      </c>
      <c r="C27" s="42">
        <v>44022.74236111111</v>
      </c>
      <c r="D27" s="43">
        <f t="shared" si="1"/>
        <v>2020</v>
      </c>
      <c r="E27" s="44">
        <v>5000.0</v>
      </c>
      <c r="F27" s="45">
        <v>0.02</v>
      </c>
      <c r="G27" s="45">
        <v>0.2</v>
      </c>
      <c r="H27" s="46">
        <f t="shared" si="2"/>
        <v>11566.66667</v>
      </c>
      <c r="I27" s="47">
        <f t="shared" si="3"/>
        <v>13066.66667</v>
      </c>
      <c r="J27" s="48">
        <f t="shared" si="4"/>
        <v>2.313333333</v>
      </c>
      <c r="K27" s="49">
        <f t="shared" si="5"/>
        <v>2.666666667</v>
      </c>
      <c r="L27" s="50">
        <v>9000000.0</v>
      </c>
      <c r="M27" s="52">
        <v>2.4E7</v>
      </c>
      <c r="N27" s="51" t="s">
        <v>30</v>
      </c>
      <c r="O27" s="51" t="s">
        <v>31</v>
      </c>
      <c r="P27" s="51" t="s">
        <v>40</v>
      </c>
      <c r="Q27" s="51" t="s">
        <v>41</v>
      </c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</row>
    <row r="28">
      <c r="A28" s="36"/>
      <c r="B28" s="41" t="s">
        <v>76</v>
      </c>
      <c r="C28" s="42">
        <v>44239.86597222222</v>
      </c>
      <c r="D28" s="43">
        <f t="shared" si="1"/>
        <v>2021</v>
      </c>
      <c r="E28" s="44">
        <v>3000.0</v>
      </c>
      <c r="F28" s="45">
        <v>0.02</v>
      </c>
      <c r="G28" s="45">
        <v>0.2</v>
      </c>
      <c r="H28" s="46">
        <f t="shared" si="2"/>
        <v>12060</v>
      </c>
      <c r="I28" s="47">
        <f t="shared" si="3"/>
        <v>14112</v>
      </c>
      <c r="J28" s="48">
        <f t="shared" si="4"/>
        <v>4.02</v>
      </c>
      <c r="K28" s="49">
        <f t="shared" si="5"/>
        <v>4.8</v>
      </c>
      <c r="L28" s="50">
        <v>5000000.0</v>
      </c>
      <c r="M28" s="52">
        <v>2.4E7</v>
      </c>
      <c r="N28" s="51" t="s">
        <v>30</v>
      </c>
      <c r="O28" s="51" t="s">
        <v>31</v>
      </c>
      <c r="P28" s="51" t="s">
        <v>38</v>
      </c>
      <c r="Q28" s="51" t="s">
        <v>41</v>
      </c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</row>
    <row r="29">
      <c r="A29" s="36"/>
      <c r="B29" s="41" t="s">
        <v>77</v>
      </c>
      <c r="C29" s="42">
        <v>44257.94930555556</v>
      </c>
      <c r="D29" s="43">
        <f t="shared" si="1"/>
        <v>2021</v>
      </c>
      <c r="E29" s="44">
        <v>4000.0</v>
      </c>
      <c r="F29" s="45">
        <v>0.05</v>
      </c>
      <c r="G29" s="45">
        <v>0.2</v>
      </c>
      <c r="H29" s="46">
        <f t="shared" si="2"/>
        <v>7960</v>
      </c>
      <c r="I29" s="47">
        <f t="shared" si="3"/>
        <v>8740</v>
      </c>
      <c r="J29" s="48">
        <f t="shared" si="4"/>
        <v>1.99</v>
      </c>
      <c r="K29" s="49">
        <f t="shared" si="5"/>
        <v>2.3</v>
      </c>
      <c r="L29" s="50">
        <v>1.0E7</v>
      </c>
      <c r="M29" s="52">
        <v>2.3E7</v>
      </c>
      <c r="N29" s="51" t="s">
        <v>78</v>
      </c>
      <c r="O29" s="51" t="s">
        <v>31</v>
      </c>
      <c r="P29" s="51" t="s">
        <v>40</v>
      </c>
      <c r="Q29" s="51" t="s">
        <v>79</v>
      </c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</row>
    <row r="30">
      <c r="A30" s="36"/>
      <c r="B30" s="32" t="s">
        <v>80</v>
      </c>
      <c r="C30" s="53">
        <v>44302.0</v>
      </c>
      <c r="D30" s="43">
        <f t="shared" si="1"/>
        <v>2021</v>
      </c>
      <c r="E30" s="44">
        <v>3000.0</v>
      </c>
      <c r="F30" s="45">
        <v>0.08</v>
      </c>
      <c r="G30" s="45">
        <v>0.2</v>
      </c>
      <c r="H30" s="46">
        <f t="shared" si="2"/>
        <v>0.0002123076923</v>
      </c>
      <c r="I30" s="47">
        <f t="shared" si="3"/>
        <v>0.0002123076923</v>
      </c>
      <c r="J30" s="48">
        <f t="shared" si="4"/>
        <v>0.00000007076923077</v>
      </c>
      <c r="K30" s="49">
        <f t="shared" si="5"/>
        <v>0.00000007692307692</v>
      </c>
      <c r="L30" s="52">
        <v>1.3E7</v>
      </c>
      <c r="M30" s="52">
        <v>1.0</v>
      </c>
      <c r="N30" s="51" t="s">
        <v>81</v>
      </c>
      <c r="O30" s="51" t="s">
        <v>31</v>
      </c>
      <c r="P30" s="51" t="s">
        <v>38</v>
      </c>
      <c r="Q30" s="51" t="s">
        <v>82</v>
      </c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</row>
    <row r="31">
      <c r="A31" s="36"/>
      <c r="B31" s="32" t="s">
        <v>83</v>
      </c>
      <c r="C31" s="53">
        <v>44390.0</v>
      </c>
      <c r="D31" s="43">
        <f t="shared" si="1"/>
        <v>2021</v>
      </c>
      <c r="E31" s="44">
        <v>2000.0</v>
      </c>
      <c r="F31" s="54">
        <v>0.04</v>
      </c>
      <c r="G31" s="45">
        <v>0.2</v>
      </c>
      <c r="H31" s="46">
        <f t="shared" si="2"/>
        <v>1920</v>
      </c>
      <c r="I31" s="47">
        <f t="shared" si="3"/>
        <v>1920</v>
      </c>
      <c r="J31" s="48">
        <f t="shared" si="4"/>
        <v>0.96</v>
      </c>
      <c r="K31" s="49">
        <f t="shared" si="5"/>
        <v>1</v>
      </c>
      <c r="L31" s="52">
        <v>6.0E8</v>
      </c>
      <c r="M31" s="52">
        <v>6.0E8</v>
      </c>
      <c r="N31" s="51" t="s">
        <v>84</v>
      </c>
      <c r="O31" s="51" t="s">
        <v>31</v>
      </c>
      <c r="P31" s="51" t="s">
        <v>69</v>
      </c>
      <c r="Q31" s="51" t="s">
        <v>82</v>
      </c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</row>
    <row r="32">
      <c r="A32" s="36"/>
      <c r="B32" s="32" t="s">
        <v>85</v>
      </c>
      <c r="C32" s="53">
        <v>44385.0</v>
      </c>
      <c r="D32" s="43">
        <f t="shared" si="1"/>
        <v>2021</v>
      </c>
      <c r="E32" s="44">
        <v>5000.0</v>
      </c>
      <c r="F32" s="54">
        <v>0.016</v>
      </c>
      <c r="G32" s="45">
        <v>0.2</v>
      </c>
      <c r="H32" s="46">
        <f t="shared" si="2"/>
        <v>1180.8</v>
      </c>
      <c r="I32" s="47">
        <f t="shared" si="3"/>
        <v>1180.8</v>
      </c>
      <c r="J32" s="48">
        <f t="shared" si="4"/>
        <v>0.23616</v>
      </c>
      <c r="K32" s="49">
        <f t="shared" si="5"/>
        <v>0.24</v>
      </c>
      <c r="L32" s="52">
        <v>1.25E8</v>
      </c>
      <c r="M32" s="52">
        <v>3.0E7</v>
      </c>
      <c r="N32" s="51" t="s">
        <v>30</v>
      </c>
      <c r="O32" s="51" t="s">
        <v>31</v>
      </c>
      <c r="P32" s="51" t="s">
        <v>63</v>
      </c>
      <c r="Q32" s="51" t="s">
        <v>53</v>
      </c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</row>
    <row r="33">
      <c r="A33" s="36"/>
      <c r="B33" s="32" t="s">
        <v>86</v>
      </c>
      <c r="C33" s="53">
        <v>44423.0</v>
      </c>
      <c r="D33" s="43">
        <f t="shared" si="1"/>
        <v>2021</v>
      </c>
      <c r="E33" s="44">
        <v>2500.0</v>
      </c>
      <c r="F33" s="54">
        <v>0.013</v>
      </c>
      <c r="G33" s="45">
        <v>0.2</v>
      </c>
      <c r="H33" s="46">
        <f t="shared" si="2"/>
        <v>4911.944444</v>
      </c>
      <c r="I33" s="47">
        <f t="shared" si="3"/>
        <v>5483.333333</v>
      </c>
      <c r="J33" s="48">
        <f t="shared" si="4"/>
        <v>1.964777778</v>
      </c>
      <c r="K33" s="49">
        <f t="shared" si="5"/>
        <v>2.222222222</v>
      </c>
      <c r="L33" s="52">
        <v>9.0E7</v>
      </c>
      <c r="M33" s="52">
        <v>2.0E8</v>
      </c>
      <c r="N33" s="51" t="s">
        <v>81</v>
      </c>
      <c r="O33" s="51" t="s">
        <v>31</v>
      </c>
      <c r="P33" s="51" t="s">
        <v>40</v>
      </c>
      <c r="Q33" s="51" t="s">
        <v>87</v>
      </c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</row>
    <row r="34">
      <c r="A34" s="36"/>
      <c r="B34" s="41" t="s">
        <v>88</v>
      </c>
      <c r="C34" s="42">
        <v>45266.0</v>
      </c>
      <c r="D34" s="43">
        <f t="shared" si="1"/>
        <v>2023</v>
      </c>
      <c r="E34" s="44">
        <v>15000.0</v>
      </c>
      <c r="F34" s="45">
        <v>0.12</v>
      </c>
      <c r="G34" s="45">
        <v>0.28</v>
      </c>
      <c r="H34" s="46">
        <f t="shared" si="2"/>
        <v>13200</v>
      </c>
      <c r="I34" s="47">
        <f t="shared" si="3"/>
        <v>13200</v>
      </c>
      <c r="J34" s="48">
        <f t="shared" si="4"/>
        <v>0.88</v>
      </c>
      <c r="K34" s="49">
        <f t="shared" si="5"/>
        <v>1</v>
      </c>
      <c r="L34" s="52">
        <v>4.0E7</v>
      </c>
      <c r="M34" s="52">
        <v>4.0E7</v>
      </c>
      <c r="N34" s="51" t="s">
        <v>84</v>
      </c>
      <c r="O34" s="51" t="s">
        <v>89</v>
      </c>
      <c r="P34" s="51" t="s">
        <v>38</v>
      </c>
      <c r="Q34" s="51" t="s">
        <v>59</v>
      </c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</row>
    <row r="35">
      <c r="A35" s="36"/>
      <c r="B35" s="41" t="s">
        <v>90</v>
      </c>
      <c r="C35" s="42">
        <v>44131.77638888889</v>
      </c>
      <c r="D35" s="43">
        <f t="shared" si="1"/>
        <v>2020</v>
      </c>
      <c r="E35" s="44">
        <v>3000.0</v>
      </c>
      <c r="F35" s="45">
        <v>0.04</v>
      </c>
      <c r="G35" s="45">
        <v>0.2</v>
      </c>
      <c r="H35" s="46">
        <f t="shared" si="2"/>
        <v>2880</v>
      </c>
      <c r="I35" s="47">
        <f t="shared" si="3"/>
        <v>2880</v>
      </c>
      <c r="J35" s="48">
        <f t="shared" si="4"/>
        <v>0.96</v>
      </c>
      <c r="K35" s="49">
        <f t="shared" si="5"/>
        <v>1</v>
      </c>
      <c r="L35" s="50">
        <v>4000000.0</v>
      </c>
      <c r="M35" s="50">
        <v>4000000.0</v>
      </c>
      <c r="N35" s="51" t="s">
        <v>81</v>
      </c>
      <c r="O35" s="51" t="s">
        <v>31</v>
      </c>
      <c r="P35" s="51" t="s">
        <v>38</v>
      </c>
      <c r="Q35" s="51" t="s">
        <v>79</v>
      </c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</row>
    <row r="36">
      <c r="A36" s="36"/>
      <c r="B36" s="41" t="s">
        <v>91</v>
      </c>
      <c r="C36" s="42">
        <v>44127.79791666667</v>
      </c>
      <c r="D36" s="43">
        <f t="shared" si="1"/>
        <v>2020</v>
      </c>
      <c r="E36" s="44">
        <v>3000.0</v>
      </c>
      <c r="F36" s="45">
        <v>0.04</v>
      </c>
      <c r="G36" s="45">
        <v>0.2</v>
      </c>
      <c r="H36" s="46">
        <f t="shared" si="2"/>
        <v>5280</v>
      </c>
      <c r="I36" s="47">
        <f t="shared" si="3"/>
        <v>5760</v>
      </c>
      <c r="J36" s="48">
        <f t="shared" si="4"/>
        <v>1.76</v>
      </c>
      <c r="K36" s="49">
        <f t="shared" si="5"/>
        <v>2</v>
      </c>
      <c r="L36" s="50">
        <v>2.5E7</v>
      </c>
      <c r="M36" s="52">
        <v>5.0E7</v>
      </c>
      <c r="N36" s="51" t="s">
        <v>92</v>
      </c>
      <c r="O36" s="51" t="s">
        <v>31</v>
      </c>
      <c r="P36" s="51" t="s">
        <v>32</v>
      </c>
      <c r="Q36" s="51" t="s">
        <v>41</v>
      </c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</row>
    <row r="37">
      <c r="A37" s="36"/>
      <c r="B37" s="55" t="s">
        <v>93</v>
      </c>
      <c r="C37" s="53">
        <v>45275.0</v>
      </c>
      <c r="D37" s="43">
        <f t="shared" si="1"/>
        <v>2023</v>
      </c>
      <c r="E37" s="44">
        <v>2000.0</v>
      </c>
      <c r="F37" s="54">
        <f>4500/100000</f>
        <v>0.045</v>
      </c>
      <c r="G37" s="45">
        <v>0.2</v>
      </c>
      <c r="H37" s="46">
        <f t="shared" si="2"/>
        <v>1910</v>
      </c>
      <c r="I37" s="47">
        <f t="shared" si="3"/>
        <v>1910</v>
      </c>
      <c r="J37" s="48">
        <f t="shared" si="4"/>
        <v>0.955</v>
      </c>
      <c r="K37" s="49">
        <f t="shared" si="5"/>
        <v>1</v>
      </c>
      <c r="L37" s="52">
        <v>6.0E7</v>
      </c>
      <c r="M37" s="52">
        <v>6.0E7</v>
      </c>
      <c r="N37" s="51" t="s">
        <v>94</v>
      </c>
      <c r="O37" s="51" t="s">
        <v>31</v>
      </c>
      <c r="P37" s="51" t="s">
        <v>47</v>
      </c>
      <c r="Q37" s="51" t="s">
        <v>41</v>
      </c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</row>
    <row r="38">
      <c r="A38" s="36"/>
      <c r="B38" s="55" t="s">
        <v>95</v>
      </c>
      <c r="C38" s="53">
        <v>44659.64027777778</v>
      </c>
      <c r="D38" s="43">
        <f t="shared" si="1"/>
        <v>2022</v>
      </c>
      <c r="E38" s="44">
        <v>2500.0</v>
      </c>
      <c r="F38" s="54">
        <v>0.04</v>
      </c>
      <c r="G38" s="45">
        <v>0.2</v>
      </c>
      <c r="H38" s="46">
        <f t="shared" si="2"/>
        <v>1200</v>
      </c>
      <c r="I38" s="47">
        <f t="shared" si="3"/>
        <v>1200</v>
      </c>
      <c r="J38" s="48">
        <f t="shared" si="4"/>
        <v>0.48</v>
      </c>
      <c r="K38" s="49">
        <f t="shared" si="5"/>
        <v>0.5</v>
      </c>
      <c r="L38" s="52">
        <v>1.0E8</v>
      </c>
      <c r="M38" s="52">
        <v>5.0E7</v>
      </c>
      <c r="N38" s="51" t="s">
        <v>78</v>
      </c>
      <c r="O38" s="51" t="s">
        <v>31</v>
      </c>
      <c r="P38" s="51" t="s">
        <v>32</v>
      </c>
      <c r="Q38" s="51" t="s">
        <v>96</v>
      </c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</row>
    <row r="39">
      <c r="A39" s="36"/>
      <c r="B39" s="55" t="s">
        <v>97</v>
      </c>
      <c r="C39" s="53">
        <v>45078.0</v>
      </c>
      <c r="D39" s="43">
        <f t="shared" si="1"/>
        <v>2023</v>
      </c>
      <c r="E39" s="44">
        <v>2000.0</v>
      </c>
      <c r="F39" s="54">
        <f>2000/26500</f>
        <v>0.07547169811</v>
      </c>
      <c r="G39" s="45">
        <v>0.0</v>
      </c>
      <c r="H39" s="46">
        <f t="shared" si="2"/>
        <v>1849.056604</v>
      </c>
      <c r="I39" s="47">
        <f t="shared" si="3"/>
        <v>1849.056604</v>
      </c>
      <c r="J39" s="48">
        <f t="shared" si="4"/>
        <v>0.9245283019</v>
      </c>
      <c r="K39" s="49">
        <f t="shared" si="5"/>
        <v>1</v>
      </c>
      <c r="L39" s="52">
        <v>1.5E7</v>
      </c>
      <c r="M39" s="52">
        <v>1.5E7</v>
      </c>
      <c r="N39" s="51" t="s">
        <v>50</v>
      </c>
      <c r="O39" s="51" t="s">
        <v>31</v>
      </c>
      <c r="P39" s="51" t="s">
        <v>47</v>
      </c>
      <c r="Q39" s="51" t="s">
        <v>51</v>
      </c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</row>
    <row r="40">
      <c r="A40" s="36"/>
      <c r="B40" s="57"/>
      <c r="C40" s="53"/>
      <c r="D40" s="43"/>
      <c r="E40" s="44"/>
      <c r="F40" s="54"/>
      <c r="G40" s="45"/>
      <c r="H40" s="46"/>
      <c r="I40" s="47"/>
      <c r="J40" s="48"/>
      <c r="K40" s="49"/>
      <c r="L40" s="52"/>
      <c r="M40" s="52"/>
      <c r="N40" s="51"/>
      <c r="O40" s="51"/>
      <c r="P40" s="51"/>
      <c r="Q40" s="51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</row>
    <row r="41">
      <c r="A41" s="36"/>
      <c r="B41" s="57"/>
      <c r="C41" s="53"/>
      <c r="D41" s="43"/>
      <c r="E41" s="44"/>
      <c r="F41" s="54"/>
      <c r="G41" s="45"/>
      <c r="H41" s="46"/>
      <c r="I41" s="47"/>
      <c r="J41" s="48"/>
      <c r="K41" s="49"/>
      <c r="L41" s="52"/>
      <c r="M41" s="52"/>
      <c r="N41" s="51"/>
      <c r="O41" s="51"/>
      <c r="P41" s="51"/>
      <c r="Q41" s="51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</row>
    <row r="42">
      <c r="A42" s="36"/>
      <c r="B42" s="57"/>
      <c r="C42" s="53"/>
      <c r="D42" s="43"/>
      <c r="E42" s="44"/>
      <c r="F42" s="54"/>
      <c r="G42" s="45"/>
      <c r="H42" s="46"/>
      <c r="I42" s="47"/>
      <c r="J42" s="48"/>
      <c r="K42" s="49"/>
      <c r="L42" s="52"/>
      <c r="M42" s="52"/>
      <c r="N42" s="51"/>
      <c r="O42" s="51"/>
      <c r="P42" s="51"/>
      <c r="Q42" s="51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</row>
    <row r="43">
      <c r="A43" s="36"/>
      <c r="B43" s="57"/>
      <c r="C43" s="53"/>
      <c r="D43" s="43"/>
      <c r="E43" s="44"/>
      <c r="F43" s="54"/>
      <c r="G43" s="45"/>
      <c r="H43" s="46"/>
      <c r="I43" s="47"/>
      <c r="J43" s="48"/>
      <c r="K43" s="49"/>
      <c r="L43" s="52"/>
      <c r="M43" s="52"/>
      <c r="N43" s="51"/>
      <c r="O43" s="51"/>
      <c r="P43" s="51"/>
      <c r="Q43" s="51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</row>
    <row r="44">
      <c r="A44" s="36"/>
      <c r="B44" s="57"/>
      <c r="C44" s="53"/>
      <c r="D44" s="43"/>
      <c r="E44" s="44"/>
      <c r="F44" s="54"/>
      <c r="G44" s="45"/>
      <c r="H44" s="46"/>
      <c r="I44" s="47"/>
      <c r="J44" s="48"/>
      <c r="K44" s="49"/>
      <c r="L44" s="52"/>
      <c r="M44" s="52"/>
      <c r="N44" s="51"/>
      <c r="O44" s="51"/>
      <c r="P44" s="51"/>
      <c r="Q44" s="51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</row>
    <row r="45">
      <c r="A45" s="36"/>
      <c r="B45" s="57"/>
      <c r="C45" s="53"/>
      <c r="D45" s="43"/>
      <c r="E45" s="44"/>
      <c r="F45" s="54"/>
      <c r="G45" s="45"/>
      <c r="H45" s="46"/>
      <c r="I45" s="47"/>
      <c r="J45" s="48"/>
      <c r="K45" s="49"/>
      <c r="L45" s="52"/>
      <c r="M45" s="52"/>
      <c r="N45" s="51"/>
      <c r="O45" s="51"/>
      <c r="P45" s="51"/>
      <c r="Q45" s="51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</row>
    <row r="46">
      <c r="A46" s="36"/>
      <c r="B46" s="57"/>
      <c r="C46" s="53"/>
      <c r="D46" s="43"/>
      <c r="E46" s="44"/>
      <c r="F46" s="54"/>
      <c r="G46" s="45"/>
      <c r="H46" s="46"/>
      <c r="I46" s="47"/>
      <c r="J46" s="48"/>
      <c r="K46" s="49"/>
      <c r="L46" s="52"/>
      <c r="M46" s="52"/>
      <c r="N46" s="51"/>
      <c r="O46" s="51"/>
      <c r="P46" s="51"/>
      <c r="Q46" s="51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</row>
    <row r="47">
      <c r="A47" s="36"/>
      <c r="B47" s="57"/>
      <c r="C47" s="53"/>
      <c r="D47" s="43"/>
      <c r="E47" s="44"/>
      <c r="F47" s="54"/>
      <c r="G47" s="45"/>
      <c r="H47" s="46"/>
      <c r="I47" s="47"/>
      <c r="J47" s="48"/>
      <c r="K47" s="49"/>
      <c r="L47" s="52"/>
      <c r="M47" s="52"/>
      <c r="N47" s="51"/>
      <c r="O47" s="51"/>
      <c r="P47" s="51"/>
      <c r="Q47" s="51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</row>
    <row r="48">
      <c r="A48" s="36"/>
      <c r="B48" s="57"/>
      <c r="C48" s="53"/>
      <c r="D48" s="43"/>
      <c r="E48" s="44"/>
      <c r="F48" s="54"/>
      <c r="G48" s="45"/>
      <c r="H48" s="46"/>
      <c r="I48" s="47"/>
      <c r="J48" s="48"/>
      <c r="K48" s="49"/>
      <c r="L48" s="52"/>
      <c r="M48" s="52"/>
      <c r="N48" s="51"/>
      <c r="O48" s="51"/>
      <c r="P48" s="51"/>
      <c r="Q48" s="51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</row>
    <row r="49">
      <c r="A49" s="36"/>
      <c r="B49" s="57"/>
      <c r="C49" s="53"/>
      <c r="D49" s="43"/>
      <c r="E49" s="44"/>
      <c r="F49" s="54"/>
      <c r="G49" s="45"/>
      <c r="H49" s="46"/>
      <c r="I49" s="47"/>
      <c r="J49" s="48"/>
      <c r="K49" s="49"/>
      <c r="L49" s="52"/>
      <c r="M49" s="52"/>
      <c r="N49" s="51"/>
      <c r="O49" s="51"/>
      <c r="P49" s="51"/>
      <c r="Q49" s="51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</row>
    <row r="50">
      <c r="A50" s="36"/>
      <c r="B50" s="36"/>
      <c r="C50" s="58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</row>
    <row r="51">
      <c r="A51" s="36"/>
      <c r="B51" s="36"/>
      <c r="C51" s="58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</row>
    <row r="52">
      <c r="A52" s="36"/>
      <c r="B52" s="36"/>
      <c r="C52" s="58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</row>
    <row r="53">
      <c r="A53" s="36"/>
      <c r="B53" s="36"/>
      <c r="C53" s="58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</row>
    <row r="54">
      <c r="A54" s="36"/>
      <c r="B54" s="36"/>
      <c r="C54" s="58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</row>
    <row r="55">
      <c r="A55" s="36"/>
      <c r="B55" s="36"/>
      <c r="C55" s="58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</row>
    <row r="56">
      <c r="A56" s="36"/>
      <c r="B56" s="36"/>
      <c r="C56" s="58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</row>
    <row r="57">
      <c r="A57" s="36"/>
      <c r="B57" s="36"/>
      <c r="C57" s="58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</row>
    <row r="58">
      <c r="A58" s="36"/>
      <c r="B58" s="36"/>
      <c r="C58" s="58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</row>
    <row r="59">
      <c r="A59" s="36"/>
      <c r="B59" s="36"/>
      <c r="C59" s="58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</row>
    <row r="60">
      <c r="A60" s="36"/>
      <c r="B60" s="36"/>
      <c r="C60" s="58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</row>
    <row r="61">
      <c r="A61" s="36"/>
      <c r="B61" s="36"/>
      <c r="C61" s="58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</row>
    <row r="62">
      <c r="A62" s="36"/>
      <c r="B62" s="36"/>
      <c r="C62" s="58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</row>
    <row r="63">
      <c r="A63" s="36"/>
      <c r="B63" s="36"/>
      <c r="C63" s="58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</row>
    <row r="64">
      <c r="A64" s="36"/>
      <c r="B64" s="36"/>
      <c r="C64" s="58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</row>
    <row r="65">
      <c r="A65" s="36"/>
      <c r="B65" s="36"/>
      <c r="C65" s="58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</row>
    <row r="66">
      <c r="A66" s="36"/>
      <c r="B66" s="36"/>
      <c r="C66" s="58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</row>
    <row r="67">
      <c r="A67" s="36"/>
      <c r="B67" s="36"/>
      <c r="C67" s="58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</row>
    <row r="68">
      <c r="A68" s="36"/>
      <c r="B68" s="36"/>
      <c r="C68" s="58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</row>
    <row r="69">
      <c r="A69" s="36"/>
      <c r="B69" s="36"/>
      <c r="C69" s="58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</row>
    <row r="70">
      <c r="A70" s="36"/>
      <c r="B70" s="36"/>
      <c r="C70" s="58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</row>
    <row r="71">
      <c r="A71" s="36"/>
      <c r="B71" s="36"/>
      <c r="C71" s="58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</row>
    <row r="72">
      <c r="A72" s="36"/>
      <c r="B72" s="36"/>
      <c r="C72" s="58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</row>
    <row r="73">
      <c r="A73" s="36"/>
      <c r="B73" s="36"/>
      <c r="C73" s="58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</row>
    <row r="74">
      <c r="A74" s="36"/>
      <c r="B74" s="36"/>
      <c r="C74" s="58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</row>
    <row r="75">
      <c r="A75" s="36"/>
      <c r="B75" s="36"/>
      <c r="C75" s="58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</row>
    <row r="76">
      <c r="A76" s="36"/>
      <c r="B76" s="36"/>
      <c r="C76" s="58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</row>
    <row r="77">
      <c r="A77" s="36"/>
      <c r="B77" s="36"/>
      <c r="C77" s="58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</row>
    <row r="78">
      <c r="A78" s="36"/>
      <c r="B78" s="36"/>
      <c r="C78" s="58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</row>
    <row r="79">
      <c r="A79" s="36"/>
      <c r="B79" s="36"/>
      <c r="C79" s="58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</row>
    <row r="80">
      <c r="A80" s="36"/>
      <c r="B80" s="36"/>
      <c r="C80" s="58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</row>
    <row r="81">
      <c r="A81" s="36"/>
      <c r="B81" s="36"/>
      <c r="C81" s="58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</row>
    <row r="82">
      <c r="A82" s="36"/>
      <c r="B82" s="36"/>
      <c r="C82" s="58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</row>
    <row r="83">
      <c r="A83" s="36"/>
      <c r="B83" s="36"/>
      <c r="C83" s="58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</row>
    <row r="84">
      <c r="A84" s="36"/>
      <c r="B84" s="36"/>
      <c r="C84" s="58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</row>
    <row r="85">
      <c r="A85" s="36"/>
      <c r="B85" s="36"/>
      <c r="C85" s="58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</row>
    <row r="86">
      <c r="A86" s="36"/>
      <c r="B86" s="36"/>
      <c r="C86" s="58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</row>
    <row r="87">
      <c r="A87" s="36"/>
      <c r="B87" s="36"/>
      <c r="C87" s="58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</row>
    <row r="88">
      <c r="A88" s="36"/>
      <c r="B88" s="36"/>
      <c r="C88" s="58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</row>
    <row r="89">
      <c r="A89" s="36"/>
      <c r="B89" s="36"/>
      <c r="C89" s="58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</row>
    <row r="90">
      <c r="A90" s="36"/>
      <c r="B90" s="36"/>
      <c r="C90" s="58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</row>
    <row r="91">
      <c r="A91" s="36"/>
      <c r="B91" s="36"/>
      <c r="C91" s="58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</row>
    <row r="92">
      <c r="A92" s="36"/>
      <c r="B92" s="36"/>
      <c r="C92" s="58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</row>
    <row r="93">
      <c r="A93" s="36"/>
      <c r="B93" s="36"/>
      <c r="C93" s="58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</row>
    <row r="94">
      <c r="A94" s="36"/>
      <c r="B94" s="36"/>
      <c r="C94" s="58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</row>
    <row r="95">
      <c r="A95" s="36"/>
      <c r="B95" s="36"/>
      <c r="C95" s="58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</row>
    <row r="96">
      <c r="A96" s="36"/>
      <c r="B96" s="36"/>
      <c r="C96" s="58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</row>
    <row r="97">
      <c r="A97" s="36"/>
      <c r="B97" s="36"/>
      <c r="C97" s="58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</row>
    <row r="98">
      <c r="A98" s="36"/>
      <c r="B98" s="36"/>
      <c r="C98" s="58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</row>
    <row r="99">
      <c r="A99" s="36"/>
      <c r="B99" s="36"/>
      <c r="C99" s="58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</row>
    <row r="100">
      <c r="A100" s="36"/>
      <c r="B100" s="36"/>
      <c r="C100" s="58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</row>
    <row r="101">
      <c r="A101" s="36"/>
      <c r="B101" s="36"/>
      <c r="C101" s="58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</row>
    <row r="102">
      <c r="A102" s="36"/>
      <c r="B102" s="36"/>
      <c r="C102" s="58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</row>
    <row r="103">
      <c r="A103" s="36"/>
      <c r="B103" s="36"/>
      <c r="C103" s="58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</row>
    <row r="104">
      <c r="A104" s="36"/>
      <c r="B104" s="36"/>
      <c r="C104" s="58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</row>
    <row r="105">
      <c r="A105" s="36"/>
      <c r="B105" s="36"/>
      <c r="C105" s="58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</row>
    <row r="106">
      <c r="A106" s="36"/>
      <c r="B106" s="36"/>
      <c r="C106" s="58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</row>
    <row r="107">
      <c r="A107" s="36"/>
      <c r="B107" s="36"/>
      <c r="C107" s="58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</row>
    <row r="108">
      <c r="A108" s="36"/>
      <c r="B108" s="36"/>
      <c r="C108" s="58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</row>
    <row r="109">
      <c r="A109" s="36"/>
      <c r="B109" s="36"/>
      <c r="C109" s="58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</row>
    <row r="110">
      <c r="A110" s="36"/>
      <c r="B110" s="36"/>
      <c r="C110" s="58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</row>
    <row r="111">
      <c r="A111" s="36"/>
      <c r="B111" s="36"/>
      <c r="C111" s="58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</row>
    <row r="112">
      <c r="A112" s="36"/>
      <c r="B112" s="36"/>
      <c r="C112" s="58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</row>
    <row r="113">
      <c r="A113" s="36"/>
      <c r="B113" s="36"/>
      <c r="C113" s="58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</row>
    <row r="114">
      <c r="A114" s="36"/>
      <c r="B114" s="36"/>
      <c r="C114" s="58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</row>
    <row r="115">
      <c r="A115" s="36"/>
      <c r="B115" s="36"/>
      <c r="C115" s="58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</row>
    <row r="116">
      <c r="A116" s="36"/>
      <c r="B116" s="36"/>
      <c r="C116" s="58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</row>
    <row r="117">
      <c r="A117" s="36"/>
      <c r="B117" s="36"/>
      <c r="C117" s="58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</row>
    <row r="118">
      <c r="A118" s="36"/>
      <c r="B118" s="36"/>
      <c r="C118" s="58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</row>
    <row r="119">
      <c r="A119" s="36"/>
      <c r="B119" s="36"/>
      <c r="C119" s="58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</row>
    <row r="120">
      <c r="A120" s="36"/>
      <c r="B120" s="36"/>
      <c r="C120" s="58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</row>
    <row r="121">
      <c r="A121" s="36"/>
      <c r="B121" s="36"/>
      <c r="C121" s="58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</row>
    <row r="122">
      <c r="A122" s="36"/>
      <c r="B122" s="36"/>
      <c r="C122" s="58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</row>
    <row r="123">
      <c r="A123" s="36"/>
      <c r="B123" s="36"/>
      <c r="C123" s="58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</row>
    <row r="124">
      <c r="A124" s="36"/>
      <c r="B124" s="36"/>
      <c r="C124" s="58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</row>
    <row r="125">
      <c r="A125" s="36"/>
      <c r="B125" s="36"/>
      <c r="C125" s="58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</row>
    <row r="126">
      <c r="A126" s="36"/>
      <c r="B126" s="36"/>
      <c r="C126" s="58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</row>
    <row r="127">
      <c r="A127" s="36"/>
      <c r="B127" s="36"/>
      <c r="C127" s="58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</row>
    <row r="128">
      <c r="A128" s="36"/>
      <c r="B128" s="36"/>
      <c r="C128" s="58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</row>
    <row r="129">
      <c r="A129" s="36"/>
      <c r="B129" s="36"/>
      <c r="C129" s="58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</row>
    <row r="130">
      <c r="A130" s="36"/>
      <c r="B130" s="36"/>
      <c r="C130" s="58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</row>
    <row r="131">
      <c r="A131" s="36"/>
      <c r="B131" s="36"/>
      <c r="C131" s="58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</row>
    <row r="132">
      <c r="A132" s="36"/>
      <c r="B132" s="36"/>
      <c r="C132" s="58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</row>
    <row r="133">
      <c r="A133" s="36"/>
      <c r="B133" s="36"/>
      <c r="C133" s="58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</row>
    <row r="134">
      <c r="A134" s="36"/>
      <c r="B134" s="36"/>
      <c r="C134" s="58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</row>
    <row r="135">
      <c r="A135" s="36"/>
      <c r="B135" s="36"/>
      <c r="C135" s="58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</row>
    <row r="136">
      <c r="A136" s="36"/>
      <c r="B136" s="36"/>
      <c r="C136" s="58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</row>
    <row r="137">
      <c r="A137" s="36"/>
      <c r="B137" s="36"/>
      <c r="C137" s="58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</row>
    <row r="138">
      <c r="A138" s="36"/>
      <c r="B138" s="36"/>
      <c r="C138" s="58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</row>
    <row r="139">
      <c r="A139" s="36"/>
      <c r="B139" s="36"/>
      <c r="C139" s="58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</row>
    <row r="140">
      <c r="A140" s="36"/>
      <c r="B140" s="36"/>
      <c r="C140" s="58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</row>
    <row r="141">
      <c r="A141" s="36"/>
      <c r="B141" s="36"/>
      <c r="C141" s="58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</row>
    <row r="142">
      <c r="A142" s="36"/>
      <c r="B142" s="36"/>
      <c r="C142" s="58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</row>
    <row r="143">
      <c r="A143" s="36"/>
      <c r="B143" s="36"/>
      <c r="C143" s="58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</row>
    <row r="144">
      <c r="A144" s="36"/>
      <c r="B144" s="36"/>
      <c r="C144" s="58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</row>
    <row r="145">
      <c r="A145" s="36"/>
      <c r="B145" s="36"/>
      <c r="C145" s="58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</row>
    <row r="146">
      <c r="A146" s="36"/>
      <c r="B146" s="36"/>
      <c r="C146" s="58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</row>
    <row r="147">
      <c r="A147" s="36"/>
      <c r="B147" s="36"/>
      <c r="C147" s="58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</row>
    <row r="148">
      <c r="A148" s="36"/>
      <c r="B148" s="36"/>
      <c r="C148" s="58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</row>
    <row r="149">
      <c r="A149" s="36"/>
      <c r="B149" s="36"/>
      <c r="C149" s="58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</row>
    <row r="150">
      <c r="A150" s="36"/>
      <c r="B150" s="36"/>
      <c r="C150" s="58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</row>
    <row r="151">
      <c r="A151" s="36"/>
      <c r="B151" s="36"/>
      <c r="C151" s="58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</row>
    <row r="152">
      <c r="A152" s="36"/>
      <c r="B152" s="36"/>
      <c r="C152" s="58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</row>
    <row r="153">
      <c r="A153" s="36"/>
      <c r="B153" s="36"/>
      <c r="C153" s="58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</row>
    <row r="154">
      <c r="A154" s="36"/>
      <c r="B154" s="36"/>
      <c r="C154" s="58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</row>
    <row r="155">
      <c r="A155" s="36"/>
      <c r="B155" s="36"/>
      <c r="C155" s="58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</row>
    <row r="156">
      <c r="A156" s="36"/>
      <c r="B156" s="36"/>
      <c r="C156" s="58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</row>
    <row r="157">
      <c r="A157" s="36"/>
      <c r="B157" s="36"/>
      <c r="C157" s="58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</row>
    <row r="158">
      <c r="A158" s="36"/>
      <c r="B158" s="36"/>
      <c r="C158" s="58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</row>
    <row r="159">
      <c r="A159" s="36"/>
      <c r="B159" s="36"/>
      <c r="C159" s="58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</row>
    <row r="160">
      <c r="A160" s="36"/>
      <c r="B160" s="36"/>
      <c r="C160" s="58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</row>
    <row r="161">
      <c r="A161" s="36"/>
      <c r="B161" s="36"/>
      <c r="C161" s="58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</row>
    <row r="162">
      <c r="A162" s="36"/>
      <c r="B162" s="36"/>
      <c r="C162" s="58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</row>
    <row r="163">
      <c r="A163" s="36"/>
      <c r="B163" s="36"/>
      <c r="C163" s="58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</row>
    <row r="164">
      <c r="A164" s="36"/>
      <c r="B164" s="36"/>
      <c r="C164" s="58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</row>
    <row r="165">
      <c r="A165" s="36"/>
      <c r="B165" s="36"/>
      <c r="C165" s="58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</row>
    <row r="166">
      <c r="A166" s="36"/>
      <c r="B166" s="36"/>
      <c r="C166" s="58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</row>
    <row r="167">
      <c r="A167" s="36"/>
      <c r="B167" s="36"/>
      <c r="C167" s="58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</row>
    <row r="168">
      <c r="A168" s="36"/>
      <c r="B168" s="36"/>
      <c r="C168" s="58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</row>
    <row r="169">
      <c r="A169" s="36"/>
      <c r="B169" s="36"/>
      <c r="C169" s="58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</row>
    <row r="170">
      <c r="A170" s="36"/>
      <c r="B170" s="36"/>
      <c r="C170" s="58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</row>
    <row r="171">
      <c r="A171" s="36"/>
      <c r="B171" s="36"/>
      <c r="C171" s="58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</row>
    <row r="172">
      <c r="A172" s="36"/>
      <c r="B172" s="36"/>
      <c r="C172" s="58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</row>
    <row r="173">
      <c r="A173" s="36"/>
      <c r="B173" s="36"/>
      <c r="C173" s="58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</row>
    <row r="174">
      <c r="A174" s="36"/>
      <c r="B174" s="36"/>
      <c r="C174" s="58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</row>
    <row r="175">
      <c r="A175" s="36"/>
      <c r="B175" s="36"/>
      <c r="C175" s="58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</row>
    <row r="176">
      <c r="A176" s="36"/>
      <c r="B176" s="36"/>
      <c r="C176" s="58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</row>
    <row r="177">
      <c r="A177" s="36"/>
      <c r="B177" s="36"/>
      <c r="C177" s="58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</row>
    <row r="178">
      <c r="A178" s="36"/>
      <c r="B178" s="36"/>
      <c r="C178" s="58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</row>
    <row r="179">
      <c r="A179" s="36"/>
      <c r="B179" s="36"/>
      <c r="C179" s="58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</row>
    <row r="180">
      <c r="A180" s="36"/>
      <c r="B180" s="36"/>
      <c r="C180" s="58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</row>
    <row r="181">
      <c r="A181" s="36"/>
      <c r="B181" s="36"/>
      <c r="C181" s="58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</row>
    <row r="182">
      <c r="A182" s="36"/>
      <c r="B182" s="36"/>
      <c r="C182" s="58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</row>
    <row r="183">
      <c r="A183" s="36"/>
      <c r="B183" s="36"/>
      <c r="C183" s="58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</row>
    <row r="184">
      <c r="A184" s="36"/>
      <c r="B184" s="36"/>
      <c r="C184" s="58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</row>
    <row r="185">
      <c r="A185" s="36"/>
      <c r="B185" s="36"/>
      <c r="C185" s="58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</row>
    <row r="186">
      <c r="A186" s="36"/>
      <c r="B186" s="36"/>
      <c r="C186" s="58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</row>
    <row r="187">
      <c r="A187" s="36"/>
      <c r="B187" s="36"/>
      <c r="C187" s="58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</row>
    <row r="188">
      <c r="A188" s="36"/>
      <c r="B188" s="36"/>
      <c r="C188" s="58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</row>
    <row r="189">
      <c r="A189" s="36"/>
      <c r="B189" s="36"/>
      <c r="C189" s="58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</row>
    <row r="190">
      <c r="A190" s="36"/>
      <c r="B190" s="36"/>
      <c r="C190" s="58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</row>
    <row r="191">
      <c r="A191" s="36"/>
      <c r="B191" s="36"/>
      <c r="C191" s="58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</row>
    <row r="192">
      <c r="A192" s="36"/>
      <c r="B192" s="36"/>
      <c r="C192" s="58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</row>
    <row r="193">
      <c r="A193" s="36"/>
      <c r="B193" s="36"/>
      <c r="C193" s="58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</row>
    <row r="194">
      <c r="A194" s="36"/>
      <c r="B194" s="36"/>
      <c r="C194" s="58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</row>
    <row r="195">
      <c r="A195" s="36"/>
      <c r="B195" s="36"/>
      <c r="C195" s="58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</row>
    <row r="196">
      <c r="A196" s="36"/>
      <c r="B196" s="36"/>
      <c r="C196" s="58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</row>
    <row r="197">
      <c r="A197" s="36"/>
      <c r="B197" s="36"/>
      <c r="C197" s="58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</row>
    <row r="198">
      <c r="A198" s="36"/>
      <c r="B198" s="36"/>
      <c r="C198" s="58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</row>
    <row r="199">
      <c r="A199" s="36"/>
      <c r="B199" s="36"/>
      <c r="C199" s="58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</row>
    <row r="200">
      <c r="A200" s="36"/>
      <c r="B200" s="36"/>
      <c r="C200" s="58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</row>
    <row r="201">
      <c r="A201" s="36"/>
      <c r="B201" s="36"/>
      <c r="C201" s="58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</row>
    <row r="202">
      <c r="A202" s="36"/>
      <c r="B202" s="36"/>
      <c r="C202" s="58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</row>
    <row r="203">
      <c r="A203" s="36"/>
      <c r="B203" s="36"/>
      <c r="C203" s="58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</row>
    <row r="204">
      <c r="A204" s="36"/>
      <c r="B204" s="36"/>
      <c r="C204" s="58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</row>
    <row r="205">
      <c r="A205" s="36"/>
      <c r="B205" s="36"/>
      <c r="C205" s="58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</row>
    <row r="206">
      <c r="A206" s="36"/>
      <c r="B206" s="36"/>
      <c r="C206" s="58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</row>
    <row r="207">
      <c r="A207" s="36"/>
      <c r="B207" s="36"/>
      <c r="C207" s="58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</row>
    <row r="208">
      <c r="A208" s="36"/>
      <c r="B208" s="36"/>
      <c r="C208" s="58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</row>
    <row r="209">
      <c r="A209" s="36"/>
      <c r="B209" s="36"/>
      <c r="C209" s="58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</row>
    <row r="210">
      <c r="A210" s="36"/>
      <c r="B210" s="36"/>
      <c r="C210" s="58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</row>
    <row r="211">
      <c r="A211" s="36"/>
      <c r="B211" s="36"/>
      <c r="C211" s="58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</row>
    <row r="212">
      <c r="A212" s="36"/>
      <c r="B212" s="36"/>
      <c r="C212" s="58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</row>
    <row r="213">
      <c r="A213" s="36"/>
      <c r="B213" s="36"/>
      <c r="C213" s="58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</row>
    <row r="214">
      <c r="A214" s="36"/>
      <c r="B214" s="36"/>
      <c r="C214" s="58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</row>
    <row r="215">
      <c r="A215" s="36"/>
      <c r="B215" s="36"/>
      <c r="C215" s="58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</row>
    <row r="216">
      <c r="A216" s="36"/>
      <c r="B216" s="36"/>
      <c r="C216" s="58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</row>
    <row r="217">
      <c r="A217" s="36"/>
      <c r="B217" s="36"/>
      <c r="C217" s="58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</row>
    <row r="218">
      <c r="A218" s="36"/>
      <c r="B218" s="36"/>
      <c r="C218" s="58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</row>
    <row r="219">
      <c r="A219" s="36"/>
      <c r="B219" s="36"/>
      <c r="C219" s="58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</row>
    <row r="220">
      <c r="A220" s="36"/>
      <c r="B220" s="36"/>
      <c r="C220" s="58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</row>
    <row r="221">
      <c r="A221" s="36"/>
      <c r="B221" s="36"/>
      <c r="C221" s="58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</row>
    <row r="222">
      <c r="A222" s="36"/>
      <c r="B222" s="36"/>
      <c r="C222" s="58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</row>
    <row r="223">
      <c r="A223" s="36"/>
      <c r="B223" s="36"/>
      <c r="C223" s="58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</row>
    <row r="224">
      <c r="A224" s="36"/>
      <c r="B224" s="36"/>
      <c r="C224" s="58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</row>
    <row r="225">
      <c r="A225" s="36"/>
      <c r="B225" s="36"/>
      <c r="C225" s="58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</row>
    <row r="226">
      <c r="A226" s="36"/>
      <c r="B226" s="36"/>
      <c r="C226" s="58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</row>
    <row r="227">
      <c r="A227" s="36"/>
      <c r="B227" s="36"/>
      <c r="C227" s="58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</row>
    <row r="1000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</row>
    <row r="1001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  <c r="AE1001" s="36"/>
      <c r="AF1001" s="36"/>
    </row>
    <row r="1002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  <c r="AE1002" s="36"/>
      <c r="AF1002" s="36"/>
    </row>
    <row r="1003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6"/>
      <c r="AE1003" s="36"/>
      <c r="AF1003" s="36"/>
    </row>
    <row r="1004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  <c r="AC1004" s="36"/>
      <c r="AD1004" s="36"/>
      <c r="AE1004" s="36"/>
      <c r="AF1004" s="36"/>
    </row>
    <row r="1005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  <c r="AC1005" s="36"/>
      <c r="AD1005" s="36"/>
      <c r="AE1005" s="36"/>
      <c r="AF1005" s="36"/>
    </row>
    <row r="1006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  <c r="AC1006" s="36"/>
      <c r="AD1006" s="36"/>
      <c r="AE1006" s="36"/>
      <c r="AF1006" s="36"/>
    </row>
    <row r="1007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  <c r="AC1007" s="36"/>
      <c r="AD1007" s="36"/>
      <c r="AE1007" s="36"/>
      <c r="AF1007" s="36"/>
    </row>
    <row r="1008">
      <c r="A1008" s="36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  <c r="AC1008" s="36"/>
      <c r="AD1008" s="36"/>
      <c r="AE1008" s="36"/>
      <c r="AF1008" s="36"/>
    </row>
  </sheetData>
  <autoFilter ref="$B$2:$Q$39">
    <sortState ref="B2:Q39">
      <sortCondition ref="B2:B39"/>
    </sortState>
  </autoFilter>
  <drawing r:id="rId1"/>
</worksheet>
</file>