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16273\GitHub\ISEP-Documents\2402-2406\1-CELLULAIRES ET IoT\Projet\"/>
    </mc:Choice>
  </mc:AlternateContent>
  <xr:revisionPtr revIDLastSave="0" documentId="8_{2D56C012-B749-472C-AA91-EA2F192A8D64}" xr6:coauthVersionLast="47" xr6:coauthVersionMax="47" xr10:uidLastSave="{00000000-0000-0000-0000-000000000000}"/>
  <bookViews>
    <workbookView xWindow="-110" yWindow="-110" windowWidth="38620" windowHeight="21100" xr2:uid="{30BB525F-BD41-2B49-A5D4-BA33C6EFF645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G66" i="1" s="1"/>
  <c r="D50" i="1"/>
  <c r="D54" i="1" s="1"/>
  <c r="E54" i="1"/>
  <c r="E66" i="1"/>
  <c r="E55" i="1"/>
  <c r="G99" i="1"/>
  <c r="G98" i="1"/>
  <c r="G97" i="1"/>
  <c r="G96" i="1"/>
  <c r="G95" i="1"/>
  <c r="G94" i="1"/>
  <c r="G93" i="1"/>
  <c r="G92" i="1"/>
  <c r="G91" i="1"/>
  <c r="G87" i="1"/>
  <c r="G90" i="1"/>
  <c r="G86" i="1"/>
  <c r="G85" i="1"/>
  <c r="G84" i="1"/>
  <c r="G83" i="1"/>
  <c r="G82" i="1"/>
  <c r="G81" i="1"/>
  <c r="G80" i="1"/>
  <c r="G79" i="1"/>
  <c r="G78" i="1"/>
  <c r="E95" i="1"/>
  <c r="E96" i="1"/>
  <c r="E97" i="1"/>
  <c r="E98" i="1"/>
  <c r="E99" i="1"/>
  <c r="E94" i="1"/>
  <c r="E93" i="1"/>
  <c r="E92" i="1"/>
  <c r="E91" i="1"/>
  <c r="E90" i="1"/>
  <c r="E86" i="1"/>
  <c r="E87" i="1"/>
  <c r="E85" i="1"/>
  <c r="E84" i="1"/>
  <c r="E83" i="1"/>
  <c r="E82" i="1"/>
  <c r="E81" i="1"/>
  <c r="E80" i="1"/>
  <c r="E79" i="1"/>
  <c r="E78" i="1"/>
  <c r="E75" i="1"/>
  <c r="E74" i="1"/>
  <c r="E73" i="1"/>
  <c r="E72" i="1"/>
  <c r="E71" i="1"/>
  <c r="E70" i="1"/>
  <c r="E69" i="1"/>
  <c r="E68" i="1"/>
  <c r="E67" i="1"/>
  <c r="E50" i="1"/>
  <c r="E63" i="1"/>
  <c r="E62" i="1"/>
  <c r="E61" i="1"/>
  <c r="E60" i="1"/>
  <c r="E59" i="1"/>
  <c r="E58" i="1"/>
  <c r="E57" i="1"/>
  <c r="E56" i="1"/>
  <c r="D90" i="1"/>
  <c r="D78" i="1"/>
  <c r="G67" i="1" l="1"/>
  <c r="G68" i="1" s="1"/>
  <c r="G69" i="1" s="1"/>
  <c r="G70" i="1" s="1"/>
  <c r="G71" i="1" s="1"/>
  <c r="G72" i="1" s="1"/>
  <c r="G73" i="1" s="1"/>
  <c r="G74" i="1" s="1"/>
  <c r="G75" i="1" s="1"/>
  <c r="E29" i="1" l="1"/>
  <c r="F29" i="1"/>
  <c r="F39" i="1" s="1"/>
  <c r="F40" i="1" s="1"/>
  <c r="F41" i="1" s="1"/>
  <c r="F42" i="1" s="1"/>
  <c r="G29" i="1"/>
  <c r="G39" i="1" s="1"/>
  <c r="G40" i="1" s="1"/>
  <c r="G41" i="1" s="1"/>
  <c r="G42" i="1" s="1"/>
  <c r="D29" i="1"/>
  <c r="D39" i="1" s="1"/>
  <c r="D40" i="1" s="1"/>
  <c r="D41" i="1" s="1"/>
  <c r="D42" i="1" s="1"/>
  <c r="H44" i="1"/>
  <c r="F54" i="1"/>
  <c r="F99" i="1"/>
  <c r="F98" i="1"/>
  <c r="F97" i="1"/>
  <c r="F96" i="1"/>
  <c r="F95" i="1"/>
  <c r="F94" i="1"/>
  <c r="F93" i="1"/>
  <c r="F92" i="1"/>
  <c r="F90" i="1"/>
  <c r="F91" i="1"/>
  <c r="F87" i="1"/>
  <c r="F86" i="1"/>
  <c r="F85" i="1"/>
  <c r="F84" i="1"/>
  <c r="F83" i="1"/>
  <c r="F82" i="1"/>
  <c r="F81" i="1"/>
  <c r="F80" i="1"/>
  <c r="F79" i="1"/>
  <c r="F78" i="1"/>
  <c r="F75" i="1"/>
  <c r="F73" i="1"/>
  <c r="F74" i="1"/>
  <c r="F72" i="1"/>
  <c r="F71" i="1"/>
  <c r="F70" i="1"/>
  <c r="F69" i="1"/>
  <c r="F68" i="1"/>
  <c r="F67" i="1"/>
  <c r="F66" i="1"/>
  <c r="F63" i="1"/>
  <c r="F62" i="1"/>
  <c r="F61" i="1"/>
  <c r="F60" i="1"/>
  <c r="F59" i="1"/>
  <c r="F58" i="1"/>
  <c r="F57" i="1"/>
  <c r="F56" i="1"/>
  <c r="F55" i="1"/>
  <c r="E39" i="1"/>
  <c r="E40" i="1" s="1"/>
  <c r="E41" i="1" s="1"/>
  <c r="E42" i="1" s="1"/>
  <c r="F32" i="1"/>
  <c r="F33" i="1" s="1"/>
  <c r="F34" i="1" s="1"/>
  <c r="F35" i="1" s="1"/>
  <c r="E32" i="1"/>
  <c r="D32" i="1"/>
  <c r="D33" i="1" s="1"/>
  <c r="D34" i="1" s="1"/>
  <c r="D35" i="1" s="1"/>
  <c r="E33" i="1" l="1"/>
  <c r="E34" i="1" s="1"/>
  <c r="E35" i="1" s="1"/>
  <c r="G32" i="1"/>
  <c r="G33" i="1" s="1"/>
  <c r="G34" i="1" s="1"/>
  <c r="G35" i="1" s="1"/>
  <c r="F50" i="1"/>
  <c r="G50" i="1"/>
  <c r="G54" i="1"/>
  <c r="G55" i="1" s="1"/>
  <c r="G56" i="1" s="1"/>
  <c r="G57" i="1" s="1"/>
  <c r="G58" i="1" s="1"/>
  <c r="G59" i="1" s="1"/>
  <c r="G60" i="1" s="1"/>
  <c r="G61" i="1" s="1"/>
  <c r="G62" i="1" s="1"/>
  <c r="G63" i="1" s="1"/>
  <c r="G37" i="1"/>
  <c r="G36" i="1"/>
  <c r="D44" i="1"/>
  <c r="D43" i="1"/>
  <c r="E36" i="1"/>
  <c r="E37" i="1"/>
  <c r="E43" i="1"/>
  <c r="E44" i="1"/>
  <c r="G44" i="1"/>
  <c r="G43" i="1"/>
  <c r="F44" i="1"/>
  <c r="F43" i="1"/>
  <c r="F37" i="1"/>
  <c r="F36" i="1"/>
  <c r="D37" i="1"/>
  <c r="D36" i="1"/>
  <c r="I14" i="1" l="1"/>
  <c r="I15" i="1"/>
  <c r="I16" i="1"/>
  <c r="I17" i="1"/>
  <c r="G48" i="1"/>
  <c r="F48" i="1"/>
  <c r="D23" i="1"/>
  <c r="I11" i="1" l="1"/>
  <c r="J13" i="1"/>
  <c r="I10" i="1"/>
  <c r="J10" i="1"/>
  <c r="J11" i="1"/>
</calcChain>
</file>

<file path=xl/sharedStrings.xml><?xml version="1.0" encoding="utf-8"?>
<sst xmlns="http://schemas.openxmlformats.org/spreadsheetml/2006/main" count="193" uniqueCount="112">
  <si>
    <t xml:space="preserve">Cellular network deployment : radio planning and dimensioning </t>
  </si>
  <si>
    <t>Radio planning</t>
  </si>
  <si>
    <t xml:space="preserve">Base station </t>
  </si>
  <si>
    <t xml:space="preserve">Power of the Base station </t>
  </si>
  <si>
    <t>dBm</t>
  </si>
  <si>
    <t>Antenna gain 1</t>
  </si>
  <si>
    <t>dB</t>
  </si>
  <si>
    <t>Loss</t>
  </si>
  <si>
    <t>Urban 1</t>
    <phoneticPr fontId="6" type="noConversion"/>
  </si>
  <si>
    <t>Rural 2</t>
    <phoneticPr fontId="6" type="noConversion"/>
  </si>
  <si>
    <t xml:space="preserve">Cables and connectors loss </t>
  </si>
  <si>
    <t>Shadowing</t>
  </si>
  <si>
    <t xml:space="preserve">Duplexer </t>
  </si>
  <si>
    <t>Fading</t>
  </si>
  <si>
    <t>Receiver diversity</t>
  </si>
  <si>
    <t xml:space="preserve">Low received power amplifier </t>
  </si>
  <si>
    <t>Urban</t>
  </si>
  <si>
    <t>Rural</t>
  </si>
  <si>
    <t>Sensisivity of reception 1</t>
  </si>
  <si>
    <t xml:space="preserve">dBm </t>
  </si>
  <si>
    <t xml:space="preserve">Uplink Path-Loss </t>
  </si>
  <si>
    <t>Downlink path-loss</t>
  </si>
  <si>
    <t>Mobile</t>
  </si>
  <si>
    <t>Power of the mobile</t>
  </si>
  <si>
    <t>antenna gain 2</t>
    <phoneticPr fontId="6" type="noConversion"/>
  </si>
  <si>
    <t>Internal loss</t>
  </si>
  <si>
    <t>EIRP_of_Mobile</t>
  </si>
  <si>
    <t xml:space="preserve">dBm    </t>
  </si>
  <si>
    <t>Sensitivity of reception 2</t>
    <phoneticPr fontId="6" type="noConversion"/>
  </si>
  <si>
    <t>Total_Gain1</t>
  </si>
  <si>
    <t>EIRP_of_Station</t>
  </si>
  <si>
    <t>Dimensionning</t>
  </si>
  <si>
    <t>Demand</t>
  </si>
  <si>
    <t xml:space="preserve">Number of clients in urban area </t>
  </si>
  <si>
    <t xml:space="preserve">Clients </t>
  </si>
  <si>
    <t>Total_Gain2</t>
  </si>
  <si>
    <t xml:space="preserve">Number of clients in rural area </t>
  </si>
  <si>
    <t xml:space="preserve">Generated traffic per client </t>
  </si>
  <si>
    <t>Erlang</t>
  </si>
  <si>
    <t xml:space="preserve">Considered rural area </t>
  </si>
  <si>
    <t>km2</t>
  </si>
  <si>
    <t xml:space="preserve">Considered urban area </t>
  </si>
  <si>
    <t>Propagation coefficient</t>
  </si>
  <si>
    <t>Ressources</t>
  </si>
  <si>
    <t xml:space="preserve">Ratio of Signal / Interference C/I </t>
  </si>
  <si>
    <t xml:space="preserve">sans unité </t>
  </si>
  <si>
    <t xml:space="preserve">Frequency reuse pattern size </t>
  </si>
  <si>
    <t xml:space="preserve">Number of radio resources per cell </t>
  </si>
  <si>
    <t>with excel it is possible to illustrate the results with a graphic</t>
  </si>
  <si>
    <t>Traffic per client</t>
  </si>
  <si>
    <t xml:space="preserve">Number of clients per cell </t>
  </si>
  <si>
    <t>Joint Dimensionning &amp; Planning</t>
  </si>
  <si>
    <t>Urban zones</t>
  </si>
  <si>
    <t xml:space="preserve">Number of cells </t>
  </si>
  <si>
    <t xml:space="preserve">Area of one cell </t>
  </si>
  <si>
    <t xml:space="preserve">Radius </t>
  </si>
  <si>
    <t xml:space="preserve">Urban path-loss </t>
  </si>
  <si>
    <t xml:space="preserve">Optimised base station power  </t>
  </si>
  <si>
    <t xml:space="preserve">Optimised mobile power </t>
  </si>
  <si>
    <t xml:space="preserve">5 MHz </t>
  </si>
  <si>
    <t>10 MHz</t>
  </si>
  <si>
    <t>15 MHz</t>
  </si>
  <si>
    <t>20 MHz</t>
  </si>
  <si>
    <t xml:space="preserve">23 GHz point-to-point cost </t>
  </si>
  <si>
    <t xml:space="preserve">Profitability </t>
  </si>
  <si>
    <t xml:space="preserve">Fixed costs </t>
  </si>
  <si>
    <t xml:space="preserve">Opex </t>
  </si>
  <si>
    <t>Income</t>
  </si>
  <si>
    <t xml:space="preserve">Year 1 </t>
  </si>
  <si>
    <t>Year 2</t>
  </si>
  <si>
    <t>Year 3</t>
  </si>
  <si>
    <t>Year 4</t>
  </si>
  <si>
    <t xml:space="preserve">Year 5 </t>
  </si>
  <si>
    <t xml:space="preserve">Year 6 </t>
  </si>
  <si>
    <t>Year 7</t>
  </si>
  <si>
    <t>Year 8</t>
  </si>
  <si>
    <t xml:space="preserve">Year 9 </t>
  </si>
  <si>
    <t>Year 10</t>
  </si>
  <si>
    <t xml:space="preserve">Traffic in Erlang per cell </t>
    <phoneticPr fontId="6" type="noConversion"/>
  </si>
  <si>
    <t>Bandwidth</t>
    <phoneticPr fontId="6" type="noConversion"/>
  </si>
  <si>
    <t>info in PPT</t>
    <phoneticPr fontId="6" type="noConversion"/>
  </si>
  <si>
    <t xml:space="preserve">Blockage probability </t>
    <phoneticPr fontId="6" type="noConversion"/>
  </si>
  <si>
    <t>with table Erlang B</t>
    <phoneticPr fontId="6" type="noConversion"/>
  </si>
  <si>
    <t>Area of one cell = (3*(R/1000)² * sqrt(3))/2</t>
    <phoneticPr fontId="6" type="noConversion"/>
  </si>
  <si>
    <t>113 + 35 log10 (Radius/1000)</t>
  </si>
  <si>
    <t>Rural zones</t>
    <phoneticPr fontId="6" type="noConversion"/>
  </si>
  <si>
    <t>Capex=Number of cells(Urban+Rural)×Installation Cost per Base Station</t>
    <phoneticPr fontId="6" type="noConversion"/>
  </si>
  <si>
    <r>
      <rPr>
        <b/>
        <sz val="14"/>
        <color rgb="FFFF0000"/>
        <rFont val="等线"/>
        <family val="3"/>
        <charset val="134"/>
      </rPr>
      <t>Uplink  (from Mobile to Antenna) :</t>
    </r>
    <r>
      <rPr>
        <sz val="14"/>
        <color theme="1"/>
        <rFont val="等线"/>
        <family val="2"/>
        <scheme val="minor"/>
      </rPr>
      <t xml:space="preserve">
1) Sensitivity of reception of Antenna = EIRP + (Antenna gain + Antenna Reciver Diversity + Antenna Low Received powerAmplifier - Antenna Cables and connectors loss - Antenna Duplexer) - U_PathLoss - Shadowing - Fading；
2) EIRP = Power of the mobile + Mobil Antenna Gain - Mobil Internal loss = 21 +  0 - 0 = 21dBm；
Then :  1) </t>
    </r>
    <r>
      <rPr>
        <b/>
        <sz val="14"/>
        <color theme="1"/>
        <rFont val="等线"/>
        <family val="3"/>
        <charset val="134"/>
        <scheme val="minor"/>
      </rPr>
      <t>U_PathLoss</t>
    </r>
    <r>
      <rPr>
        <sz val="14"/>
        <color theme="1"/>
        <rFont val="等线"/>
        <family val="2"/>
        <scheme val="minor"/>
      </rPr>
      <t xml:space="preserve"> = 21 + (17 + 5 + 2 - 3 - 2) - 8 - 2 + 120 =  150dB
</t>
    </r>
    <r>
      <rPr>
        <b/>
        <sz val="14"/>
        <color theme="1"/>
        <rFont val="等线"/>
        <family val="3"/>
        <charset val="134"/>
        <scheme val="minor"/>
      </rPr>
      <t xml:space="preserve">          </t>
    </r>
    <r>
      <rPr>
        <sz val="14"/>
        <color theme="1"/>
        <rFont val="等线"/>
        <family val="3"/>
        <charset val="134"/>
        <scheme val="minor"/>
      </rPr>
      <t>2)</t>
    </r>
    <r>
      <rPr>
        <b/>
        <sz val="14"/>
        <color theme="1"/>
        <rFont val="等线"/>
        <family val="3"/>
        <charset val="134"/>
        <scheme val="minor"/>
      </rPr>
      <t xml:space="preserve"> R_PathLoss</t>
    </r>
    <r>
      <rPr>
        <sz val="14"/>
        <color theme="1"/>
        <rFont val="等线"/>
        <family val="2"/>
        <scheme val="minor"/>
      </rPr>
      <t xml:space="preserve"> = 21 + (17 + 5 + 2 - 3 - 2) - 4 - 2 + 120 = 154dB
</t>
    </r>
    <phoneticPr fontId="6" type="noConversion"/>
  </si>
  <si>
    <r>
      <rPr>
        <b/>
        <sz val="14"/>
        <color rgb="FFFF0000"/>
        <rFont val="等线"/>
        <family val="3"/>
        <charset val="134"/>
      </rPr>
      <t>Downlink (from Antenna to Mobile) :</t>
    </r>
    <r>
      <rPr>
        <sz val="14"/>
        <color theme="1"/>
        <rFont val="等线"/>
        <family val="2"/>
        <scheme val="minor"/>
      </rPr>
      <t xml:space="preserve">
1) Sensitivity of reception of Mobil = EIRP + (Mobil antenna Gain - Mobil internal loss) - U_PathLoss - Shadowing - Fading
2) EIRP = Power of Base Station + Antenna Gain + Antenna Cables and connector loss + Antenna Duplexer) = 46 + 17 - 3 - 2 = 58 dBm
3) Sensitivity of reception 2 = -105dBm = 58dBm + (0 - 0) - U_PathLoss - 8dB - 2 dB
Then : 1) </t>
    </r>
    <r>
      <rPr>
        <b/>
        <sz val="14"/>
        <color theme="1"/>
        <rFont val="等线"/>
        <family val="3"/>
        <charset val="134"/>
        <scheme val="minor"/>
      </rPr>
      <t>U_PathLoss</t>
    </r>
    <r>
      <rPr>
        <sz val="14"/>
        <color theme="1"/>
        <rFont val="等线"/>
        <family val="2"/>
        <scheme val="minor"/>
      </rPr>
      <t xml:space="preserve"> = 58 + 105 - 8 - 2 = 153dB
            2) </t>
    </r>
    <r>
      <rPr>
        <b/>
        <sz val="14"/>
        <color theme="1"/>
        <rFont val="等线"/>
        <family val="3"/>
        <charset val="134"/>
        <scheme val="minor"/>
      </rPr>
      <t>R_PathLoss</t>
    </r>
    <r>
      <rPr>
        <sz val="14"/>
        <color theme="1"/>
        <rFont val="等线"/>
        <family val="2"/>
        <scheme val="minor"/>
      </rPr>
      <t xml:space="preserve"> = 58 + 105 - 4 - 2 = 157dB</t>
    </r>
    <phoneticPr fontId="6" type="noConversion"/>
  </si>
  <si>
    <r>
      <rPr>
        <b/>
        <sz val="14"/>
        <color rgb="FFFF0000"/>
        <rFont val="等线"/>
        <family val="3"/>
        <charset val="134"/>
      </rPr>
      <t>Generated Traffic per Client :</t>
    </r>
    <r>
      <rPr>
        <sz val="14"/>
        <color theme="1"/>
        <rFont val="等线"/>
        <family val="2"/>
        <scheme val="minor"/>
      </rPr>
      <t xml:space="preserve">
1) Total  area (km²) = Rural Zone + Urban Zone = 5176 + 105 = 5281 km²
2) Total ajusted traffic (Erlang) =Total considered area * Propagation coefficient * Ratio Signal/Interference (C/I)= 5281 * 3,5 * 1,14 = 21071,9 Erlang
3) Average trafic (km²)  = Total ajusted traffic / Total area = 21071,9 / 5281 = 3,99 Erlang
4) Total trafic in urban area (Erlang) = Average trafic / km² * Urban Zone =  3,99 * 105 = 418,95 Erlang
5) Total trafic in rural area (Erlang) = Average trafic / km² *  Rural Zone = 3,99 * 5176 = 20652,24 Erlang
</t>
    </r>
    <r>
      <rPr>
        <sz val="14"/>
        <color theme="1"/>
        <rFont val="等线"/>
        <family val="3"/>
        <charset val="134"/>
        <scheme val="minor"/>
      </rPr>
      <t xml:space="preserve">Then : </t>
    </r>
    <r>
      <rPr>
        <b/>
        <sz val="14"/>
        <color theme="1"/>
        <rFont val="等线"/>
        <family val="3"/>
        <charset val="134"/>
        <scheme val="minor"/>
      </rPr>
      <t>Generated traffic per client  (in Erlang)</t>
    </r>
    <r>
      <rPr>
        <sz val="14"/>
        <color theme="1"/>
        <rFont val="等线"/>
        <family val="2"/>
        <scheme val="minor"/>
      </rPr>
      <t xml:space="preserve"> = (Total trafic in urban area + Total trafic in rural area) / (Number of clients in urban area + Number of clients in rural area)  = (418,95 + 20652,24) / (175000+1750) = 0,1192146535 Erlang = </t>
    </r>
    <r>
      <rPr>
        <b/>
        <sz val="14"/>
        <color theme="1"/>
        <rFont val="等线"/>
        <family val="4"/>
        <charset val="134"/>
        <scheme val="minor"/>
      </rPr>
      <t>0,1 Erlang</t>
    </r>
    <r>
      <rPr>
        <sz val="14"/>
        <color theme="1"/>
        <rFont val="等线"/>
        <family val="2"/>
        <scheme val="minor"/>
      </rPr>
      <t xml:space="preserve">	</t>
    </r>
    <phoneticPr fontId="6" type="noConversion"/>
  </si>
  <si>
    <t>k€</t>
    <phoneticPr fontId="6" type="noConversion"/>
  </si>
  <si>
    <t xml:space="preserve">Income/Outcome - 10 years </t>
    <phoneticPr fontId="6" type="noConversion"/>
  </si>
  <si>
    <t xml:space="preserve">5MHz-Profitability </t>
    <phoneticPr fontId="6" type="noConversion"/>
  </si>
  <si>
    <t xml:space="preserve">10MHz-Profitability </t>
    <phoneticPr fontId="6" type="noConversion"/>
  </si>
  <si>
    <t xml:space="preserve">15 MHz- Profitability </t>
    <phoneticPr fontId="6" type="noConversion"/>
  </si>
  <si>
    <t xml:space="preserve">20 MHz-Profitability </t>
    <phoneticPr fontId="6" type="noConversion"/>
  </si>
  <si>
    <t>Opex = Operating Investments (electricity, maintenance, etc.) = 5k€</t>
    <phoneticPr fontId="6" type="noConversion"/>
  </si>
  <si>
    <t xml:space="preserve">Income = Price od client suscription × total client  = 20× total client </t>
    <phoneticPr fontId="6" type="noConversion"/>
  </si>
  <si>
    <t>Fixed costs (except first year)= 2.6 GHz Frequency License Cost+23 GHz Point-to-Point Cost</t>
    <phoneticPr fontId="6" type="noConversion"/>
  </si>
  <si>
    <t xml:space="preserve">Profitability </t>
    <phoneticPr fontId="6" type="noConversion"/>
  </si>
  <si>
    <t>Fixed costs（first year）= Capex+2.6 GHz Frequency License Cost+23 GHz Point-to-Point Cost</t>
    <phoneticPr fontId="6" type="noConversion"/>
  </si>
  <si>
    <t>info in PPT(with 1/6 per hour)</t>
    <phoneticPr fontId="6" type="noConversion"/>
  </si>
  <si>
    <t>Profitability(first year) = Income - Fixed Costs - Opex</t>
    <phoneticPr fontId="6" type="noConversion"/>
  </si>
  <si>
    <t>Profitability(except first year) = Income - Opex + Profitability(last year)</t>
    <phoneticPr fontId="6" type="noConversion"/>
  </si>
  <si>
    <t>Fixed costs</t>
    <phoneticPr fontId="6" type="noConversion"/>
  </si>
  <si>
    <t xml:space="preserve">Capex </t>
    <phoneticPr fontId="6" type="noConversion"/>
  </si>
  <si>
    <t>Costs in k€</t>
    <phoneticPr fontId="6" type="noConversion"/>
  </si>
  <si>
    <t xml:space="preserve">2.6 GHz Frequency licence cost </t>
    <phoneticPr fontId="6" type="noConversion"/>
  </si>
  <si>
    <t>求和</t>
  </si>
  <si>
    <t>平均值</t>
    <phoneticPr fontId="6" type="noConversion"/>
  </si>
  <si>
    <t>汇总</t>
    <phoneticPr fontId="6" type="noConversion"/>
  </si>
  <si>
    <t>计数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</si>
</sst>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4" x14ac:knownFonts="1">
    <font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14"/>
      <color rgb="FF000000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rgb="FF000000"/>
      <name val="Aptos Narrow"/>
      <family val="2"/>
    </font>
    <font>
      <b/>
      <sz val="14"/>
      <color rgb="FF000000"/>
      <name val="等线"/>
      <family val="4"/>
      <charset val="134"/>
    </font>
    <font>
      <b/>
      <sz val="14"/>
      <color theme="1"/>
      <name val="等线"/>
      <family val="4"/>
      <charset val="134"/>
      <scheme val="minor"/>
    </font>
    <font>
      <b/>
      <sz val="14"/>
      <color rgb="FFFF0000"/>
      <name val="等线"/>
      <family val="3"/>
      <charset val="134"/>
    </font>
    <font>
      <b/>
      <sz val="14"/>
      <color theme="1"/>
      <name val="等线"/>
      <family val="2"/>
      <scheme val="minor"/>
    </font>
    <font>
      <b/>
      <sz val="14"/>
      <color rgb="FFFF0000"/>
      <name val="等线"/>
      <family val="3"/>
      <charset val="134"/>
      <scheme val="minor"/>
    </font>
    <font>
      <sz val="14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6" xfId="0" applyFont="1" applyBorder="1"/>
    <xf numFmtId="0" fontId="4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2" fillId="6" borderId="1" xfId="0" applyFont="1" applyFill="1" applyBorder="1"/>
    <xf numFmtId="0" fontId="2" fillId="6" borderId="6" xfId="0" applyFont="1" applyFill="1" applyBorder="1"/>
    <xf numFmtId="0" fontId="1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2" fillId="7" borderId="0" xfId="0" applyFont="1" applyFill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9" fontId="2" fillId="0" borderId="1" xfId="0" applyNumberFormat="1" applyFont="1" applyBorder="1"/>
    <xf numFmtId="0" fontId="11" fillId="0" borderId="0" xfId="0" applyFont="1"/>
    <xf numFmtId="176" fontId="2" fillId="6" borderId="1" xfId="0" applyNumberFormat="1" applyFont="1" applyFill="1" applyBorder="1"/>
    <xf numFmtId="58" fontId="2" fillId="0" borderId="0" xfId="0" applyNumberFormat="1" applyFont="1"/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 textRotation="90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5" fillId="0" borderId="0" xfId="0" applyFont="1" applyAlignment="1">
      <alignment horizontal="left" vertical="top" wrapText="1"/>
    </xf>
    <xf numFmtId="0" fontId="12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12" fillId="0" borderId="7" xfId="0" applyFont="1" applyBorder="1"/>
    <xf numFmtId="0" fontId="12" fillId="0" borderId="0" xfId="0" applyFont="1"/>
    <xf numFmtId="0" fontId="13" fillId="0" borderId="7" xfId="0" applyFont="1" applyBorder="1"/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cells - Urban Zones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Feuil1!$C$32</c:f>
              <c:strCache>
                <c:ptCount val="1"/>
                <c:pt idx="0">
                  <c:v>Number of cells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Feuil1!$D$32:$G$32</c:f>
              <c:numCache>
                <c:formatCode>General</c:formatCode>
                <c:ptCount val="4"/>
                <c:pt idx="0">
                  <c:v>1666</c:v>
                </c:pt>
                <c:pt idx="1">
                  <c:v>725</c:v>
                </c:pt>
                <c:pt idx="2">
                  <c:v>457</c:v>
                </c:pt>
                <c:pt idx="3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620-AEDA-070BB53F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407247"/>
        <c:axId val="931410127"/>
      </c:barChart>
      <c:catAx>
        <c:axId val="9314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410127"/>
        <c:crosses val="autoZero"/>
        <c:auto val="1"/>
        <c:lblAlgn val="ctr"/>
        <c:lblOffset val="100"/>
        <c:noMultiLvlLbl val="0"/>
      </c:catAx>
      <c:valAx>
        <c:axId val="9314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40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cells - Rural Zones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Feuil1!$C$39</c:f>
              <c:strCache>
                <c:ptCount val="1"/>
                <c:pt idx="0">
                  <c:v>Number of cells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Feuil1!$D$39:$G$39</c:f>
              <c:numCache>
                <c:formatCode>General</c:formatCode>
                <c:ptCount val="4"/>
                <c:pt idx="0">
                  <c:v>17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14D-BC98-600F584BB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553263"/>
        <c:axId val="935553743"/>
      </c:barChart>
      <c:catAx>
        <c:axId val="9355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53743"/>
        <c:crosses val="autoZero"/>
        <c:auto val="1"/>
        <c:lblAlgn val="ctr"/>
        <c:lblOffset val="100"/>
        <c:noMultiLvlLbl val="0"/>
      </c:catAx>
      <c:valAx>
        <c:axId val="935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5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Fixed costs - Capex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Feuil1!$C$50</c:f>
              <c:strCache>
                <c:ptCount val="1"/>
                <c:pt idx="0">
                  <c:v>Capex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Feuil1!$D$47:$G$47</c:f>
              <c:strCache>
                <c:ptCount val="4"/>
                <c:pt idx="0">
                  <c:v>5 MHz </c:v>
                </c:pt>
                <c:pt idx="1">
                  <c:v>10 MHz</c:v>
                </c:pt>
                <c:pt idx="2">
                  <c:v>15 MHz</c:v>
                </c:pt>
                <c:pt idx="3">
                  <c:v>20 MHz</c:v>
                </c:pt>
              </c:strCache>
            </c:strRef>
          </c:cat>
          <c:val>
            <c:numRef>
              <c:f>Feuil1!$D$50:$G$50</c:f>
              <c:numCache>
                <c:formatCode>General</c:formatCode>
                <c:ptCount val="4"/>
                <c:pt idx="0">
                  <c:v>25245</c:v>
                </c:pt>
                <c:pt idx="1">
                  <c:v>10995</c:v>
                </c:pt>
                <c:pt idx="2">
                  <c:v>6930</c:v>
                </c:pt>
                <c:pt idx="3">
                  <c:v>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A81-ADD6-E0B25A1F9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039807"/>
        <c:axId val="930694831"/>
      </c:barChart>
      <c:catAx>
        <c:axId val="10780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694831"/>
        <c:crosses val="autoZero"/>
        <c:auto val="1"/>
        <c:lblAlgn val="ctr"/>
        <c:lblOffset val="100"/>
        <c:noMultiLvlLbl val="0"/>
      </c:catAx>
      <c:valAx>
        <c:axId val="9306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0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5MHz-Profitability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Feuil1!$D$53</c:f>
              <c:strCache>
                <c:ptCount val="1"/>
                <c:pt idx="0">
                  <c:v>Fixed costs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Feuil1!$C$54:$C$63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Feuil1!$D$54:$D$63</c:f>
              <c:numCache>
                <c:formatCode>General</c:formatCode>
                <c:ptCount val="10"/>
                <c:pt idx="0">
                  <c:v>27845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0B8-AF54-DDC45A2CF1A8}"/>
            </c:ext>
          </c:extLst>
        </c:ser>
        <c:ser>
          <c:idx val="1"/>
          <c:order val="1"/>
          <c:tx>
            <c:strRef>
              <c:f>Feuil1!$E$53</c:f>
              <c:strCache>
                <c:ptCount val="1"/>
                <c:pt idx="0">
                  <c:v>Opex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Feuil1!$C$54:$C$63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Feuil1!$E$54:$E$63</c:f>
              <c:numCache>
                <c:formatCode>General</c:formatCode>
                <c:ptCount val="10"/>
                <c:pt idx="0">
                  <c:v>8415</c:v>
                </c:pt>
                <c:pt idx="1">
                  <c:v>8415</c:v>
                </c:pt>
                <c:pt idx="2">
                  <c:v>8415</c:v>
                </c:pt>
                <c:pt idx="3">
                  <c:v>8415</c:v>
                </c:pt>
                <c:pt idx="4">
                  <c:v>8415</c:v>
                </c:pt>
                <c:pt idx="5">
                  <c:v>8415</c:v>
                </c:pt>
                <c:pt idx="6">
                  <c:v>8415</c:v>
                </c:pt>
                <c:pt idx="7">
                  <c:v>8415</c:v>
                </c:pt>
                <c:pt idx="8">
                  <c:v>8415</c:v>
                </c:pt>
                <c:pt idx="9">
                  <c:v>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40B8-AF54-DDC45A2CF1A8}"/>
            </c:ext>
          </c:extLst>
        </c:ser>
        <c:ser>
          <c:idx val="2"/>
          <c:order val="2"/>
          <c:tx>
            <c:strRef>
              <c:f>Feuil1!$F$53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Feuil1!$C$54:$C$63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Feuil1!$F$54:$F$63</c:f>
              <c:numCache>
                <c:formatCode>General</c:formatCode>
                <c:ptCount val="10"/>
                <c:pt idx="0">
                  <c:v>3535</c:v>
                </c:pt>
                <c:pt idx="1">
                  <c:v>3535</c:v>
                </c:pt>
                <c:pt idx="2">
                  <c:v>3535</c:v>
                </c:pt>
                <c:pt idx="3">
                  <c:v>3535</c:v>
                </c:pt>
                <c:pt idx="4">
                  <c:v>3535</c:v>
                </c:pt>
                <c:pt idx="5">
                  <c:v>3535</c:v>
                </c:pt>
                <c:pt idx="6">
                  <c:v>3535</c:v>
                </c:pt>
                <c:pt idx="7">
                  <c:v>3535</c:v>
                </c:pt>
                <c:pt idx="8">
                  <c:v>3535</c:v>
                </c:pt>
                <c:pt idx="9">
                  <c:v>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3-40B8-AF54-DDC45A2CF1A8}"/>
            </c:ext>
          </c:extLst>
        </c:ser>
        <c:ser>
          <c:idx val="3"/>
          <c:order val="3"/>
          <c:tx>
            <c:strRef>
              <c:f>Feuil1!$G$53</c:f>
              <c:strCache>
                <c:ptCount val="1"/>
                <c:pt idx="0">
                  <c:v>Profitability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Feuil1!$C$54:$C$63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Feuil1!$G$54:$G$63</c:f>
              <c:numCache>
                <c:formatCode>General</c:formatCode>
                <c:ptCount val="10"/>
                <c:pt idx="0">
                  <c:v>-32725</c:v>
                </c:pt>
                <c:pt idx="1">
                  <c:v>-37605</c:v>
                </c:pt>
                <c:pt idx="2">
                  <c:v>-42485</c:v>
                </c:pt>
                <c:pt idx="3">
                  <c:v>-47365</c:v>
                </c:pt>
                <c:pt idx="4">
                  <c:v>-52245</c:v>
                </c:pt>
                <c:pt idx="5">
                  <c:v>-57125</c:v>
                </c:pt>
                <c:pt idx="6">
                  <c:v>-62005</c:v>
                </c:pt>
                <c:pt idx="7">
                  <c:v>-66885</c:v>
                </c:pt>
                <c:pt idx="8">
                  <c:v>-71765</c:v>
                </c:pt>
                <c:pt idx="9">
                  <c:v>-76645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3-40B8-AF54-DDC45A2C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372784"/>
        <c:axId val="1265371344"/>
      </c:barChart>
      <c:catAx>
        <c:axId val="12653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371344"/>
        <c:crosses val="autoZero"/>
        <c:auto val="1"/>
        <c:lblAlgn val="ctr"/>
        <c:lblOffset val="100"/>
        <c:noMultiLvlLbl val="0"/>
      </c:catAx>
      <c:valAx>
        <c:axId val="1265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3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en-GB" altLang="zh-CN"/>
              <a:t>MHz-Profitability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Feuil1!$D$65</c:f>
              <c:strCache>
                <c:ptCount val="1"/>
                <c:pt idx="0">
                  <c:v>Fixed costs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Feuil1!$C$66:$C$75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Feuil1!$D$66:$D$75</c:f>
              <c:numCache>
                <c:formatCode>General</c:formatCode>
                <c:ptCount val="10"/>
                <c:pt idx="0">
                  <c:v>16095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7-44B6-8D0E-FE39F2386820}"/>
            </c:ext>
          </c:extLst>
        </c:ser>
        <c:ser>
          <c:idx val="1"/>
          <c:order val="1"/>
          <c:tx>
            <c:strRef>
              <c:f>Feuil1!$E$65</c:f>
              <c:strCache>
                <c:ptCount val="1"/>
                <c:pt idx="0">
                  <c:v>Opex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Feuil1!$C$66:$C$75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Feuil1!$E$66:$E$75</c:f>
              <c:numCache>
                <c:formatCode>General</c:formatCode>
                <c:ptCount val="10"/>
                <c:pt idx="0">
                  <c:v>3665</c:v>
                </c:pt>
                <c:pt idx="1">
                  <c:v>3665</c:v>
                </c:pt>
                <c:pt idx="2">
                  <c:v>3665</c:v>
                </c:pt>
                <c:pt idx="3">
                  <c:v>3665</c:v>
                </c:pt>
                <c:pt idx="4">
                  <c:v>3665</c:v>
                </c:pt>
                <c:pt idx="5">
                  <c:v>3665</c:v>
                </c:pt>
                <c:pt idx="6">
                  <c:v>3665</c:v>
                </c:pt>
                <c:pt idx="7">
                  <c:v>3665</c:v>
                </c:pt>
                <c:pt idx="8">
                  <c:v>3665</c:v>
                </c:pt>
                <c:pt idx="9">
                  <c:v>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7-44B6-8D0E-FE39F2386820}"/>
            </c:ext>
          </c:extLst>
        </c:ser>
        <c:ser>
          <c:idx val="2"/>
          <c:order val="2"/>
          <c:tx>
            <c:strRef>
              <c:f>Feuil1!$F$65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Feuil1!$C$66:$C$75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Feuil1!$F$66:$F$75</c:f>
              <c:numCache>
                <c:formatCode>General</c:formatCode>
                <c:ptCount val="10"/>
                <c:pt idx="0">
                  <c:v>3535</c:v>
                </c:pt>
                <c:pt idx="1">
                  <c:v>3535</c:v>
                </c:pt>
                <c:pt idx="2">
                  <c:v>3535</c:v>
                </c:pt>
                <c:pt idx="3">
                  <c:v>3535</c:v>
                </c:pt>
                <c:pt idx="4">
                  <c:v>3535</c:v>
                </c:pt>
                <c:pt idx="5">
                  <c:v>3535</c:v>
                </c:pt>
                <c:pt idx="6">
                  <c:v>3535</c:v>
                </c:pt>
                <c:pt idx="7">
                  <c:v>3535</c:v>
                </c:pt>
                <c:pt idx="8">
                  <c:v>3535</c:v>
                </c:pt>
                <c:pt idx="9">
                  <c:v>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7-44B6-8D0E-FE39F2386820}"/>
            </c:ext>
          </c:extLst>
        </c:ser>
        <c:ser>
          <c:idx val="3"/>
          <c:order val="3"/>
          <c:tx>
            <c:strRef>
              <c:f>Feuil1!$G$65</c:f>
              <c:strCache>
                <c:ptCount val="1"/>
                <c:pt idx="0">
                  <c:v>Profitability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Feuil1!$C$66:$C$75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Feuil1!$G$66:$G$75</c:f>
              <c:numCache>
                <c:formatCode>General</c:formatCode>
                <c:ptCount val="10"/>
                <c:pt idx="0">
                  <c:v>-16225</c:v>
                </c:pt>
                <c:pt idx="1">
                  <c:v>-16355</c:v>
                </c:pt>
                <c:pt idx="2">
                  <c:v>-16485</c:v>
                </c:pt>
                <c:pt idx="3">
                  <c:v>-16615</c:v>
                </c:pt>
                <c:pt idx="4">
                  <c:v>-16745</c:v>
                </c:pt>
                <c:pt idx="5">
                  <c:v>-16875</c:v>
                </c:pt>
                <c:pt idx="6">
                  <c:v>-17005</c:v>
                </c:pt>
                <c:pt idx="7">
                  <c:v>-17135</c:v>
                </c:pt>
                <c:pt idx="8">
                  <c:v>-17265</c:v>
                </c:pt>
                <c:pt idx="9">
                  <c:v>-17395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07-44B6-8D0E-FE39F238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882911"/>
        <c:axId val="1385884831"/>
      </c:barChart>
      <c:catAx>
        <c:axId val="13858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884831"/>
        <c:crosses val="autoZero"/>
        <c:auto val="1"/>
        <c:lblAlgn val="ctr"/>
        <c:lblOffset val="100"/>
        <c:noMultiLvlLbl val="0"/>
      </c:catAx>
      <c:valAx>
        <c:axId val="13858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8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</a:t>
            </a:r>
            <a:r>
              <a:rPr lang="en-GB" altLang="zh-CN"/>
              <a:t>MHz-Profitability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Feuil1!$D$77</c:f>
              <c:strCache>
                <c:ptCount val="1"/>
                <c:pt idx="0">
                  <c:v>Fixed costs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Feuil1!$C$78:$C$87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Feuil1!$D$78:$D$87</c:f>
              <c:numCache>
                <c:formatCode>General</c:formatCode>
                <c:ptCount val="10"/>
                <c:pt idx="0">
                  <c:v>14530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873-9D23-4DC6A71C8905}"/>
            </c:ext>
          </c:extLst>
        </c:ser>
        <c:ser>
          <c:idx val="1"/>
          <c:order val="1"/>
          <c:tx>
            <c:strRef>
              <c:f>Feuil1!$E$77</c:f>
              <c:strCache>
                <c:ptCount val="1"/>
                <c:pt idx="0">
                  <c:v>Opex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Feuil1!$C$78:$C$87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Feuil1!$E$78:$E$87</c:f>
              <c:numCache>
                <c:formatCode>General</c:formatCode>
                <c:ptCount val="10"/>
                <c:pt idx="0">
                  <c:v>2310</c:v>
                </c:pt>
                <c:pt idx="1">
                  <c:v>2310</c:v>
                </c:pt>
                <c:pt idx="2">
                  <c:v>2310</c:v>
                </c:pt>
                <c:pt idx="3">
                  <c:v>2310</c:v>
                </c:pt>
                <c:pt idx="4">
                  <c:v>2310</c:v>
                </c:pt>
                <c:pt idx="5">
                  <c:v>2310</c:v>
                </c:pt>
                <c:pt idx="6">
                  <c:v>2310</c:v>
                </c:pt>
                <c:pt idx="7">
                  <c:v>2310</c:v>
                </c:pt>
                <c:pt idx="8">
                  <c:v>2310</c:v>
                </c:pt>
                <c:pt idx="9">
                  <c:v>2310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E-4873-9D23-4DC6A71C8905}"/>
            </c:ext>
          </c:extLst>
        </c:ser>
        <c:ser>
          <c:idx val="2"/>
          <c:order val="2"/>
          <c:tx>
            <c:strRef>
              <c:f>Feuil1!$F$77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Feuil1!$C$78:$C$87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Feuil1!$F$78:$F$87</c:f>
              <c:numCache>
                <c:formatCode>General</c:formatCode>
                <c:ptCount val="10"/>
                <c:pt idx="0">
                  <c:v>3535</c:v>
                </c:pt>
                <c:pt idx="1">
                  <c:v>3535</c:v>
                </c:pt>
                <c:pt idx="2">
                  <c:v>3535</c:v>
                </c:pt>
                <c:pt idx="3">
                  <c:v>3535</c:v>
                </c:pt>
                <c:pt idx="4">
                  <c:v>3535</c:v>
                </c:pt>
                <c:pt idx="5">
                  <c:v>3535</c:v>
                </c:pt>
                <c:pt idx="6">
                  <c:v>3535</c:v>
                </c:pt>
                <c:pt idx="7">
                  <c:v>3535</c:v>
                </c:pt>
                <c:pt idx="8">
                  <c:v>3535</c:v>
                </c:pt>
                <c:pt idx="9">
                  <c:v>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E-4873-9D23-4DC6A71C8905}"/>
            </c:ext>
          </c:extLst>
        </c:ser>
        <c:ser>
          <c:idx val="3"/>
          <c:order val="3"/>
          <c:tx>
            <c:strRef>
              <c:f>Feuil1!$G$77</c:f>
              <c:strCache>
                <c:ptCount val="1"/>
                <c:pt idx="0">
                  <c:v>Profitability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Feuil1!$C$78:$C$87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Feuil1!$G$78:$G$87</c:f>
              <c:numCache>
                <c:formatCode>General</c:formatCode>
                <c:ptCount val="10"/>
                <c:pt idx="0">
                  <c:v>-13305</c:v>
                </c:pt>
                <c:pt idx="1">
                  <c:v>-12080</c:v>
                </c:pt>
                <c:pt idx="2">
                  <c:v>-10855</c:v>
                </c:pt>
                <c:pt idx="3">
                  <c:v>-9630</c:v>
                </c:pt>
                <c:pt idx="4">
                  <c:v>-8405</c:v>
                </c:pt>
                <c:pt idx="5">
                  <c:v>-7180</c:v>
                </c:pt>
                <c:pt idx="6">
                  <c:v>-5955</c:v>
                </c:pt>
                <c:pt idx="7">
                  <c:v>-4730</c:v>
                </c:pt>
                <c:pt idx="8">
                  <c:v>-3505</c:v>
                </c:pt>
                <c:pt idx="9">
                  <c:v>-2280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E-4873-9D23-4DC6A71C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063919"/>
        <c:axId val="1465062479"/>
      </c:barChart>
      <c:catAx>
        <c:axId val="14650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062479"/>
        <c:crosses val="autoZero"/>
        <c:auto val="1"/>
        <c:lblAlgn val="ctr"/>
        <c:lblOffset val="100"/>
        <c:noMultiLvlLbl val="0"/>
      </c:catAx>
      <c:valAx>
        <c:axId val="1465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0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</a:t>
            </a:r>
            <a:r>
              <a:rPr lang="en-GB" altLang="zh-CN"/>
              <a:t>MHz-Profitability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Feuil1!$D$89</c:f>
              <c:strCache>
                <c:ptCount val="1"/>
                <c:pt idx="0">
                  <c:v>Fixed costs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Feuil1!$C$90:$C$99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Feuil1!$D$90:$D$99</c:f>
              <c:numCache>
                <c:formatCode>General</c:formatCode>
                <c:ptCount val="10"/>
                <c:pt idx="0">
                  <c:v>15140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4-4FA6-94C7-4C3A48C45D40}"/>
            </c:ext>
          </c:extLst>
        </c:ser>
        <c:ser>
          <c:idx val="1"/>
          <c:order val="1"/>
          <c:tx>
            <c:strRef>
              <c:f>Feuil1!$E$89</c:f>
              <c:strCache>
                <c:ptCount val="1"/>
                <c:pt idx="0">
                  <c:v>Opex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Feuil1!$C$90:$C$99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Feuil1!$E$90:$E$99</c:f>
              <c:numCache>
                <c:formatCode>General</c:formatCode>
                <c:ptCount val="10"/>
                <c:pt idx="0">
                  <c:v>1680</c:v>
                </c:pt>
                <c:pt idx="1">
                  <c:v>1680</c:v>
                </c:pt>
                <c:pt idx="2">
                  <c:v>1680</c:v>
                </c:pt>
                <c:pt idx="3">
                  <c:v>1680</c:v>
                </c:pt>
                <c:pt idx="4">
                  <c:v>1680</c:v>
                </c:pt>
                <c:pt idx="5">
                  <c:v>1680</c:v>
                </c:pt>
                <c:pt idx="6">
                  <c:v>1680</c:v>
                </c:pt>
                <c:pt idx="7">
                  <c:v>1680</c:v>
                </c:pt>
                <c:pt idx="8">
                  <c:v>1680</c:v>
                </c:pt>
                <c:pt idx="9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4-4FA6-94C7-4C3A48C45D40}"/>
            </c:ext>
          </c:extLst>
        </c:ser>
        <c:ser>
          <c:idx val="2"/>
          <c:order val="2"/>
          <c:tx>
            <c:strRef>
              <c:f>Feuil1!$F$89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Feuil1!$C$90:$C$99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Feuil1!$F$90:$F$99</c:f>
              <c:numCache>
                <c:formatCode>General</c:formatCode>
                <c:ptCount val="10"/>
                <c:pt idx="0">
                  <c:v>3535</c:v>
                </c:pt>
                <c:pt idx="1">
                  <c:v>3535</c:v>
                </c:pt>
                <c:pt idx="2">
                  <c:v>3535</c:v>
                </c:pt>
                <c:pt idx="3">
                  <c:v>3535</c:v>
                </c:pt>
                <c:pt idx="4">
                  <c:v>3535</c:v>
                </c:pt>
                <c:pt idx="5">
                  <c:v>3535</c:v>
                </c:pt>
                <c:pt idx="6">
                  <c:v>3535</c:v>
                </c:pt>
                <c:pt idx="7">
                  <c:v>3535</c:v>
                </c:pt>
                <c:pt idx="8">
                  <c:v>3535</c:v>
                </c:pt>
                <c:pt idx="9">
                  <c:v>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4-4FA6-94C7-4C3A48C45D40}"/>
            </c:ext>
          </c:extLst>
        </c:ser>
        <c:ser>
          <c:idx val="3"/>
          <c:order val="3"/>
          <c:tx>
            <c:strRef>
              <c:f>Feuil1!$G$89</c:f>
              <c:strCache>
                <c:ptCount val="1"/>
                <c:pt idx="0">
                  <c:v>Profitability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Feuil1!$C$90:$C$99</c:f>
              <c:strCache>
                <c:ptCount val="10"/>
                <c:pt idx="0">
                  <c:v>Year 1 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 </c:v>
                </c:pt>
                <c:pt idx="5">
                  <c:v>Year 6 </c:v>
                </c:pt>
                <c:pt idx="6">
                  <c:v>Year 7</c:v>
                </c:pt>
                <c:pt idx="7">
                  <c:v>Year 8</c:v>
                </c:pt>
                <c:pt idx="8">
                  <c:v>Year 9 </c:v>
                </c:pt>
                <c:pt idx="9">
                  <c:v>Year 10</c:v>
                </c:pt>
              </c:strCache>
            </c:strRef>
          </c:cat>
          <c:val>
            <c:numRef>
              <c:f>Feuil1!$G$90:$G$99</c:f>
              <c:numCache>
                <c:formatCode>General</c:formatCode>
                <c:ptCount val="10"/>
                <c:pt idx="0">
                  <c:v>-13285</c:v>
                </c:pt>
                <c:pt idx="1">
                  <c:v>-11430</c:v>
                </c:pt>
                <c:pt idx="2">
                  <c:v>-9575</c:v>
                </c:pt>
                <c:pt idx="3">
                  <c:v>-7720</c:v>
                </c:pt>
                <c:pt idx="4">
                  <c:v>-5865</c:v>
                </c:pt>
                <c:pt idx="5">
                  <c:v>-4010</c:v>
                </c:pt>
                <c:pt idx="6">
                  <c:v>-2155</c:v>
                </c:pt>
                <c:pt idx="7">
                  <c:v>-300</c:v>
                </c:pt>
                <c:pt idx="8">
                  <c:v>1555</c:v>
                </c:pt>
                <c:pt idx="9">
                  <c:v>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4-4FA6-94C7-4C3A48C4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798255"/>
        <c:axId val="1463801135"/>
      </c:barChart>
      <c:catAx>
        <c:axId val="146379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801135"/>
        <c:crosses val="autoZero"/>
        <c:auto val="1"/>
        <c:lblAlgn val="ctr"/>
        <c:lblOffset val="100"/>
        <c:noMultiLvlLbl val="0"/>
      </c:catAx>
      <c:valAx>
        <c:axId val="14638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79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1296762</xdr:colOff>
      <xdr:row>13</xdr:row>
      <xdr:rowOff>259898</xdr:rowOff>
    </xdr:from>
    <xdr:to>
      <xdr:col>21</xdr:col>
      <xdr:colOff>107164</xdr:colOff>
      <xdr:row>42</xdr:row>
      <xdr:rowOff>208518</xdr:rowOff>
    </xdr:to>
    <xdr:pic>
      <xdr:nvPicPr>
        <xdr:cNvPr id="29" name="图片 1">
          <a:extLst>
            <a:ext uri="{FF2B5EF4-FFF2-40B4-BE49-F238E27FC236}">
              <a16:creationId xmlns:a16="http://schemas.microsoft.com/office/drawing/2014/main" id="{BDB4552D-F7FB-1347-5F5B-BE3FBB47A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28262" y="4269469"/>
          <a:ext cx="7363852" cy="8787820"/>
        </a:xfrm>
        <a:prstGeom prst="rect">
          <a:avLst/>
        </a:prstGeom>
      </xdr:spPr>
    </xdr:pic>
    <xdr:clientData/>
  </xdr:twoCellAnchor>
  <xdr:twoCellAnchor>
    <xdr:from>
      <xdr:col>9</xdr:col>
      <xdr:colOff>2662464</xdr:colOff>
      <xdr:row>26</xdr:row>
      <xdr:rowOff>107042</xdr:rowOff>
    </xdr:from>
    <xdr:to>
      <xdr:col>13</xdr:col>
      <xdr:colOff>630464</xdr:colOff>
      <xdr:row>35</xdr:row>
      <xdr:rowOff>74385</xdr:rowOff>
    </xdr:to>
    <xdr:graphicFrame macro="">
      <xdr:nvGraphicFramePr>
        <xdr:cNvPr id="30" name="图表 4">
          <a:extLst>
            <a:ext uri="{FF2B5EF4-FFF2-40B4-BE49-F238E27FC236}">
              <a16:creationId xmlns:a16="http://schemas.microsoft.com/office/drawing/2014/main" id="{4FA83560-1015-7A91-0B1E-0B8AA3C03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35</xdr:row>
      <xdr:rowOff>279400</xdr:rowOff>
    </xdr:from>
    <xdr:to>
      <xdr:col>13</xdr:col>
      <xdr:colOff>666750</xdr:colOff>
      <xdr:row>44</xdr:row>
      <xdr:rowOff>246743</xdr:rowOff>
    </xdr:to>
    <xdr:graphicFrame macro="">
      <xdr:nvGraphicFramePr>
        <xdr:cNvPr id="52" name="图表 5">
          <a:extLst>
            <a:ext uri="{FF2B5EF4-FFF2-40B4-BE49-F238E27FC236}">
              <a16:creationId xmlns:a16="http://schemas.microsoft.com/office/drawing/2014/main" id="{9DE6D13C-5C25-0188-2D94-4F7ADF44E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4535</xdr:colOff>
      <xdr:row>46</xdr:row>
      <xdr:rowOff>16328</xdr:rowOff>
    </xdr:from>
    <xdr:to>
      <xdr:col>13</xdr:col>
      <xdr:colOff>657678</xdr:colOff>
      <xdr:row>54</xdr:row>
      <xdr:rowOff>292099</xdr:rowOff>
    </xdr:to>
    <xdr:graphicFrame macro="">
      <xdr:nvGraphicFramePr>
        <xdr:cNvPr id="75" name="图表 6">
          <a:extLst>
            <a:ext uri="{FF2B5EF4-FFF2-40B4-BE49-F238E27FC236}">
              <a16:creationId xmlns:a16="http://schemas.microsoft.com/office/drawing/2014/main" id="{55D13A4B-0DA9-72DF-48FE-2B16261FE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2671535</xdr:colOff>
      <xdr:row>56</xdr:row>
      <xdr:rowOff>16328</xdr:rowOff>
    </xdr:from>
    <xdr:to>
      <xdr:col>13</xdr:col>
      <xdr:colOff>648607</xdr:colOff>
      <xdr:row>64</xdr:row>
      <xdr:rowOff>292099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3A678BC-DE27-5092-9001-6A5D1BD30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4535</xdr:colOff>
      <xdr:row>66</xdr:row>
      <xdr:rowOff>16329</xdr:rowOff>
    </xdr:from>
    <xdr:to>
      <xdr:col>13</xdr:col>
      <xdr:colOff>657678</xdr:colOff>
      <xdr:row>74</xdr:row>
      <xdr:rowOff>292101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247ED6E-B0CA-CB9C-AAD5-FC47214EA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4536</xdr:colOff>
      <xdr:row>75</xdr:row>
      <xdr:rowOff>306614</xdr:rowOff>
    </xdr:from>
    <xdr:to>
      <xdr:col>13</xdr:col>
      <xdr:colOff>657679</xdr:colOff>
      <xdr:row>84</xdr:row>
      <xdr:rowOff>273957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091920B-3815-3730-6C7D-DFF18F7C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31750</xdr:colOff>
      <xdr:row>86</xdr:row>
      <xdr:rowOff>25400</xdr:rowOff>
    </xdr:from>
    <xdr:to>
      <xdr:col>13</xdr:col>
      <xdr:colOff>684893</xdr:colOff>
      <xdr:row>94</xdr:row>
      <xdr:rowOff>301171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C1ABB28-E610-4A8C-82D2-4B2B6D1BF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0B3C-75CA-8344-8A34-C0016E9F62F9}">
  <dimension ref="A2:S99"/>
  <sheetViews>
    <sheetView tabSelected="1" topLeftCell="A55" zoomScale="70" zoomScaleNormal="70" workbookViewId="0">
      <selection activeCell="O81" sqref="O81"/>
    </sheetView>
  </sheetViews>
  <sheetFormatPr defaultColWidth="15.84375" defaultRowHeight="24" customHeight="1" x14ac:dyDescent="0.35"/>
  <cols>
    <col min="1" max="1" width="8.15234375" style="2" customWidth="1"/>
    <col min="2" max="2" width="12" style="2" customWidth="1"/>
    <col min="3" max="3" width="36.15234375" style="2" customWidth="1"/>
    <col min="4" max="5" width="15.84375" style="2"/>
    <col min="6" max="6" width="14" style="2" bestFit="1" customWidth="1"/>
    <col min="7" max="7" width="15.15234375" style="2" customWidth="1"/>
    <col min="8" max="8" width="31.4609375" style="2" customWidth="1"/>
    <col min="9" max="9" width="39.4609375" style="2" customWidth="1"/>
    <col min="10" max="10" width="32.4609375" style="2" customWidth="1"/>
    <col min="11" max="16384" width="15.84375" style="2"/>
  </cols>
  <sheetData>
    <row r="2" spans="1:19" s="25" customFormat="1" ht="24" customHeight="1" x14ac:dyDescent="0.35">
      <c r="A2" s="24" t="s">
        <v>0</v>
      </c>
    </row>
    <row r="4" spans="1:19" ht="24" customHeight="1" x14ac:dyDescent="0.35">
      <c r="A4" s="28" t="s">
        <v>1</v>
      </c>
      <c r="B4" s="30" t="s">
        <v>2</v>
      </c>
      <c r="C4" s="1" t="s">
        <v>3</v>
      </c>
      <c r="D4" s="1">
        <v>46</v>
      </c>
      <c r="E4" s="1" t="s">
        <v>4</v>
      </c>
    </row>
    <row r="5" spans="1:19" ht="24" customHeight="1" x14ac:dyDescent="0.35">
      <c r="A5" s="29"/>
      <c r="B5" s="31"/>
      <c r="C5" s="1" t="s">
        <v>5</v>
      </c>
      <c r="D5" s="1">
        <v>17</v>
      </c>
      <c r="E5" s="1" t="s">
        <v>6</v>
      </c>
      <c r="H5" s="1" t="s">
        <v>7</v>
      </c>
      <c r="I5" s="11" t="s">
        <v>8</v>
      </c>
      <c r="J5" s="11" t="s">
        <v>9</v>
      </c>
      <c r="L5" s="45" t="s">
        <v>87</v>
      </c>
      <c r="M5" s="45"/>
      <c r="N5" s="45"/>
      <c r="O5" s="45"/>
      <c r="P5" s="45"/>
      <c r="Q5" s="45"/>
      <c r="R5" s="45"/>
    </row>
    <row r="6" spans="1:19" ht="24" customHeight="1" x14ac:dyDescent="0.35">
      <c r="A6" s="29"/>
      <c r="B6" s="31"/>
      <c r="C6" s="1" t="s">
        <v>10</v>
      </c>
      <c r="D6" s="1">
        <v>3</v>
      </c>
      <c r="E6" s="1" t="s">
        <v>6</v>
      </c>
      <c r="H6" s="1" t="s">
        <v>11</v>
      </c>
      <c r="I6" s="7">
        <v>8</v>
      </c>
      <c r="J6" s="7">
        <v>4</v>
      </c>
      <c r="L6" s="45"/>
      <c r="M6" s="45"/>
      <c r="N6" s="45"/>
      <c r="O6" s="45"/>
      <c r="P6" s="45"/>
      <c r="Q6" s="45"/>
      <c r="R6" s="45"/>
    </row>
    <row r="7" spans="1:19" ht="24" customHeight="1" x14ac:dyDescent="0.35">
      <c r="A7" s="29"/>
      <c r="B7" s="31"/>
      <c r="C7" s="1" t="s">
        <v>12</v>
      </c>
      <c r="D7" s="1">
        <v>2</v>
      </c>
      <c r="E7" s="1" t="s">
        <v>6</v>
      </c>
      <c r="H7" s="1" t="s">
        <v>13</v>
      </c>
      <c r="I7" s="7">
        <v>2</v>
      </c>
      <c r="J7" s="7">
        <v>2</v>
      </c>
      <c r="L7" s="45"/>
      <c r="M7" s="45"/>
      <c r="N7" s="45"/>
      <c r="O7" s="45"/>
      <c r="P7" s="45"/>
      <c r="Q7" s="45"/>
      <c r="R7" s="45"/>
    </row>
    <row r="8" spans="1:19" ht="24" customHeight="1" x14ac:dyDescent="0.35">
      <c r="A8" s="29"/>
      <c r="B8" s="31"/>
      <c r="C8" s="1" t="s">
        <v>14</v>
      </c>
      <c r="D8" s="1">
        <v>5</v>
      </c>
      <c r="E8" s="1" t="s">
        <v>6</v>
      </c>
      <c r="I8" s="18"/>
      <c r="J8" s="18"/>
      <c r="L8" s="45"/>
      <c r="M8" s="45"/>
      <c r="N8" s="45"/>
      <c r="O8" s="45"/>
      <c r="P8" s="45"/>
      <c r="Q8" s="45"/>
      <c r="R8" s="45"/>
    </row>
    <row r="9" spans="1:19" ht="24" customHeight="1" x14ac:dyDescent="0.35">
      <c r="A9" s="29"/>
      <c r="B9" s="31"/>
      <c r="C9" s="1" t="s">
        <v>15</v>
      </c>
      <c r="D9" s="1">
        <v>2</v>
      </c>
      <c r="E9" s="1" t="s">
        <v>6</v>
      </c>
      <c r="H9" s="1"/>
      <c r="I9" s="11" t="s">
        <v>16</v>
      </c>
      <c r="J9" s="11" t="s">
        <v>17</v>
      </c>
      <c r="L9" s="45"/>
      <c r="M9" s="45"/>
      <c r="N9" s="45"/>
      <c r="O9" s="45"/>
      <c r="P9" s="45"/>
      <c r="Q9" s="45"/>
      <c r="R9" s="45"/>
    </row>
    <row r="10" spans="1:19" ht="24" customHeight="1" x14ac:dyDescent="0.35">
      <c r="A10" s="29"/>
      <c r="B10" s="31"/>
      <c r="C10" s="1" t="s">
        <v>18</v>
      </c>
      <c r="D10" s="1">
        <v>-120</v>
      </c>
      <c r="E10" s="1" t="s">
        <v>19</v>
      </c>
      <c r="H10" s="1" t="s">
        <v>20</v>
      </c>
      <c r="I10" s="18">
        <f>I14+I15-I6-I7</f>
        <v>150</v>
      </c>
      <c r="J10" s="18">
        <f>I14+I15-J6-J7</f>
        <v>154</v>
      </c>
      <c r="L10" s="41" t="s">
        <v>88</v>
      </c>
      <c r="M10" s="41"/>
      <c r="N10" s="41"/>
      <c r="O10" s="41"/>
      <c r="P10" s="41"/>
      <c r="Q10" s="41"/>
      <c r="R10" s="41"/>
      <c r="S10" s="41"/>
    </row>
    <row r="11" spans="1:19" ht="24" customHeight="1" x14ac:dyDescent="0.35">
      <c r="A11" s="29"/>
      <c r="H11" s="1" t="s">
        <v>21</v>
      </c>
      <c r="I11" s="18">
        <f>I16+I17-I6-I7</f>
        <v>153</v>
      </c>
      <c r="J11" s="18">
        <f>I16+I17-J6-J7</f>
        <v>157</v>
      </c>
      <c r="L11" s="41"/>
      <c r="M11" s="41"/>
      <c r="N11" s="41"/>
      <c r="O11" s="41"/>
      <c r="P11" s="41"/>
      <c r="Q11" s="41"/>
      <c r="R11" s="41"/>
      <c r="S11" s="41"/>
    </row>
    <row r="12" spans="1:19" ht="24" customHeight="1" x14ac:dyDescent="0.35">
      <c r="A12" s="29"/>
      <c r="B12" s="32" t="s">
        <v>22</v>
      </c>
      <c r="C12" s="1" t="s">
        <v>23</v>
      </c>
      <c r="D12" s="1">
        <v>21</v>
      </c>
      <c r="E12" s="1" t="s">
        <v>4</v>
      </c>
      <c r="L12" s="41"/>
      <c r="M12" s="41"/>
      <c r="N12" s="41"/>
      <c r="O12" s="41"/>
      <c r="P12" s="41"/>
      <c r="Q12" s="41"/>
      <c r="R12" s="41"/>
      <c r="S12" s="41"/>
    </row>
    <row r="13" spans="1:19" ht="24" customHeight="1" x14ac:dyDescent="0.35">
      <c r="A13" s="29"/>
      <c r="B13" s="33"/>
      <c r="C13" s="1" t="s">
        <v>24</v>
      </c>
      <c r="D13" s="1">
        <v>0</v>
      </c>
      <c r="E13" s="1" t="s">
        <v>6</v>
      </c>
      <c r="J13" s="2">
        <f>I14-D15+I15-J6-J7</f>
        <v>259</v>
      </c>
      <c r="L13" s="41"/>
      <c r="M13" s="41"/>
      <c r="N13" s="41"/>
      <c r="O13" s="41"/>
      <c r="P13" s="41"/>
      <c r="Q13" s="41"/>
      <c r="R13" s="41"/>
      <c r="S13" s="41"/>
    </row>
    <row r="14" spans="1:19" ht="24" customHeight="1" x14ac:dyDescent="0.45">
      <c r="A14" s="29"/>
      <c r="B14" s="33"/>
      <c r="C14" s="1" t="s">
        <v>25</v>
      </c>
      <c r="D14" s="1">
        <v>0</v>
      </c>
      <c r="E14" s="1" t="s">
        <v>6</v>
      </c>
      <c r="H14" s="12" t="s">
        <v>26</v>
      </c>
      <c r="I14" s="2">
        <f>D12+D13-D14-D10</f>
        <v>141</v>
      </c>
      <c r="J14" s="2" t="s">
        <v>27</v>
      </c>
      <c r="L14" s="41"/>
      <c r="M14" s="41"/>
      <c r="N14" s="41"/>
      <c r="O14" s="41"/>
      <c r="P14" s="41"/>
      <c r="Q14" s="41"/>
      <c r="R14" s="41"/>
      <c r="S14" s="41"/>
    </row>
    <row r="15" spans="1:19" ht="24" customHeight="1" x14ac:dyDescent="0.45">
      <c r="A15" s="29"/>
      <c r="B15" s="34"/>
      <c r="C15" s="1" t="s">
        <v>28</v>
      </c>
      <c r="D15" s="1">
        <v>-105</v>
      </c>
      <c r="E15" s="1" t="s">
        <v>4</v>
      </c>
      <c r="H15" s="12" t="s">
        <v>29</v>
      </c>
      <c r="I15" s="2">
        <f>D5-D6-D7+D8+D9</f>
        <v>19</v>
      </c>
      <c r="J15" s="2" t="s">
        <v>27</v>
      </c>
      <c r="L15" s="17"/>
      <c r="M15" s="17"/>
      <c r="N15" s="17"/>
      <c r="O15" s="17"/>
      <c r="P15" s="17"/>
      <c r="Q15" s="17"/>
      <c r="R15" s="17"/>
      <c r="S15" s="17"/>
    </row>
    <row r="16" spans="1:19" ht="24" customHeight="1" x14ac:dyDescent="0.45">
      <c r="H16" s="12" t="s">
        <v>30</v>
      </c>
      <c r="I16" s="2">
        <f>D4+D5-D6-D7-D15</f>
        <v>163</v>
      </c>
      <c r="J16" s="2" t="s">
        <v>27</v>
      </c>
      <c r="L16" s="17"/>
      <c r="M16" s="17"/>
      <c r="N16" s="17"/>
      <c r="O16" s="17"/>
      <c r="P16" s="17"/>
      <c r="Q16" s="17"/>
      <c r="R16" s="17"/>
      <c r="S16" s="17"/>
    </row>
    <row r="17" spans="1:19" ht="24" customHeight="1" x14ac:dyDescent="0.35">
      <c r="A17" s="28" t="s">
        <v>31</v>
      </c>
      <c r="B17" s="36" t="s">
        <v>32</v>
      </c>
      <c r="C17" s="1" t="s">
        <v>33</v>
      </c>
      <c r="D17" s="1">
        <v>175000</v>
      </c>
      <c r="E17" s="1" t="s">
        <v>34</v>
      </c>
      <c r="H17" s="13" t="s">
        <v>35</v>
      </c>
      <c r="I17" s="2">
        <f>D13-D14</f>
        <v>0</v>
      </c>
      <c r="J17" s="2" t="s">
        <v>27</v>
      </c>
      <c r="L17" s="17"/>
      <c r="M17" s="17"/>
      <c r="N17" s="17"/>
      <c r="O17" s="17"/>
      <c r="P17" s="17"/>
      <c r="Q17" s="17"/>
      <c r="R17" s="17"/>
      <c r="S17" s="17"/>
    </row>
    <row r="18" spans="1:19" ht="24" customHeight="1" x14ac:dyDescent="0.35">
      <c r="A18" s="28"/>
      <c r="B18" s="36"/>
      <c r="C18" s="1" t="s">
        <v>36</v>
      </c>
      <c r="D18" s="1">
        <v>1750</v>
      </c>
      <c r="E18" s="1" t="s">
        <v>34</v>
      </c>
      <c r="L18" s="17"/>
      <c r="M18" s="17"/>
      <c r="N18" s="17"/>
      <c r="O18" s="17"/>
      <c r="P18" s="17"/>
      <c r="Q18" s="17"/>
      <c r="R18" s="17"/>
      <c r="S18" s="17"/>
    </row>
    <row r="19" spans="1:19" ht="24" customHeight="1" x14ac:dyDescent="0.35">
      <c r="A19" s="29"/>
      <c r="B19" s="37"/>
      <c r="C19" s="1" t="s">
        <v>37</v>
      </c>
      <c r="D19" s="14">
        <v>0.1</v>
      </c>
      <c r="E19" s="1" t="s">
        <v>38</v>
      </c>
      <c r="H19" s="41" t="s">
        <v>89</v>
      </c>
      <c r="I19" s="41"/>
      <c r="J19" s="41"/>
      <c r="K19" s="41"/>
      <c r="L19" s="41"/>
      <c r="M19" s="41"/>
      <c r="N19" s="17"/>
      <c r="O19" s="17"/>
      <c r="P19" s="17"/>
      <c r="Q19" s="17"/>
      <c r="R19" s="17"/>
      <c r="S19" s="17"/>
    </row>
    <row r="20" spans="1:19" ht="24" customHeight="1" x14ac:dyDescent="0.35">
      <c r="A20" s="29"/>
      <c r="B20" s="37"/>
      <c r="C20" s="1" t="s">
        <v>39</v>
      </c>
      <c r="D20" s="1">
        <v>5176</v>
      </c>
      <c r="E20" s="1" t="s">
        <v>40</v>
      </c>
      <c r="H20" s="41"/>
      <c r="I20" s="41"/>
      <c r="J20" s="41"/>
      <c r="K20" s="41"/>
      <c r="L20" s="41"/>
      <c r="M20" s="41"/>
      <c r="N20" s="15"/>
      <c r="O20" s="15"/>
      <c r="P20" s="15"/>
      <c r="Q20" s="15"/>
      <c r="R20" s="15"/>
      <c r="S20" s="15"/>
    </row>
    <row r="21" spans="1:19" ht="24" customHeight="1" x14ac:dyDescent="0.35">
      <c r="A21" s="29"/>
      <c r="B21" s="37"/>
      <c r="C21" s="1" t="s">
        <v>41</v>
      </c>
      <c r="D21" s="1">
        <v>105</v>
      </c>
      <c r="E21" s="1" t="s">
        <v>40</v>
      </c>
      <c r="H21" s="41"/>
      <c r="I21" s="41"/>
      <c r="J21" s="41"/>
      <c r="K21" s="41"/>
      <c r="L21" s="41"/>
      <c r="M21" s="41"/>
      <c r="N21" s="15"/>
      <c r="O21" s="15"/>
      <c r="P21" s="15"/>
      <c r="Q21" s="15"/>
      <c r="R21" s="15"/>
      <c r="S21" s="15"/>
    </row>
    <row r="22" spans="1:19" ht="24" customHeight="1" x14ac:dyDescent="0.35">
      <c r="A22" s="29"/>
      <c r="B22" s="6"/>
      <c r="C22" s="1" t="s">
        <v>42</v>
      </c>
      <c r="D22" s="1">
        <v>3.5</v>
      </c>
      <c r="E22" s="1"/>
      <c r="H22" s="41"/>
      <c r="I22" s="41"/>
      <c r="J22" s="41"/>
      <c r="K22" s="41"/>
      <c r="L22" s="41"/>
      <c r="M22" s="41"/>
      <c r="N22" s="15"/>
      <c r="O22" s="15"/>
      <c r="P22" s="15"/>
      <c r="Q22" s="15"/>
      <c r="R22" s="15"/>
      <c r="S22" s="15"/>
    </row>
    <row r="23" spans="1:19" ht="24" customHeight="1" x14ac:dyDescent="0.35">
      <c r="A23" s="29"/>
      <c r="B23" s="36" t="s">
        <v>43</v>
      </c>
      <c r="C23" s="1" t="s">
        <v>44</v>
      </c>
      <c r="D23" s="1">
        <f>ROUND(1/6*SQRT(3)^(3.5),2)</f>
        <v>1.1399999999999999</v>
      </c>
      <c r="E23" s="7" t="s">
        <v>45</v>
      </c>
      <c r="H23" s="41"/>
      <c r="I23" s="41"/>
      <c r="J23" s="41"/>
      <c r="K23" s="41"/>
      <c r="L23" s="41"/>
      <c r="M23" s="41"/>
      <c r="N23" s="15"/>
      <c r="O23" s="15"/>
      <c r="P23" s="15"/>
      <c r="Q23" s="15"/>
      <c r="R23" s="15"/>
      <c r="S23" s="15"/>
    </row>
    <row r="24" spans="1:19" ht="24" customHeight="1" x14ac:dyDescent="0.35">
      <c r="A24" s="29"/>
      <c r="B24" s="36"/>
      <c r="C24" s="3" t="s">
        <v>46</v>
      </c>
      <c r="D24" s="10">
        <v>1</v>
      </c>
      <c r="E24" s="3"/>
      <c r="H24" s="41"/>
      <c r="I24" s="41"/>
      <c r="J24" s="41"/>
      <c r="K24" s="41"/>
      <c r="L24" s="41"/>
      <c r="M24" s="41"/>
      <c r="N24" s="15"/>
      <c r="O24" s="15"/>
      <c r="P24" s="15"/>
      <c r="Q24" s="15"/>
      <c r="R24" s="15"/>
      <c r="S24" s="15"/>
    </row>
    <row r="25" spans="1:19" ht="24" customHeight="1" x14ac:dyDescent="0.35">
      <c r="A25" s="29"/>
      <c r="B25" s="37"/>
      <c r="C25" s="1" t="s">
        <v>79</v>
      </c>
      <c r="D25" s="8">
        <v>5</v>
      </c>
      <c r="E25" s="8">
        <v>10</v>
      </c>
      <c r="F25" s="8">
        <v>15</v>
      </c>
      <c r="G25" s="8">
        <v>20</v>
      </c>
      <c r="H25" s="41"/>
      <c r="I25" s="41"/>
      <c r="J25" s="41"/>
      <c r="K25" s="41"/>
      <c r="L25" s="41"/>
      <c r="M25" s="41"/>
      <c r="N25" s="15"/>
      <c r="O25" s="15"/>
      <c r="P25" s="15"/>
      <c r="Q25" s="15"/>
      <c r="R25" s="15"/>
      <c r="S25" s="15"/>
    </row>
    <row r="26" spans="1:19" ht="24" customHeight="1" x14ac:dyDescent="0.35">
      <c r="A26" s="29"/>
      <c r="B26" s="37"/>
      <c r="C26" s="1" t="s">
        <v>47</v>
      </c>
      <c r="D26" s="8">
        <v>25</v>
      </c>
      <c r="E26" s="8">
        <v>50</v>
      </c>
      <c r="F26" s="8">
        <v>75</v>
      </c>
      <c r="G26" s="8">
        <v>100</v>
      </c>
      <c r="H26" s="16"/>
      <c r="I26" s="16"/>
      <c r="J26" s="16"/>
    </row>
    <row r="27" spans="1:19" ht="24" customHeight="1" x14ac:dyDescent="0.35">
      <c r="A27" s="29"/>
      <c r="B27" s="37"/>
      <c r="C27" s="1" t="s">
        <v>78</v>
      </c>
      <c r="D27" s="9">
        <v>17.510000000000002</v>
      </c>
      <c r="E27" s="9">
        <v>40.26</v>
      </c>
      <c r="F27" s="9">
        <v>63.9</v>
      </c>
      <c r="G27" s="9">
        <v>87.97</v>
      </c>
      <c r="H27" s="2" t="s">
        <v>82</v>
      </c>
      <c r="I27" s="2" t="s">
        <v>48</v>
      </c>
    </row>
    <row r="28" spans="1:19" ht="24" customHeight="1" x14ac:dyDescent="0.35">
      <c r="A28" s="35"/>
      <c r="B28" s="35"/>
      <c r="C28" s="1" t="s">
        <v>49</v>
      </c>
      <c r="D28" s="21">
        <v>0.16666666666666666</v>
      </c>
      <c r="E28" s="21">
        <v>0.16666666666666666</v>
      </c>
      <c r="F28" s="21">
        <v>0.16666666666666666</v>
      </c>
      <c r="G28" s="21">
        <v>0.16666666666666666</v>
      </c>
      <c r="H28" s="22" t="s">
        <v>101</v>
      </c>
    </row>
    <row r="29" spans="1:19" ht="24" customHeight="1" x14ac:dyDescent="0.35">
      <c r="A29" s="35"/>
      <c r="B29" s="35"/>
      <c r="C29" s="1" t="s">
        <v>50</v>
      </c>
      <c r="D29" s="9">
        <f>D27/D28</f>
        <v>105.06000000000002</v>
      </c>
      <c r="E29" s="9">
        <f>E27/E28</f>
        <v>241.56</v>
      </c>
      <c r="F29" s="9">
        <f>F27/F28</f>
        <v>383.40000000000003</v>
      </c>
      <c r="G29" s="9">
        <f>G27/G28</f>
        <v>527.82000000000005</v>
      </c>
    </row>
    <row r="30" spans="1:19" ht="24" customHeight="1" x14ac:dyDescent="0.35">
      <c r="C30" s="1" t="s">
        <v>81</v>
      </c>
      <c r="D30" s="19">
        <v>0.02</v>
      </c>
      <c r="E30" s="19">
        <v>0.02</v>
      </c>
      <c r="F30" s="19">
        <v>0.02</v>
      </c>
      <c r="G30" s="19">
        <v>0.02</v>
      </c>
      <c r="H30" s="2" t="s">
        <v>80</v>
      </c>
    </row>
    <row r="32" spans="1:19" ht="24" customHeight="1" x14ac:dyDescent="0.35">
      <c r="A32" s="28" t="s">
        <v>51</v>
      </c>
      <c r="B32" s="38" t="s">
        <v>52</v>
      </c>
      <c r="C32" s="1" t="s">
        <v>53</v>
      </c>
      <c r="D32" s="9">
        <f>ROUNDUP(D17/D29,0)</f>
        <v>1666</v>
      </c>
      <c r="E32" s="9">
        <f>ROUNDUP(D17/E29,0)</f>
        <v>725</v>
      </c>
      <c r="F32" s="9">
        <f>ROUNDUP(D17/F29,0)</f>
        <v>457</v>
      </c>
      <c r="G32" s="9">
        <f>ROUNDUP(D17/G29,0)</f>
        <v>332</v>
      </c>
      <c r="I32" s="2" t="s">
        <v>48</v>
      </c>
    </row>
    <row r="33" spans="1:10" ht="24" customHeight="1" x14ac:dyDescent="0.35">
      <c r="A33" s="28"/>
      <c r="B33" s="39"/>
      <c r="C33" s="1" t="s">
        <v>54</v>
      </c>
      <c r="D33" s="9">
        <f>D21/D32</f>
        <v>6.3025210084033612E-2</v>
      </c>
      <c r="E33" s="9">
        <f>D21/E32</f>
        <v>0.14482758620689656</v>
      </c>
      <c r="F33" s="9">
        <f>D21/F32</f>
        <v>0.22975929978118162</v>
      </c>
      <c r="G33" s="9">
        <f>D21/G32</f>
        <v>0.31626506024096385</v>
      </c>
    </row>
    <row r="34" spans="1:10" ht="24" customHeight="1" x14ac:dyDescent="0.35">
      <c r="A34" s="29"/>
      <c r="B34" s="39"/>
      <c r="C34" s="1" t="s">
        <v>55</v>
      </c>
      <c r="D34" s="9">
        <f xml:space="preserve"> SQRT(2*D33/(3*SQRT(3)))*1000</f>
        <v>155.75113056357895</v>
      </c>
      <c r="E34" s="9">
        <f xml:space="preserve"> SQRT(2*E33/(3*SQRT(3)))*1000</f>
        <v>236.10202015602698</v>
      </c>
      <c r="F34" s="9">
        <f xml:space="preserve"> SQRT(2*F33/(3*SQRT(3)))*1000</f>
        <v>297.37921198080306</v>
      </c>
      <c r="G34" s="9">
        <f xml:space="preserve"> SQRT(2*G33/(3*SQRT(3)))*1000</f>
        <v>348.89895162295312</v>
      </c>
      <c r="H34" s="20" t="s">
        <v>83</v>
      </c>
    </row>
    <row r="35" spans="1:10" ht="24" customHeight="1" x14ac:dyDescent="0.35">
      <c r="A35" s="29"/>
      <c r="B35" s="39"/>
      <c r="C35" s="1" t="s">
        <v>56</v>
      </c>
      <c r="D35" s="9">
        <f>113+35*LOG10(D34/1000)</f>
        <v>84.735092272713999</v>
      </c>
      <c r="E35" s="9">
        <f>113+35*LOG10(E34/1000)</f>
        <v>91.058489606460057</v>
      </c>
      <c r="F35" s="9">
        <f>113+35*LOG10(F34/1000)</f>
        <v>94.565871220230065</v>
      </c>
      <c r="G35" s="9">
        <f>113+35*LOG10(G34/1000)</f>
        <v>96.994488256631811</v>
      </c>
      <c r="H35" s="20" t="s">
        <v>84</v>
      </c>
    </row>
    <row r="36" spans="1:10" ht="24" customHeight="1" x14ac:dyDescent="0.35">
      <c r="A36" s="29"/>
      <c r="B36" s="39"/>
      <c r="C36" s="1" t="s">
        <v>57</v>
      </c>
      <c r="D36" s="9">
        <f>ROUNDUP(-17+3+2+8+2-105+D35,0)</f>
        <v>-23</v>
      </c>
      <c r="E36" s="9">
        <f>ROUNDUP(-17+3+2+8+2-105+E35,0)</f>
        <v>-16</v>
      </c>
      <c r="F36" s="9">
        <f>ROUNDUP(-17+3+2+8+2-105+F35,0)</f>
        <v>-13</v>
      </c>
      <c r="G36" s="9">
        <f>ROUNDUP(-17+3+2+8+2-105+G35,0)</f>
        <v>-11</v>
      </c>
    </row>
    <row r="37" spans="1:10" ht="24" customHeight="1" x14ac:dyDescent="0.35">
      <c r="A37" s="29"/>
      <c r="B37" s="39"/>
      <c r="C37" s="1" t="s">
        <v>58</v>
      </c>
      <c r="D37" s="9">
        <f>ROUNDUP(-17-5-2+3+2+8+2-120+D35,0)</f>
        <v>-45</v>
      </c>
      <c r="E37" s="9">
        <f>ROUNDUP(-17-5-2+3+2+8+2-120+E35,0)</f>
        <v>-38</v>
      </c>
      <c r="F37" s="9">
        <f>ROUNDUP(-17-5-2+3+2+8+2-120+F35,0)</f>
        <v>-35</v>
      </c>
      <c r="G37" s="9">
        <f>ROUNDUP(-17-5-2+3+2+8+2-120+G35,0)</f>
        <v>-33</v>
      </c>
    </row>
    <row r="38" spans="1:10" ht="24" customHeight="1" x14ac:dyDescent="0.35">
      <c r="A38" s="29"/>
    </row>
    <row r="39" spans="1:10" ht="24" customHeight="1" x14ac:dyDescent="0.35">
      <c r="A39" s="29"/>
      <c r="B39" s="38" t="s">
        <v>85</v>
      </c>
      <c r="C39" s="1" t="s">
        <v>53</v>
      </c>
      <c r="D39" s="9">
        <f>ROUNDUP(D18/D29,0)</f>
        <v>17</v>
      </c>
      <c r="E39" s="9">
        <f>ROUNDUP(D18/E29,0)</f>
        <v>8</v>
      </c>
      <c r="F39" s="9">
        <f>ROUNDUP(D18/F29,0)</f>
        <v>5</v>
      </c>
      <c r="G39" s="9">
        <f>ROUNDUP(D18/G29,0)</f>
        <v>4</v>
      </c>
      <c r="I39" s="2" t="s">
        <v>48</v>
      </c>
    </row>
    <row r="40" spans="1:10" ht="24" customHeight="1" x14ac:dyDescent="0.35">
      <c r="A40" s="29"/>
      <c r="B40" s="39"/>
      <c r="C40" s="1" t="s">
        <v>54</v>
      </c>
      <c r="D40" s="9">
        <f>D20/D39</f>
        <v>304.47058823529414</v>
      </c>
      <c r="E40" s="9">
        <f>D20/E39</f>
        <v>647</v>
      </c>
      <c r="F40" s="9">
        <f>D20/F39</f>
        <v>1035.2</v>
      </c>
      <c r="G40" s="9">
        <f>D20/G39</f>
        <v>1294</v>
      </c>
    </row>
    <row r="41" spans="1:10" ht="24" customHeight="1" x14ac:dyDescent="0.35">
      <c r="A41" s="29"/>
      <c r="B41" s="39"/>
      <c r="C41" s="1" t="s">
        <v>55</v>
      </c>
      <c r="D41" s="9">
        <f xml:space="preserve"> SQRT(2*D40/(3*SQRT(3)))*1000</f>
        <v>10825.469230106402</v>
      </c>
      <c r="E41" s="9">
        <f xml:space="preserve"> SQRT(2*E40/(3*SQRT(3)))*1000</f>
        <v>15780.697579969605</v>
      </c>
      <c r="F41" s="9">
        <f xml:space="preserve"> SQRT(2*F40/(3*SQRT(3)))*1000</f>
        <v>19961.178967604435</v>
      </c>
      <c r="G41" s="9">
        <f xml:space="preserve"> SQRT(2*G40/(3*SQRT(3)))*1000</f>
        <v>22317.276541301297</v>
      </c>
    </row>
    <row r="42" spans="1:10" ht="24" customHeight="1" x14ac:dyDescent="0.35">
      <c r="A42" s="29"/>
      <c r="B42" s="39"/>
      <c r="C42" s="1" t="s">
        <v>56</v>
      </c>
      <c r="D42" s="9">
        <f>100+35*LOG10(D41/1000)</f>
        <v>136.20563554767</v>
      </c>
      <c r="E42" s="9">
        <f>100+35*LOG10(E41/1000)</f>
        <v>141.9344168994308</v>
      </c>
      <c r="F42" s="9">
        <f>100+35*LOG10(F41/1000)</f>
        <v>145.50651659590946</v>
      </c>
      <c r="G42" s="9">
        <f>100+35*LOG10(G41/1000)</f>
        <v>147.20244182355046</v>
      </c>
    </row>
    <row r="43" spans="1:10" ht="24" customHeight="1" x14ac:dyDescent="0.35">
      <c r="A43" s="35"/>
      <c r="B43" s="39"/>
      <c r="C43" s="1" t="s">
        <v>57</v>
      </c>
      <c r="D43" s="9">
        <f>ROUNDUP(-17+3+2+4+2-105+D42,0)</f>
        <v>26</v>
      </c>
      <c r="E43" s="9">
        <f>ROUNDUP(-17+3+2+4+2-105+E42,0)</f>
        <v>31</v>
      </c>
      <c r="F43" s="9">
        <f>ROUNDUP(-17+3+2+4+2-105+F42,0)</f>
        <v>35</v>
      </c>
      <c r="G43" s="9">
        <f>ROUNDUP(-17+3+2+4+2-105+G42,0)</f>
        <v>37</v>
      </c>
    </row>
    <row r="44" spans="1:10" ht="24" customHeight="1" x14ac:dyDescent="0.35">
      <c r="A44" s="35"/>
      <c r="B44" s="39"/>
      <c r="C44" s="1" t="s">
        <v>58</v>
      </c>
      <c r="D44" s="9">
        <f>ROUNDUP(-17-5-2+3+2+4+2-120+D42,0)</f>
        <v>4</v>
      </c>
      <c r="E44" s="9">
        <f>ROUNDUP(-17-5-2+3+2+4+2-120+E42,0)</f>
        <v>9</v>
      </c>
      <c r="F44" s="9">
        <f>ROUNDUP(-17-5-2+3+2+4+2-120+F42,0)</f>
        <v>13</v>
      </c>
      <c r="G44" s="9">
        <f>ROUNDUP(-17-5-2+3+2+4+2-120+G42,0)</f>
        <v>15</v>
      </c>
      <c r="H44" s="2">
        <f xml:space="preserve"> D27/D28</f>
        <v>105.06000000000002</v>
      </c>
    </row>
    <row r="47" spans="1:10" ht="24" customHeight="1" x14ac:dyDescent="0.35">
      <c r="C47" s="1" t="s">
        <v>106</v>
      </c>
      <c r="D47" s="5" t="s">
        <v>59</v>
      </c>
      <c r="E47" s="5" t="s">
        <v>60</v>
      </c>
      <c r="F47" s="5" t="s">
        <v>61</v>
      </c>
      <c r="G47" s="5" t="s">
        <v>62</v>
      </c>
      <c r="I47" s="2" t="s">
        <v>48</v>
      </c>
    </row>
    <row r="48" spans="1:10" ht="24" customHeight="1" x14ac:dyDescent="0.35">
      <c r="B48" s="38" t="s">
        <v>104</v>
      </c>
      <c r="C48" s="1" t="s">
        <v>107</v>
      </c>
      <c r="D48" s="1">
        <v>2500</v>
      </c>
      <c r="E48" s="1">
        <v>5000</v>
      </c>
      <c r="F48" s="1">
        <f>3*D48</f>
        <v>7500</v>
      </c>
      <c r="G48" s="1">
        <f>4*D48</f>
        <v>10000</v>
      </c>
      <c r="H48" s="42" t="s">
        <v>86</v>
      </c>
      <c r="I48" s="43"/>
      <c r="J48" s="43"/>
    </row>
    <row r="49" spans="1:11" ht="24" customHeight="1" x14ac:dyDescent="0.35">
      <c r="B49" s="40"/>
      <c r="C49" s="1" t="s">
        <v>63</v>
      </c>
      <c r="D49" s="1">
        <v>100</v>
      </c>
      <c r="E49" s="1">
        <v>100</v>
      </c>
      <c r="F49" s="1">
        <v>100</v>
      </c>
      <c r="G49" s="1">
        <v>100</v>
      </c>
      <c r="H49" s="44"/>
      <c r="I49" s="23"/>
      <c r="J49" s="23"/>
    </row>
    <row r="50" spans="1:11" ht="24" customHeight="1" x14ac:dyDescent="0.35">
      <c r="B50" s="40"/>
      <c r="C50" s="1" t="s">
        <v>105</v>
      </c>
      <c r="D50" s="9">
        <f>SUM((D32+D39)*15)</f>
        <v>25245</v>
      </c>
      <c r="E50" s="9">
        <f>SUM((E32+E39)*15)</f>
        <v>10995</v>
      </c>
      <c r="F50" s="9">
        <f>SUM((F32+F39)*15)</f>
        <v>6930</v>
      </c>
      <c r="G50" s="9">
        <f>SUM((G32+G39)*15)</f>
        <v>5040</v>
      </c>
      <c r="H50" s="44"/>
      <c r="I50" s="23"/>
      <c r="J50" s="23"/>
    </row>
    <row r="51" spans="1:11" ht="24" customHeight="1" x14ac:dyDescent="0.35">
      <c r="H51" s="23"/>
      <c r="I51" s="23"/>
      <c r="J51" s="23"/>
    </row>
    <row r="52" spans="1:11" ht="24" customHeight="1" x14ac:dyDescent="0.35">
      <c r="H52" s="23"/>
      <c r="I52" s="23"/>
      <c r="J52" s="23"/>
    </row>
    <row r="53" spans="1:11" ht="24" customHeight="1" x14ac:dyDescent="0.35">
      <c r="A53" s="28" t="s">
        <v>91</v>
      </c>
      <c r="B53" s="26" t="s">
        <v>92</v>
      </c>
      <c r="C53" s="7" t="s">
        <v>90</v>
      </c>
      <c r="D53" s="5" t="s">
        <v>65</v>
      </c>
      <c r="E53" s="5" t="s">
        <v>66</v>
      </c>
      <c r="F53" s="5" t="s">
        <v>67</v>
      </c>
      <c r="G53" s="5" t="s">
        <v>99</v>
      </c>
      <c r="H53" s="46" t="s">
        <v>100</v>
      </c>
      <c r="I53" s="47"/>
      <c r="J53" s="47"/>
    </row>
    <row r="54" spans="1:11" ht="24" customHeight="1" x14ac:dyDescent="0.35">
      <c r="A54" s="28"/>
      <c r="B54" s="26"/>
      <c r="C54" s="11" t="s">
        <v>68</v>
      </c>
      <c r="D54" s="9">
        <f>SUM(D50+D48+D49)</f>
        <v>27845</v>
      </c>
      <c r="E54" s="9">
        <f xml:space="preserve"> SUM(D32+D39)*5</f>
        <v>8415</v>
      </c>
      <c r="F54" s="9">
        <f>SUM((D17+D18)*0.02)</f>
        <v>3535</v>
      </c>
      <c r="G54" s="9">
        <f>SUM(F54-D54-E54)</f>
        <v>-32725</v>
      </c>
      <c r="H54" s="46" t="s">
        <v>98</v>
      </c>
      <c r="I54" s="47"/>
      <c r="J54" s="47"/>
    </row>
    <row r="55" spans="1:11" ht="24" customHeight="1" x14ac:dyDescent="0.35">
      <c r="A55" s="29"/>
      <c r="B55" s="27"/>
      <c r="C55" s="11" t="s">
        <v>69</v>
      </c>
      <c r="D55" s="9">
        <v>0</v>
      </c>
      <c r="E55" s="9">
        <f xml:space="preserve"> SUM(D32+D39)*5</f>
        <v>8415</v>
      </c>
      <c r="F55" s="9">
        <f>SUM((D17+D18)*0.02)</f>
        <v>3535</v>
      </c>
      <c r="G55" s="9">
        <f t="shared" ref="G55:G63" si="0">SUM(F55-D55-E55+G54)</f>
        <v>-37605</v>
      </c>
      <c r="H55" s="48"/>
      <c r="I55" s="49"/>
      <c r="J55" s="49"/>
    </row>
    <row r="56" spans="1:11" ht="24" customHeight="1" x14ac:dyDescent="0.35">
      <c r="A56" s="29"/>
      <c r="B56" s="27"/>
      <c r="C56" s="11" t="s">
        <v>70</v>
      </c>
      <c r="D56" s="9">
        <v>0</v>
      </c>
      <c r="E56" s="9">
        <f xml:space="preserve"> SUM(D32+D39)*5</f>
        <v>8415</v>
      </c>
      <c r="F56" s="9">
        <f>SUM((D17+D18)*0.02)</f>
        <v>3535</v>
      </c>
      <c r="G56" s="9">
        <f t="shared" si="0"/>
        <v>-42485</v>
      </c>
      <c r="H56" s="48" t="s">
        <v>96</v>
      </c>
      <c r="I56" s="49"/>
      <c r="J56" s="49"/>
    </row>
    <row r="57" spans="1:11" ht="24" customHeight="1" x14ac:dyDescent="0.35">
      <c r="A57" s="29"/>
      <c r="B57" s="27"/>
      <c r="C57" s="11" t="s">
        <v>71</v>
      </c>
      <c r="D57" s="9">
        <v>0</v>
      </c>
      <c r="E57" s="9">
        <f xml:space="preserve"> SUM(D32+D39)*5</f>
        <v>8415</v>
      </c>
      <c r="F57" s="9">
        <f>SUM((D17+D18)*0.02)</f>
        <v>3535</v>
      </c>
      <c r="G57" s="9">
        <f t="shared" si="0"/>
        <v>-47365</v>
      </c>
      <c r="H57" s="46" t="s">
        <v>97</v>
      </c>
      <c r="I57" s="49"/>
      <c r="J57" s="49"/>
    </row>
    <row r="58" spans="1:11" ht="24" customHeight="1" x14ac:dyDescent="0.35">
      <c r="A58" s="29"/>
      <c r="B58" s="27"/>
      <c r="C58" s="11" t="s">
        <v>72</v>
      </c>
      <c r="D58" s="9">
        <v>0</v>
      </c>
      <c r="E58" s="9">
        <f xml:space="preserve"> SUM(D32+D39)*5</f>
        <v>8415</v>
      </c>
      <c r="F58" s="9">
        <f>SUM((D17+D18)*0.02)</f>
        <v>3535</v>
      </c>
      <c r="G58" s="9">
        <f t="shared" si="0"/>
        <v>-52245</v>
      </c>
    </row>
    <row r="59" spans="1:11" ht="24" customHeight="1" x14ac:dyDescent="0.35">
      <c r="A59" s="29"/>
      <c r="B59" s="27"/>
      <c r="C59" s="11" t="s">
        <v>73</v>
      </c>
      <c r="D59" s="9">
        <v>0</v>
      </c>
      <c r="E59" s="9">
        <f xml:space="preserve"> SUM(D32+D39)*5</f>
        <v>8415</v>
      </c>
      <c r="F59" s="9">
        <f>SUM((D17+D18)*0.02)</f>
        <v>3535</v>
      </c>
      <c r="G59" s="9">
        <f t="shared" si="0"/>
        <v>-57125</v>
      </c>
      <c r="H59" s="46" t="s">
        <v>102</v>
      </c>
      <c r="I59" s="47"/>
    </row>
    <row r="60" spans="1:11" ht="24" customHeight="1" x14ac:dyDescent="0.35">
      <c r="A60" s="29"/>
      <c r="B60" s="27"/>
      <c r="C60" s="11" t="s">
        <v>74</v>
      </c>
      <c r="D60" s="9">
        <v>0</v>
      </c>
      <c r="E60" s="9">
        <f xml:space="preserve"> SUM(D32+D39)*5</f>
        <v>8415</v>
      </c>
      <c r="F60" s="9">
        <f>SUM((D17+D18)*0.02)</f>
        <v>3535</v>
      </c>
      <c r="G60" s="9">
        <f t="shared" si="0"/>
        <v>-62005</v>
      </c>
      <c r="H60" s="46" t="s">
        <v>103</v>
      </c>
      <c r="I60" s="47"/>
    </row>
    <row r="61" spans="1:11" ht="24" customHeight="1" x14ac:dyDescent="0.35">
      <c r="A61" s="29"/>
      <c r="B61" s="27"/>
      <c r="C61" s="11" t="s">
        <v>75</v>
      </c>
      <c r="D61" s="9">
        <v>0</v>
      </c>
      <c r="E61" s="9">
        <f xml:space="preserve"> SUM(D32+D39)*5</f>
        <v>8415</v>
      </c>
      <c r="F61" s="9">
        <f>SUM((D17+D18)*0.02)</f>
        <v>3535</v>
      </c>
      <c r="G61" s="9">
        <f t="shared" si="0"/>
        <v>-66885</v>
      </c>
    </row>
    <row r="62" spans="1:11" ht="24" customHeight="1" x14ac:dyDescent="0.35">
      <c r="A62" s="29"/>
      <c r="B62" s="27"/>
      <c r="C62" s="11" t="s">
        <v>76</v>
      </c>
      <c r="D62" s="9">
        <v>0</v>
      </c>
      <c r="E62" s="9">
        <f xml:space="preserve"> SUM(D32+D39)*5</f>
        <v>8415</v>
      </c>
      <c r="F62" s="9">
        <f>SUM((D17+D18)*0.02)</f>
        <v>3535</v>
      </c>
      <c r="G62" s="9">
        <f t="shared" si="0"/>
        <v>-71765</v>
      </c>
      <c r="J62" s="4"/>
      <c r="K62" s="4"/>
    </row>
    <row r="63" spans="1:11" ht="24" customHeight="1" x14ac:dyDescent="0.35">
      <c r="A63" s="29"/>
      <c r="B63" s="27"/>
      <c r="C63" s="11" t="s">
        <v>77</v>
      </c>
      <c r="D63" s="9">
        <v>0</v>
      </c>
      <c r="E63" s="9">
        <f xml:space="preserve"> SUM(D32+D39)*5</f>
        <v>8415</v>
      </c>
      <c r="F63" s="9">
        <f>SUM((D17+D18)*0.02)</f>
        <v>3535</v>
      </c>
      <c r="G63" s="9">
        <f t="shared" si="0"/>
        <v>-76645</v>
      </c>
    </row>
    <row r="65" spans="1:10" ht="24" customHeight="1" x14ac:dyDescent="0.35">
      <c r="A65" s="28" t="s">
        <v>91</v>
      </c>
      <c r="B65" s="26" t="s">
        <v>93</v>
      </c>
      <c r="C65" s="7" t="s">
        <v>90</v>
      </c>
      <c r="D65" s="5" t="s">
        <v>65</v>
      </c>
      <c r="E65" s="5" t="s">
        <v>66</v>
      </c>
      <c r="F65" s="5" t="s">
        <v>67</v>
      </c>
      <c r="G65" s="5" t="s">
        <v>99</v>
      </c>
    </row>
    <row r="66" spans="1:10" ht="24" customHeight="1" x14ac:dyDescent="0.35">
      <c r="A66" s="28"/>
      <c r="B66" s="26"/>
      <c r="C66" s="11" t="s">
        <v>68</v>
      </c>
      <c r="D66" s="9">
        <f>SUM(E50+E48+E49)</f>
        <v>16095</v>
      </c>
      <c r="E66" s="9">
        <f>SUM((E32+E39)*5)</f>
        <v>3665</v>
      </c>
      <c r="F66" s="9">
        <f>SUM((D17+D18)*0.02)</f>
        <v>3535</v>
      </c>
      <c r="G66" s="9">
        <f>SUM(F66-D66-E66)</f>
        <v>-16225</v>
      </c>
    </row>
    <row r="67" spans="1:10" ht="24" customHeight="1" x14ac:dyDescent="0.35">
      <c r="A67" s="29"/>
      <c r="B67" s="27"/>
      <c r="C67" s="11" t="s">
        <v>69</v>
      </c>
      <c r="D67" s="9">
        <v>0</v>
      </c>
      <c r="E67" s="9">
        <f>SUM((E32+E39)*5)</f>
        <v>3665</v>
      </c>
      <c r="F67" s="9">
        <f>SUM((D17+D18)*0.02)</f>
        <v>3535</v>
      </c>
      <c r="G67" s="9">
        <f t="shared" ref="G67:G75" si="1">SUM(F67-D67-E67+G66)</f>
        <v>-16355</v>
      </c>
    </row>
    <row r="68" spans="1:10" ht="24" customHeight="1" x14ac:dyDescent="0.35">
      <c r="A68" s="29"/>
      <c r="B68" s="27"/>
      <c r="C68" s="11" t="s">
        <v>70</v>
      </c>
      <c r="D68" s="9">
        <v>0</v>
      </c>
      <c r="E68" s="9">
        <f>SUM((E32+E39)*5)</f>
        <v>3665</v>
      </c>
      <c r="F68" s="9">
        <f>SUM((D17+D18)*0.02)</f>
        <v>3535</v>
      </c>
      <c r="G68" s="9">
        <f t="shared" si="1"/>
        <v>-16485</v>
      </c>
    </row>
    <row r="69" spans="1:10" ht="24" customHeight="1" x14ac:dyDescent="0.35">
      <c r="A69" s="29"/>
      <c r="B69" s="27"/>
      <c r="C69" s="11" t="s">
        <v>71</v>
      </c>
      <c r="D69" s="9">
        <v>0</v>
      </c>
      <c r="E69" s="9">
        <f>SUM((E32+E39)*5)</f>
        <v>3665</v>
      </c>
      <c r="F69" s="9">
        <f>SUM((D17+D18)*0.02)</f>
        <v>3535</v>
      </c>
      <c r="G69" s="9">
        <f t="shared" si="1"/>
        <v>-16615</v>
      </c>
    </row>
    <row r="70" spans="1:10" ht="24" customHeight="1" x14ac:dyDescent="0.35">
      <c r="A70" s="29"/>
      <c r="B70" s="27"/>
      <c r="C70" s="11" t="s">
        <v>72</v>
      </c>
      <c r="D70" s="9">
        <v>0</v>
      </c>
      <c r="E70" s="9">
        <f>SUM((E32+E39)*5)</f>
        <v>3665</v>
      </c>
      <c r="F70" s="9">
        <f>SUM((D17+D18)*0.02)</f>
        <v>3535</v>
      </c>
      <c r="G70" s="9">
        <f t="shared" si="1"/>
        <v>-16745</v>
      </c>
    </row>
    <row r="71" spans="1:10" ht="24" customHeight="1" x14ac:dyDescent="0.35">
      <c r="A71" s="29"/>
      <c r="B71" s="27"/>
      <c r="C71" s="11" t="s">
        <v>73</v>
      </c>
      <c r="D71" s="9">
        <v>0</v>
      </c>
      <c r="E71" s="9">
        <f>SUM((E32+E39)*5)</f>
        <v>3665</v>
      </c>
      <c r="F71" s="9">
        <f>SUM((D17+D18)*0.02)</f>
        <v>3535</v>
      </c>
      <c r="G71" s="9">
        <f t="shared" si="1"/>
        <v>-16875</v>
      </c>
      <c r="J71" s="4"/>
    </row>
    <row r="72" spans="1:10" ht="24" customHeight="1" x14ac:dyDescent="0.35">
      <c r="A72" s="29"/>
      <c r="B72" s="27"/>
      <c r="C72" s="11" t="s">
        <v>74</v>
      </c>
      <c r="D72" s="9">
        <v>0</v>
      </c>
      <c r="E72" s="9">
        <f>SUM((E32+E39)*5)</f>
        <v>3665</v>
      </c>
      <c r="F72" s="9">
        <f>SUM((D17+D18)*0.02)</f>
        <v>3535</v>
      </c>
      <c r="G72" s="9">
        <f t="shared" si="1"/>
        <v>-17005</v>
      </c>
    </row>
    <row r="73" spans="1:10" ht="24" customHeight="1" x14ac:dyDescent="0.35">
      <c r="A73" s="29"/>
      <c r="B73" s="27"/>
      <c r="C73" s="11" t="s">
        <v>75</v>
      </c>
      <c r="D73" s="9">
        <v>0</v>
      </c>
      <c r="E73" s="9">
        <f>SUM((E32+E39)*5)</f>
        <v>3665</v>
      </c>
      <c r="F73" s="9">
        <f>SUM((D17+D18)*0.02)</f>
        <v>3535</v>
      </c>
      <c r="G73" s="9">
        <f t="shared" si="1"/>
        <v>-17135</v>
      </c>
    </row>
    <row r="74" spans="1:10" ht="24" customHeight="1" x14ac:dyDescent="0.35">
      <c r="A74" s="29"/>
      <c r="B74" s="27"/>
      <c r="C74" s="11" t="s">
        <v>76</v>
      </c>
      <c r="D74" s="9">
        <v>0</v>
      </c>
      <c r="E74" s="9">
        <f>SUM((E32+E39)*5)</f>
        <v>3665</v>
      </c>
      <c r="F74" s="9">
        <f>SUM((D17+D18)*0.02)</f>
        <v>3535</v>
      </c>
      <c r="G74" s="9">
        <f t="shared" si="1"/>
        <v>-17265</v>
      </c>
    </row>
    <row r="75" spans="1:10" ht="24" customHeight="1" x14ac:dyDescent="0.35">
      <c r="A75" s="29"/>
      <c r="B75" s="27"/>
      <c r="C75" s="11" t="s">
        <v>77</v>
      </c>
      <c r="D75" s="9">
        <v>0</v>
      </c>
      <c r="E75" s="9">
        <f>SUM((E32+E39)*5)</f>
        <v>3665</v>
      </c>
      <c r="F75" s="9">
        <f>SUM((D17+D18)*0.02)</f>
        <v>3535</v>
      </c>
      <c r="G75" s="9">
        <f t="shared" si="1"/>
        <v>-17395</v>
      </c>
    </row>
    <row r="77" spans="1:10" ht="24" customHeight="1" x14ac:dyDescent="0.35">
      <c r="A77" s="28" t="s">
        <v>91</v>
      </c>
      <c r="B77" s="26" t="s">
        <v>94</v>
      </c>
      <c r="C77" s="7" t="s">
        <v>90</v>
      </c>
      <c r="D77" s="5" t="s">
        <v>65</v>
      </c>
      <c r="E77" s="5" t="s">
        <v>66</v>
      </c>
      <c r="F77" s="5" t="s">
        <v>67</v>
      </c>
      <c r="G77" s="5" t="s">
        <v>64</v>
      </c>
    </row>
    <row r="78" spans="1:10" ht="24" customHeight="1" x14ac:dyDescent="0.35">
      <c r="A78" s="28"/>
      <c r="B78" s="26"/>
      <c r="C78" s="11" t="s">
        <v>68</v>
      </c>
      <c r="D78" s="9">
        <f>SUM(F50+F48+F49)</f>
        <v>14530</v>
      </c>
      <c r="E78" s="9">
        <f>SUM((F32+F39)*5)</f>
        <v>2310</v>
      </c>
      <c r="F78" s="9">
        <f>SUM((D17+D18)*0.02)</f>
        <v>3535</v>
      </c>
      <c r="G78" s="9">
        <f>SUM(F78-D78-E78)</f>
        <v>-13305</v>
      </c>
    </row>
    <row r="79" spans="1:10" ht="24" customHeight="1" x14ac:dyDescent="0.35">
      <c r="A79" s="29"/>
      <c r="B79" s="27"/>
      <c r="C79" s="11" t="s">
        <v>69</v>
      </c>
      <c r="D79" s="9">
        <v>0</v>
      </c>
      <c r="E79" s="9">
        <f>SUM((F32+F39)*5)</f>
        <v>2310</v>
      </c>
      <c r="F79" s="9">
        <f>SUM((D17+D18)*0.02)</f>
        <v>3535</v>
      </c>
      <c r="G79" s="9">
        <f t="shared" ref="G79:G87" si="2">SUM(F79-D79-E79+G78)</f>
        <v>-12080</v>
      </c>
    </row>
    <row r="80" spans="1:10" ht="24" customHeight="1" x14ac:dyDescent="0.35">
      <c r="A80" s="29"/>
      <c r="B80" s="27"/>
      <c r="C80" s="11" t="s">
        <v>70</v>
      </c>
      <c r="D80" s="9">
        <v>0</v>
      </c>
      <c r="E80" s="9">
        <f>SUM((F32+F39)*5)</f>
        <v>2310</v>
      </c>
      <c r="F80" s="9">
        <f>SUM((D17+D18)*0.02)</f>
        <v>3535</v>
      </c>
      <c r="G80" s="9">
        <f t="shared" si="2"/>
        <v>-10855</v>
      </c>
    </row>
    <row r="81" spans="1:10" ht="24" customHeight="1" x14ac:dyDescent="0.35">
      <c r="A81" s="29"/>
      <c r="B81" s="27"/>
      <c r="C81" s="11" t="s">
        <v>71</v>
      </c>
      <c r="D81" s="9">
        <v>0</v>
      </c>
      <c r="E81" s="9">
        <f>SUM((F32+F39)*5)</f>
        <v>2310</v>
      </c>
      <c r="F81" s="9">
        <f>SUM((D17+D18)*0.02)</f>
        <v>3535</v>
      </c>
      <c r="G81" s="9">
        <f t="shared" si="2"/>
        <v>-9630</v>
      </c>
    </row>
    <row r="82" spans="1:10" ht="24" customHeight="1" x14ac:dyDescent="0.35">
      <c r="A82" s="29"/>
      <c r="B82" s="27"/>
      <c r="C82" s="11" t="s">
        <v>72</v>
      </c>
      <c r="D82" s="9">
        <v>0</v>
      </c>
      <c r="E82" s="9">
        <f>SUM((F32+F39)*5)</f>
        <v>2310</v>
      </c>
      <c r="F82" s="9">
        <f>SUM((D17+D18)*0.02)</f>
        <v>3535</v>
      </c>
      <c r="G82" s="9">
        <f t="shared" si="2"/>
        <v>-8405</v>
      </c>
    </row>
    <row r="83" spans="1:10" ht="24" customHeight="1" x14ac:dyDescent="0.35">
      <c r="A83" s="29"/>
      <c r="B83" s="27"/>
      <c r="C83" s="11" t="s">
        <v>73</v>
      </c>
      <c r="D83" s="9">
        <v>0</v>
      </c>
      <c r="E83" s="9">
        <f>SUM((F32+F39)*5)</f>
        <v>2310</v>
      </c>
      <c r="F83" s="9">
        <f>SUM((D17+D18)*0.02)</f>
        <v>3535</v>
      </c>
      <c r="G83" s="9">
        <f t="shared" si="2"/>
        <v>-7180</v>
      </c>
      <c r="J83" s="4"/>
    </row>
    <row r="84" spans="1:10" ht="24" customHeight="1" x14ac:dyDescent="0.35">
      <c r="A84" s="29"/>
      <c r="B84" s="27"/>
      <c r="C84" s="11" t="s">
        <v>74</v>
      </c>
      <c r="D84" s="9">
        <v>0</v>
      </c>
      <c r="E84" s="9">
        <f>SUM((F32+F39)*5)</f>
        <v>2310</v>
      </c>
      <c r="F84" s="9">
        <f>SUM((D17+D18)*0.02)</f>
        <v>3535</v>
      </c>
      <c r="G84" s="9">
        <f t="shared" si="2"/>
        <v>-5955</v>
      </c>
    </row>
    <row r="85" spans="1:10" ht="24" customHeight="1" x14ac:dyDescent="0.35">
      <c r="A85" s="29"/>
      <c r="B85" s="27"/>
      <c r="C85" s="11" t="s">
        <v>75</v>
      </c>
      <c r="D85" s="9">
        <v>0</v>
      </c>
      <c r="E85" s="9">
        <f>SUM((F32+F39)*5)</f>
        <v>2310</v>
      </c>
      <c r="F85" s="9">
        <f>SUM((D17+D18)*0.02)</f>
        <v>3535</v>
      </c>
      <c r="G85" s="9">
        <f t="shared" si="2"/>
        <v>-4730</v>
      </c>
    </row>
    <row r="86" spans="1:10" ht="24" customHeight="1" x14ac:dyDescent="0.35">
      <c r="A86" s="29"/>
      <c r="B86" s="27"/>
      <c r="C86" s="11" t="s">
        <v>76</v>
      </c>
      <c r="D86" s="9">
        <v>0</v>
      </c>
      <c r="E86" s="9">
        <f>SUM((F32+F39)*5)</f>
        <v>2310</v>
      </c>
      <c r="F86" s="9">
        <f>SUM((D17+D18)*0.02)</f>
        <v>3535</v>
      </c>
      <c r="G86" s="9">
        <f t="shared" si="2"/>
        <v>-3505</v>
      </c>
    </row>
    <row r="87" spans="1:10" ht="24" customHeight="1" x14ac:dyDescent="0.35">
      <c r="A87" s="29"/>
      <c r="B87" s="27"/>
      <c r="C87" s="11" t="s">
        <v>77</v>
      </c>
      <c r="D87" s="9">
        <v>0</v>
      </c>
      <c r="E87" s="9">
        <f>SUM((F32+F39)*5)</f>
        <v>2310</v>
      </c>
      <c r="F87" s="9">
        <f>SUM((D17+D18)*0.02)</f>
        <v>3535</v>
      </c>
      <c r="G87" s="9">
        <f t="shared" si="2"/>
        <v>-2280</v>
      </c>
    </row>
    <row r="89" spans="1:10" ht="24" customHeight="1" x14ac:dyDescent="0.35">
      <c r="A89" s="28" t="s">
        <v>91</v>
      </c>
      <c r="B89" s="26" t="s">
        <v>95</v>
      </c>
      <c r="C89" s="7" t="s">
        <v>90</v>
      </c>
      <c r="D89" s="5" t="s">
        <v>65</v>
      </c>
      <c r="E89" s="5" t="s">
        <v>66</v>
      </c>
      <c r="F89" s="5" t="s">
        <v>67</v>
      </c>
      <c r="G89" s="5" t="s">
        <v>64</v>
      </c>
    </row>
    <row r="90" spans="1:10" ht="24" customHeight="1" x14ac:dyDescent="0.35">
      <c r="A90" s="28"/>
      <c r="B90" s="26"/>
      <c r="C90" s="11" t="s">
        <v>68</v>
      </c>
      <c r="D90" s="9">
        <f>SUM(G50+G48+G49)</f>
        <v>15140</v>
      </c>
      <c r="E90" s="9">
        <f>SUM((G32+G39)*5)</f>
        <v>1680</v>
      </c>
      <c r="F90" s="9">
        <f>SUM((D17+D18)*0.02)</f>
        <v>3535</v>
      </c>
      <c r="G90" s="9">
        <f>SUM(F90-D90-E90)</f>
        <v>-13285</v>
      </c>
    </row>
    <row r="91" spans="1:10" ht="24" customHeight="1" x14ac:dyDescent="0.35">
      <c r="A91" s="29"/>
      <c r="B91" s="27"/>
      <c r="C91" s="11" t="s">
        <v>69</v>
      </c>
      <c r="D91" s="9">
        <v>0</v>
      </c>
      <c r="E91" s="9">
        <f>SUM((G32+G39)*5)</f>
        <v>1680</v>
      </c>
      <c r="F91" s="9">
        <f>SUM((D17+D18)*0.02)</f>
        <v>3535</v>
      </c>
      <c r="G91" s="9">
        <f t="shared" ref="G91:G99" si="3">SUM(F91-D91-E91+G90)</f>
        <v>-11430</v>
      </c>
    </row>
    <row r="92" spans="1:10" ht="24" customHeight="1" x14ac:dyDescent="0.35">
      <c r="A92" s="29"/>
      <c r="B92" s="27"/>
      <c r="C92" s="11" t="s">
        <v>70</v>
      </c>
      <c r="D92" s="9">
        <v>0</v>
      </c>
      <c r="E92" s="9">
        <f>SUM((G32+G39)*5)</f>
        <v>1680</v>
      </c>
      <c r="F92" s="9">
        <f>SUM((D17+D18)*0.02)</f>
        <v>3535</v>
      </c>
      <c r="G92" s="9">
        <f t="shared" si="3"/>
        <v>-9575</v>
      </c>
    </row>
    <row r="93" spans="1:10" ht="24" customHeight="1" x14ac:dyDescent="0.35">
      <c r="A93" s="29"/>
      <c r="B93" s="27"/>
      <c r="C93" s="11" t="s">
        <v>71</v>
      </c>
      <c r="D93" s="9">
        <v>0</v>
      </c>
      <c r="E93" s="9">
        <f>SUM((G32+G39)*5)</f>
        <v>1680</v>
      </c>
      <c r="F93" s="9">
        <f>SUM((D17+D18)*0.02)</f>
        <v>3535</v>
      </c>
      <c r="G93" s="9">
        <f t="shared" si="3"/>
        <v>-7720</v>
      </c>
    </row>
    <row r="94" spans="1:10" ht="24" customHeight="1" x14ac:dyDescent="0.35">
      <c r="A94" s="29"/>
      <c r="B94" s="27"/>
      <c r="C94" s="11" t="s">
        <v>72</v>
      </c>
      <c r="D94" s="9">
        <v>0</v>
      </c>
      <c r="E94" s="9">
        <f>SUM((G32+G39)*5)</f>
        <v>1680</v>
      </c>
      <c r="F94" s="9">
        <f>SUM((D17+D18)*0.02)</f>
        <v>3535</v>
      </c>
      <c r="G94" s="9">
        <f t="shared" si="3"/>
        <v>-5865</v>
      </c>
    </row>
    <row r="95" spans="1:10" ht="24" customHeight="1" x14ac:dyDescent="0.35">
      <c r="A95" s="29"/>
      <c r="B95" s="27"/>
      <c r="C95" s="11" t="s">
        <v>73</v>
      </c>
      <c r="D95" s="9">
        <v>0</v>
      </c>
      <c r="E95" s="9">
        <f>SUM((G32+G39)*5)</f>
        <v>1680</v>
      </c>
      <c r="F95" s="9">
        <f>SUM((D17+D18)*0.02)</f>
        <v>3535</v>
      </c>
      <c r="G95" s="9">
        <f t="shared" si="3"/>
        <v>-4010</v>
      </c>
    </row>
    <row r="96" spans="1:10" ht="24" customHeight="1" x14ac:dyDescent="0.35">
      <c r="A96" s="29"/>
      <c r="B96" s="27"/>
      <c r="C96" s="11" t="s">
        <v>74</v>
      </c>
      <c r="D96" s="9">
        <v>0</v>
      </c>
      <c r="E96" s="9">
        <f>SUM((G32+G39)*5)</f>
        <v>1680</v>
      </c>
      <c r="F96" s="9">
        <f>SUM((D17+D18)*0.02)</f>
        <v>3535</v>
      </c>
      <c r="G96" s="9">
        <f t="shared" si="3"/>
        <v>-2155</v>
      </c>
    </row>
    <row r="97" spans="1:7" ht="24" customHeight="1" x14ac:dyDescent="0.35">
      <c r="A97" s="29"/>
      <c r="B97" s="27"/>
      <c r="C97" s="11" t="s">
        <v>75</v>
      </c>
      <c r="D97" s="9">
        <v>0</v>
      </c>
      <c r="E97" s="9">
        <f>SUM((G32+G39)*5)</f>
        <v>1680</v>
      </c>
      <c r="F97" s="9">
        <f>SUM((D17+D18)*0.02)</f>
        <v>3535</v>
      </c>
      <c r="G97" s="9">
        <f t="shared" si="3"/>
        <v>-300</v>
      </c>
    </row>
    <row r="98" spans="1:7" ht="24" customHeight="1" x14ac:dyDescent="0.35">
      <c r="A98" s="29"/>
      <c r="B98" s="27"/>
      <c r="C98" s="11" t="s">
        <v>76</v>
      </c>
      <c r="D98" s="9">
        <v>0</v>
      </c>
      <c r="E98" s="9">
        <f>SUM((G32+G39)*5)</f>
        <v>1680</v>
      </c>
      <c r="F98" s="9">
        <f>SUM((D17+D18)*0.02)</f>
        <v>3535</v>
      </c>
      <c r="G98" s="9">
        <f t="shared" si="3"/>
        <v>1555</v>
      </c>
    </row>
    <row r="99" spans="1:7" ht="24" customHeight="1" x14ac:dyDescent="0.35">
      <c r="A99" s="29"/>
      <c r="B99" s="27"/>
      <c r="C99" s="11" t="s">
        <v>77</v>
      </c>
      <c r="D99" s="9">
        <v>0</v>
      </c>
      <c r="E99" s="9">
        <f>SUM((G32+G39)*5)</f>
        <v>1680</v>
      </c>
      <c r="F99" s="9">
        <f>SUM((D17+D18)*0.02)</f>
        <v>3535</v>
      </c>
      <c r="G99" s="9">
        <f t="shared" si="3"/>
        <v>3410</v>
      </c>
    </row>
  </sheetData>
  <mergeCells count="34">
    <mergeCell ref="H59:I59"/>
    <mergeCell ref="H60:I60"/>
    <mergeCell ref="H53:J53"/>
    <mergeCell ref="H54:J54"/>
    <mergeCell ref="H55:J55"/>
    <mergeCell ref="H56:J56"/>
    <mergeCell ref="H57:J57"/>
    <mergeCell ref="A65:A75"/>
    <mergeCell ref="B65:B75"/>
    <mergeCell ref="A77:A87"/>
    <mergeCell ref="B77:B87"/>
    <mergeCell ref="A89:A99"/>
    <mergeCell ref="B89:B99"/>
    <mergeCell ref="H48:J48"/>
    <mergeCell ref="H49:J49"/>
    <mergeCell ref="H50:J50"/>
    <mergeCell ref="L5:R9"/>
    <mergeCell ref="L10:S14"/>
    <mergeCell ref="H51:J51"/>
    <mergeCell ref="H52:J52"/>
    <mergeCell ref="A2:XFD2"/>
    <mergeCell ref="B53:B63"/>
    <mergeCell ref="A4:A15"/>
    <mergeCell ref="B4:B10"/>
    <mergeCell ref="B12:B15"/>
    <mergeCell ref="A17:A29"/>
    <mergeCell ref="B17:B21"/>
    <mergeCell ref="B23:B29"/>
    <mergeCell ref="B32:B37"/>
    <mergeCell ref="B39:B44"/>
    <mergeCell ref="A32:A44"/>
    <mergeCell ref="B48:B50"/>
    <mergeCell ref="A53:A63"/>
    <mergeCell ref="H19:M25"/>
  </mergeCells>
  <phoneticPr fontId="6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1f90f2-a85f-42a7-9fae-f36b87f55cf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C57AABDD3FE4C8D0F610AC9A6F681" ma:contentTypeVersion="8" ma:contentTypeDescription="Crée un document." ma:contentTypeScope="" ma:versionID="9a2c160239b253970852dc56d4235efc">
  <xsd:schema xmlns:xsd="http://www.w3.org/2001/XMLSchema" xmlns:xs="http://www.w3.org/2001/XMLSchema" xmlns:p="http://schemas.microsoft.com/office/2006/metadata/properties" xmlns:ns3="2e1f90f2-a85f-42a7-9fae-f36b87f55cf8" xmlns:ns4="1a430a87-97d8-4638-ba74-2103fd9e5490" targetNamespace="http://schemas.microsoft.com/office/2006/metadata/properties" ma:root="true" ma:fieldsID="c7c839041ea77fdb8e2c8b31397b4f41" ns3:_="" ns4:_="">
    <xsd:import namespace="2e1f90f2-a85f-42a7-9fae-f36b87f55cf8"/>
    <xsd:import namespace="1a430a87-97d8-4638-ba74-2103fd9e54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f90f2-a85f-42a7-9fae-f36b87f55c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30a87-97d8-4638-ba74-2103fd9e54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D07170-EB9B-4350-B30C-F2D2C7619C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78D8C1-AE47-49E2-8755-1434D2F9D508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2e1f90f2-a85f-42a7-9fae-f36b87f55cf8"/>
    <ds:schemaRef ds:uri="http://purl.org/dc/dcmitype/"/>
    <ds:schemaRef ds:uri="http://schemas.microsoft.com/office/2006/documentManagement/types"/>
    <ds:schemaRef ds:uri="http://purl.org/dc/terms/"/>
    <ds:schemaRef ds:uri="1a430a87-97d8-4638-ba74-2103fd9e5490"/>
  </ds:schemaRefs>
</ds:datastoreItem>
</file>

<file path=customXml/itemProps3.xml><?xml version="1.0" encoding="utf-8"?>
<ds:datastoreItem xmlns:ds="http://schemas.openxmlformats.org/officeDocument/2006/customXml" ds:itemID="{4CBEC21A-9E45-49B0-AA47-631ED014FA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f90f2-a85f-42a7-9fae-f36b87f55cf8"/>
    <ds:schemaRef ds:uri="1a430a87-97d8-4638-ba74-2103fd9e54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Lina MROUEH</dc:creator>
  <cp:keywords/>
  <dc:description/>
  <cp:lastModifiedBy>Xiaofan GUO</cp:lastModifiedBy>
  <cp:revision/>
  <dcterms:created xsi:type="dcterms:W3CDTF">2024-02-28T15:27:39Z</dcterms:created>
  <dcterms:modified xsi:type="dcterms:W3CDTF">2024-04-04T19:21:36Z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0x0101001B4C57AABDD3FE4C8D0F610AC9A6F681</vt:lpwstr>
  </property>
</Properties>
</file>