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73\GitHub\ISEP-Documents\2402-2406\1-CELLULAIRES ET IoT\Projet\"/>
    </mc:Choice>
  </mc:AlternateContent>
  <xr:revisionPtr revIDLastSave="0" documentId="13_ncr:1_{E2FBD3E1-3075-4FD7-92C3-59E8BEC2C6DF}" xr6:coauthVersionLast="47" xr6:coauthVersionMax="47" xr10:uidLastSave="{00000000-0000-0000-0000-000000000000}"/>
  <bookViews>
    <workbookView xWindow="-110" yWindow="-110" windowWidth="21820" windowHeight="13000" activeTab="2" xr2:uid="{6EBB6520-873F-9843-B226-DC1D1269A209}"/>
  </bookViews>
  <sheets>
    <sheet name="Radio Planning" sheetId="1" r:id="rId1"/>
    <sheet name="Network Dimensioning 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3" l="1"/>
  <c r="D50" i="3"/>
  <c r="I58" i="3" s="1"/>
  <c r="I59" i="3" s="1"/>
  <c r="I81" i="3"/>
  <c r="I82" i="3" s="1"/>
  <c r="I83" i="3" s="1"/>
  <c r="I84" i="3" s="1"/>
  <c r="I85" i="3" s="1"/>
  <c r="I86" i="3" s="1"/>
  <c r="I87" i="3" s="1"/>
  <c r="I88" i="3" s="1"/>
  <c r="I89" i="3" s="1"/>
  <c r="I90" i="3" s="1"/>
  <c r="H81" i="3"/>
  <c r="G81" i="3"/>
  <c r="I69" i="3"/>
  <c r="H69" i="3"/>
  <c r="G69" i="3"/>
  <c r="I70" i="3"/>
  <c r="I71" i="3" s="1"/>
  <c r="I72" i="3" s="1"/>
  <c r="I73" i="3" s="1"/>
  <c r="I74" i="3" s="1"/>
  <c r="I75" i="3" s="1"/>
  <c r="I76" i="3" s="1"/>
  <c r="I77" i="3" s="1"/>
  <c r="I78" i="3" s="1"/>
  <c r="G70" i="3"/>
  <c r="H58" i="3"/>
  <c r="G65" i="3"/>
  <c r="G66" i="3" s="1"/>
  <c r="G67" i="3" s="1"/>
  <c r="G60" i="3"/>
  <c r="G61" i="3" s="1"/>
  <c r="G62" i="3" s="1"/>
  <c r="G63" i="3" s="1"/>
  <c r="G59" i="3"/>
  <c r="G58" i="3"/>
  <c r="E53" i="3"/>
  <c r="E50" i="3"/>
  <c r="F50" i="3"/>
  <c r="G50" i="3"/>
  <c r="D49" i="3"/>
  <c r="D44" i="3"/>
  <c r="E47" i="3"/>
  <c r="F47" i="3"/>
  <c r="G47" i="3"/>
  <c r="E46" i="3"/>
  <c r="F46" i="3"/>
  <c r="G46" i="3"/>
  <c r="D45" i="3"/>
  <c r="E45" i="3"/>
  <c r="F45" i="3"/>
  <c r="G45" i="3"/>
  <c r="H45" i="3"/>
  <c r="E44" i="3"/>
  <c r="F44" i="3"/>
  <c r="G44" i="3"/>
  <c r="H44" i="3"/>
  <c r="D46" i="3"/>
  <c r="E24" i="3"/>
  <c r="F24" i="3"/>
  <c r="G24" i="3"/>
  <c r="D24" i="3"/>
  <c r="D16" i="3"/>
  <c r="G25" i="3"/>
  <c r="F43" i="3"/>
  <c r="F49" i="3" s="1"/>
  <c r="G43" i="3"/>
  <c r="G49" i="3" s="1"/>
  <c r="E43" i="3"/>
  <c r="E49" i="3" s="1"/>
  <c r="I60" i="3" l="1"/>
  <c r="I61" i="3" s="1"/>
  <c r="I62" i="3" s="1"/>
  <c r="I63" i="3" s="1"/>
  <c r="I64" i="3" s="1"/>
  <c r="I65" i="3" s="1"/>
  <c r="I66" i="3" s="1"/>
  <c r="J81" i="3"/>
  <c r="G82" i="3"/>
  <c r="G71" i="3"/>
  <c r="J69" i="3"/>
  <c r="J70" i="3" s="1"/>
  <c r="J58" i="3"/>
  <c r="J59" i="3" s="1"/>
  <c r="J60" i="3" s="1"/>
  <c r="J61" i="3" s="1"/>
  <c r="J62" i="3" s="1"/>
  <c r="J63" i="3" s="1"/>
  <c r="J64" i="3" s="1"/>
  <c r="J65" i="3" s="1"/>
  <c r="J66" i="3" s="1"/>
  <c r="G64" i="3"/>
  <c r="J82" i="3" l="1"/>
  <c r="G83" i="3"/>
  <c r="G72" i="3"/>
  <c r="J71" i="3"/>
  <c r="I67" i="3"/>
  <c r="J67" i="3" s="1"/>
  <c r="G84" i="3" l="1"/>
  <c r="J83" i="3"/>
  <c r="G73" i="3"/>
  <c r="J72" i="3"/>
  <c r="J84" i="3" l="1"/>
  <c r="G85" i="3"/>
  <c r="J73" i="3"/>
  <c r="G74" i="3"/>
  <c r="J85" i="3" l="1"/>
  <c r="G86" i="3"/>
  <c r="G75" i="3"/>
  <c r="J74" i="3"/>
  <c r="G87" i="3" l="1"/>
  <c r="J86" i="3"/>
  <c r="G76" i="3"/>
  <c r="J75" i="3"/>
  <c r="G88" i="3" l="1"/>
  <c r="J87" i="3"/>
  <c r="J76" i="3"/>
  <c r="G77" i="3"/>
  <c r="G89" i="3" l="1"/>
  <c r="J88" i="3"/>
  <c r="J77" i="3"/>
  <c r="G78" i="3"/>
  <c r="J78" i="3" s="1"/>
  <c r="J89" i="3" l="1"/>
  <c r="G90" i="3"/>
  <c r="J90" i="3" s="1"/>
  <c r="J38" i="3" l="1"/>
  <c r="D35" i="3"/>
  <c r="H3" i="3"/>
  <c r="H2" i="3"/>
  <c r="G28" i="3"/>
  <c r="I15" i="3"/>
  <c r="F25" i="3"/>
  <c r="F28" i="3" s="1"/>
  <c r="D19" i="3"/>
  <c r="C5" i="2"/>
  <c r="C23" i="2"/>
  <c r="C22" i="2"/>
  <c r="C20" i="2"/>
  <c r="C17" i="2"/>
  <c r="C16" i="2"/>
  <c r="C4" i="2"/>
  <c r="C7" i="2" s="1"/>
  <c r="C9" i="2" s="1"/>
  <c r="H5" i="1"/>
  <c r="H10" i="1" s="1"/>
  <c r="H21" i="1" s="1"/>
  <c r="H23" i="1" s="1"/>
  <c r="H24" i="1" s="1"/>
  <c r="C5" i="1"/>
  <c r="C10" i="1" s="1"/>
  <c r="C21" i="1" s="1"/>
  <c r="C23" i="1" s="1"/>
  <c r="L28" i="3" l="1"/>
  <c r="L29" i="3" s="1"/>
  <c r="L30" i="3" s="1"/>
  <c r="L33" i="3" s="1"/>
  <c r="K28" i="3"/>
  <c r="K29" i="3" s="1"/>
  <c r="K30" i="3" s="1"/>
  <c r="K33" i="3" s="1"/>
  <c r="G29" i="3"/>
  <c r="G30" i="3" s="1"/>
  <c r="G31" i="3" s="1"/>
  <c r="F29" i="3"/>
  <c r="F30" i="3" s="1"/>
  <c r="F31" i="3" s="1"/>
  <c r="D25" i="3"/>
  <c r="D28" i="3" s="1"/>
  <c r="E25" i="3"/>
  <c r="E28" i="3" s="1"/>
  <c r="C24" i="1"/>
  <c r="I28" i="3" l="1"/>
  <c r="I29" i="3" s="1"/>
  <c r="I30" i="3" s="1"/>
  <c r="I33" i="3" s="1"/>
  <c r="E29" i="3"/>
  <c r="E30" i="3" s="1"/>
  <c r="E31" i="3" s="1"/>
  <c r="J28" i="3"/>
  <c r="J29" i="3" s="1"/>
  <c r="J30" i="3" s="1"/>
  <c r="J33" i="3" s="1"/>
  <c r="D29" i="3"/>
  <c r="D30" i="3" s="1"/>
  <c r="D31" i="3" s="1"/>
</calcChain>
</file>

<file path=xl/sharedStrings.xml><?xml version="1.0" encoding="utf-8"?>
<sst xmlns="http://schemas.openxmlformats.org/spreadsheetml/2006/main" count="170" uniqueCount="109">
  <si>
    <t xml:space="preserve">Elements </t>
  </si>
  <si>
    <t xml:space="preserve">Unit </t>
  </si>
  <si>
    <t xml:space="preserve">Value </t>
  </si>
  <si>
    <t xml:space="preserve">Access Point </t>
  </si>
  <si>
    <r>
      <rPr>
        <b/>
        <sz val="14"/>
        <color theme="1"/>
        <rFont val="等线"/>
        <family val="2"/>
        <scheme val="minor"/>
      </rPr>
      <t>Downlink : Access point To mobile</t>
    </r>
    <r>
      <rPr>
        <sz val="14"/>
        <color theme="1"/>
        <rFont val="等线"/>
        <family val="2"/>
        <scheme val="minor"/>
      </rPr>
      <t xml:space="preserve"> </t>
    </r>
  </si>
  <si>
    <r>
      <rPr>
        <b/>
        <sz val="14"/>
        <color theme="1"/>
        <rFont val="等线"/>
        <family val="2"/>
        <scheme val="minor"/>
      </rPr>
      <t>Uplink : Mobile to access point</t>
    </r>
    <r>
      <rPr>
        <sz val="14"/>
        <color theme="1"/>
        <rFont val="等线"/>
        <family val="2"/>
        <scheme val="minor"/>
      </rPr>
      <t xml:space="preserve"> </t>
    </r>
  </si>
  <si>
    <t xml:space="preserve">Transmission power </t>
  </si>
  <si>
    <t xml:space="preserve">Linear scale </t>
  </si>
  <si>
    <t xml:space="preserve">log scale </t>
  </si>
  <si>
    <t>Antenna gain</t>
  </si>
  <si>
    <t>dBm</t>
  </si>
  <si>
    <t xml:space="preserve">dB </t>
  </si>
  <si>
    <t xml:space="preserve">cable and connectors </t>
  </si>
  <si>
    <t>dB</t>
  </si>
  <si>
    <t xml:space="preserve">Duplexer </t>
  </si>
  <si>
    <t xml:space="preserve">EIRP </t>
  </si>
  <si>
    <t xml:space="preserve">Mobile </t>
  </si>
  <si>
    <t xml:space="preserve">Antenna gain </t>
  </si>
  <si>
    <t xml:space="preserve">Sensitivity </t>
  </si>
  <si>
    <t xml:space="preserve">Downlink Path-loss </t>
  </si>
  <si>
    <t>Loss inside mobile</t>
  </si>
  <si>
    <t>EIRP</t>
  </si>
  <si>
    <t xml:space="preserve">Amplifier </t>
  </si>
  <si>
    <t xml:space="preserve">Receiver diversity </t>
  </si>
  <si>
    <t>Sensitivity</t>
  </si>
  <si>
    <t xml:space="preserve">Uplink Path loss </t>
  </si>
  <si>
    <t>38 log10(d)</t>
  </si>
  <si>
    <t>d</t>
  </si>
  <si>
    <t>D</t>
  </si>
  <si>
    <t>m</t>
  </si>
  <si>
    <t xml:space="preserve">Signal and Interference ratio </t>
  </si>
  <si>
    <t xml:space="preserve">Frequency reuse pattern size </t>
  </si>
  <si>
    <t>RESSOURCES</t>
  </si>
  <si>
    <t>Frequency bands per cell</t>
  </si>
  <si>
    <t xml:space="preserve">Number of ressources per cell </t>
  </si>
  <si>
    <t xml:space="preserve">Traffic in Erlang per cell </t>
  </si>
  <si>
    <t>Erlang</t>
  </si>
  <si>
    <t xml:space="preserve">Signal and Interference ratio (no unit) </t>
  </si>
  <si>
    <t xml:space="preserve">Total number of bands </t>
  </si>
  <si>
    <t xml:space="preserve">no unit </t>
  </si>
  <si>
    <t xml:space="preserve">Propagation coefficient </t>
  </si>
  <si>
    <t xml:space="preserve">pairs </t>
  </si>
  <si>
    <t xml:space="preserve">Number of ressources per band </t>
  </si>
  <si>
    <t>radio-ressources</t>
  </si>
  <si>
    <t>Demand</t>
  </si>
  <si>
    <t xml:space="preserve">Parameter </t>
  </si>
  <si>
    <t xml:space="preserve">Traffic in Erlang per user </t>
  </si>
  <si>
    <t xml:space="preserve">Number of operators client </t>
  </si>
  <si>
    <t xml:space="preserve">clients </t>
  </si>
  <si>
    <t xml:space="preserve">Total traffic in the urban zone </t>
  </si>
  <si>
    <t xml:space="preserve">Number of cells </t>
  </si>
  <si>
    <t>Use the Erlang B calculator with a blockage probability of 0.02</t>
  </si>
  <si>
    <t>https://www.erlang.com/calculator/erlb/</t>
  </si>
  <si>
    <t xml:space="preserve">Dimensioning </t>
  </si>
  <si>
    <t xml:space="preserve">Total area </t>
  </si>
  <si>
    <t xml:space="preserve">km2 </t>
  </si>
  <si>
    <t xml:space="preserve">One cell </t>
  </si>
  <si>
    <t xml:space="preserve">Radius </t>
  </si>
  <si>
    <t xml:space="preserve">km </t>
  </si>
  <si>
    <t>cells</t>
  </si>
  <si>
    <t xml:space="preserve">Power of the Base station </t>
  </si>
  <si>
    <t xml:space="preserve">Cables and connectors loss </t>
  </si>
  <si>
    <t xml:space="preserve">Low received power amplifier </t>
  </si>
  <si>
    <t>antenna gain</t>
  </si>
  <si>
    <t>Internal loss</t>
  </si>
  <si>
    <t xml:space="preserve">Sensisivity of reception </t>
  </si>
  <si>
    <t xml:space="preserve">Sensitivity of reception </t>
  </si>
  <si>
    <t xml:space="preserve">dBm </t>
  </si>
  <si>
    <t>Power of the mobile</t>
  </si>
  <si>
    <t xml:space="preserve">Generated traffic per client </t>
  </si>
  <si>
    <t xml:space="preserve">Clients </t>
  </si>
  <si>
    <t xml:space="preserve">Number of clients in a given area </t>
  </si>
  <si>
    <t>Mobile</t>
  </si>
  <si>
    <t xml:space="preserve">Base station </t>
  </si>
  <si>
    <t xml:space="preserve">Ratio of Signal / Interference C/I </t>
  </si>
  <si>
    <t xml:space="preserve">Number of radio resources per cell </t>
  </si>
  <si>
    <t>Ressources</t>
  </si>
  <si>
    <t>Radio planning</t>
  </si>
  <si>
    <t>Dimensionning</t>
  </si>
  <si>
    <t xml:space="preserve">Number of clients per cell </t>
  </si>
  <si>
    <t>Traffic per client</t>
  </si>
  <si>
    <t xml:space="preserve">Considered area </t>
  </si>
  <si>
    <t>km2</t>
  </si>
  <si>
    <t xml:space="preserve">Area of one cell </t>
  </si>
  <si>
    <t xml:space="preserve">sans unité </t>
  </si>
  <si>
    <t>Bandwidth</t>
  </si>
  <si>
    <t>Receiver diversity</t>
  </si>
  <si>
    <t>Propagation coefficient</t>
  </si>
  <si>
    <t>Uplink Path-Loss</t>
  </si>
  <si>
    <t>Downlink path-loss</t>
  </si>
  <si>
    <t xml:space="preserve">Urban path-loss </t>
  </si>
  <si>
    <t xml:space="preserve"> </t>
  </si>
  <si>
    <t xml:space="preserve">Frequency licence cost </t>
  </si>
  <si>
    <t xml:space="preserve"> 113.1872 +  35.2249*log10(d)</t>
  </si>
  <si>
    <t xml:space="preserve">100 + 35.22*log10(d) </t>
  </si>
  <si>
    <t>Shadowing</t>
  </si>
  <si>
    <t>Fading</t>
  </si>
  <si>
    <t xml:space="preserve">Capex </t>
  </si>
  <si>
    <t xml:space="preserve">Opex </t>
  </si>
  <si>
    <t xml:space="preserve">Année 1 </t>
  </si>
  <si>
    <t xml:space="preserve">Année 2 </t>
  </si>
  <si>
    <t xml:space="preserve">Année 3 </t>
  </si>
  <si>
    <t>Coût fixe</t>
  </si>
  <si>
    <t>Abonnement</t>
  </si>
  <si>
    <t>Opex</t>
  </si>
  <si>
    <t xml:space="preserve">Maintenance </t>
  </si>
  <si>
    <t>Année</t>
  </si>
  <si>
    <t>5 MHz</t>
  </si>
  <si>
    <t>15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</si>
</sst>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4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1" xfId="0" applyFont="1" applyBorder="1"/>
    <xf numFmtId="0" fontId="1" fillId="0" borderId="5" xfId="0" applyFont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1" fillId="4" borderId="1" xfId="0" applyFont="1" applyFill="1" applyBorder="1"/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0" fontId="2" fillId="2" borderId="9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7839-9A0E-4F40-819D-51E89E2D65A2}">
  <dimension ref="A2:I24"/>
  <sheetViews>
    <sheetView topLeftCell="A2" workbookViewId="0">
      <selection activeCell="A5" sqref="A5"/>
    </sheetView>
  </sheetViews>
  <sheetFormatPr defaultColWidth="10.84375" defaultRowHeight="25" customHeight="1" x14ac:dyDescent="0.35"/>
  <cols>
    <col min="1" max="1" width="24.15234375" style="1" customWidth="1"/>
    <col min="2" max="3" width="13.15234375" style="1" customWidth="1"/>
    <col min="4" max="5" width="10.84375" style="1"/>
    <col min="6" max="6" width="26.3046875" style="1" customWidth="1"/>
    <col min="7" max="7" width="15" style="1" customWidth="1"/>
    <col min="8" max="8" width="20.3046875" style="1" customWidth="1"/>
    <col min="9" max="16384" width="10.84375" style="1"/>
  </cols>
  <sheetData>
    <row r="2" spans="1:9" ht="25" customHeight="1" x14ac:dyDescent="0.35">
      <c r="A2" s="13" t="s">
        <v>4</v>
      </c>
      <c r="B2" s="14"/>
      <c r="C2" s="14"/>
      <c r="D2" s="3"/>
      <c r="E2" s="3"/>
      <c r="F2" s="13" t="s">
        <v>5</v>
      </c>
      <c r="G2" s="14"/>
      <c r="H2" s="14"/>
    </row>
    <row r="3" spans="1:9" ht="25" customHeight="1" x14ac:dyDescent="0.35">
      <c r="A3" s="2" t="s">
        <v>0</v>
      </c>
      <c r="B3" s="2" t="s">
        <v>7</v>
      </c>
      <c r="C3" s="2" t="s">
        <v>8</v>
      </c>
      <c r="D3" s="3"/>
      <c r="E3" s="3"/>
      <c r="F3" s="2" t="s">
        <v>0</v>
      </c>
      <c r="G3" s="2" t="s">
        <v>1</v>
      </c>
      <c r="H3" s="2" t="s">
        <v>2</v>
      </c>
    </row>
    <row r="4" spans="1:9" ht="25" customHeight="1" x14ac:dyDescent="0.35">
      <c r="A4" s="15" t="s">
        <v>3</v>
      </c>
      <c r="B4" s="16"/>
      <c r="C4" s="16"/>
      <c r="F4" s="15" t="s">
        <v>16</v>
      </c>
      <c r="G4" s="16"/>
      <c r="H4" s="16"/>
    </row>
    <row r="5" spans="1:9" ht="25" customHeight="1" x14ac:dyDescent="0.35">
      <c r="A5" s="2" t="s">
        <v>6</v>
      </c>
      <c r="B5" s="2">
        <v>50000</v>
      </c>
      <c r="C5" s="2">
        <f>10*LOG10(B5)</f>
        <v>46.989700043360187</v>
      </c>
      <c r="D5" s="1" t="s">
        <v>10</v>
      </c>
      <c r="F5" s="2" t="s">
        <v>6</v>
      </c>
      <c r="G5" s="2">
        <v>1000</v>
      </c>
      <c r="H5" s="2">
        <f>10*LOG10(G5)</f>
        <v>30</v>
      </c>
      <c r="I5" s="1" t="s">
        <v>10</v>
      </c>
    </row>
    <row r="6" spans="1:9" ht="25" customHeight="1" x14ac:dyDescent="0.35">
      <c r="A6" s="2" t="s">
        <v>9</v>
      </c>
      <c r="B6" s="2"/>
      <c r="C6" s="2">
        <v>16</v>
      </c>
      <c r="D6" s="1" t="s">
        <v>11</v>
      </c>
      <c r="F6" s="2" t="s">
        <v>9</v>
      </c>
      <c r="G6" s="2"/>
      <c r="H6" s="2">
        <v>0</v>
      </c>
      <c r="I6" s="1" t="s">
        <v>11</v>
      </c>
    </row>
    <row r="7" spans="1:9" ht="25" customHeight="1" x14ac:dyDescent="0.35">
      <c r="A7" s="2" t="s">
        <v>12</v>
      </c>
      <c r="B7" s="2"/>
      <c r="C7" s="2">
        <v>-3</v>
      </c>
      <c r="D7" s="1" t="s">
        <v>13</v>
      </c>
      <c r="F7" s="2" t="s">
        <v>20</v>
      </c>
      <c r="G7" s="2"/>
      <c r="H7" s="2">
        <v>0</v>
      </c>
      <c r="I7" s="1" t="s">
        <v>13</v>
      </c>
    </row>
    <row r="8" spans="1:9" ht="25" customHeight="1" x14ac:dyDescent="0.35">
      <c r="A8" s="2" t="s">
        <v>14</v>
      </c>
      <c r="B8" s="2"/>
      <c r="C8" s="2">
        <v>-3</v>
      </c>
      <c r="D8" s="1" t="s">
        <v>11</v>
      </c>
      <c r="F8" s="2"/>
      <c r="G8" s="2"/>
      <c r="H8" s="2"/>
    </row>
    <row r="9" spans="1:9" ht="25" customHeight="1" x14ac:dyDescent="0.35">
      <c r="A9" s="2"/>
      <c r="B9" s="2"/>
      <c r="C9" s="2"/>
    </row>
    <row r="10" spans="1:9" ht="25" customHeight="1" x14ac:dyDescent="0.35">
      <c r="A10" s="4" t="s">
        <v>15</v>
      </c>
      <c r="B10" s="2"/>
      <c r="C10" s="2">
        <f xml:space="preserve"> SUM(C5:C8)</f>
        <v>56.989700043360187</v>
      </c>
      <c r="D10" s="1" t="s">
        <v>10</v>
      </c>
      <c r="F10" s="4" t="s">
        <v>21</v>
      </c>
      <c r="G10" s="2"/>
      <c r="H10" s="2">
        <f>H5+H6+H7</f>
        <v>30</v>
      </c>
      <c r="I10" s="1" t="s">
        <v>10</v>
      </c>
    </row>
    <row r="11" spans="1:9" ht="25" customHeight="1" x14ac:dyDescent="0.35">
      <c r="A11" s="2"/>
      <c r="B11" s="2"/>
      <c r="C11" s="2"/>
      <c r="F11" s="2"/>
      <c r="G11" s="2"/>
      <c r="H11" s="2"/>
    </row>
    <row r="12" spans="1:9" ht="25" customHeight="1" x14ac:dyDescent="0.35">
      <c r="A12" s="17" t="s">
        <v>16</v>
      </c>
      <c r="B12" s="18"/>
      <c r="C12" s="19"/>
      <c r="F12" s="20" t="s">
        <v>3</v>
      </c>
      <c r="G12" s="21"/>
      <c r="H12" s="21"/>
    </row>
    <row r="13" spans="1:9" ht="25" customHeight="1" x14ac:dyDescent="0.35">
      <c r="A13" s="2" t="s">
        <v>17</v>
      </c>
      <c r="B13" s="2"/>
      <c r="C13" s="2">
        <v>0</v>
      </c>
      <c r="D13" s="1" t="s">
        <v>11</v>
      </c>
      <c r="F13" s="2" t="s">
        <v>22</v>
      </c>
      <c r="G13" s="2"/>
      <c r="H13" s="2">
        <v>2</v>
      </c>
      <c r="I13" s="1" t="s">
        <v>11</v>
      </c>
    </row>
    <row r="14" spans="1:9" ht="25" customHeight="1" x14ac:dyDescent="0.35">
      <c r="A14" s="2" t="s">
        <v>20</v>
      </c>
      <c r="B14" s="2"/>
      <c r="C14" s="2">
        <v>0</v>
      </c>
      <c r="D14" s="1" t="s">
        <v>11</v>
      </c>
      <c r="F14" s="2" t="s">
        <v>9</v>
      </c>
      <c r="G14" s="2"/>
      <c r="H14" s="2">
        <v>16</v>
      </c>
      <c r="I14" s="1" t="s">
        <v>11</v>
      </c>
    </row>
    <row r="15" spans="1:9" ht="25" customHeight="1" x14ac:dyDescent="0.35">
      <c r="F15" s="2" t="s">
        <v>23</v>
      </c>
      <c r="G15" s="2"/>
      <c r="H15" s="2">
        <v>2</v>
      </c>
      <c r="I15" s="1" t="s">
        <v>13</v>
      </c>
    </row>
    <row r="16" spans="1:9" ht="25" customHeight="1" x14ac:dyDescent="0.35">
      <c r="A16" s="2"/>
      <c r="B16" s="2"/>
      <c r="C16" s="2"/>
      <c r="F16" s="2" t="s">
        <v>12</v>
      </c>
      <c r="G16" s="2"/>
      <c r="H16" s="2">
        <v>-3</v>
      </c>
      <c r="I16" s="1" t="s">
        <v>13</v>
      </c>
    </row>
    <row r="17" spans="1:9" ht="25" customHeight="1" x14ac:dyDescent="0.35">
      <c r="F17" s="2" t="s">
        <v>14</v>
      </c>
      <c r="G17" s="2"/>
      <c r="H17" s="2">
        <v>-3</v>
      </c>
      <c r="I17" s="1" t="s">
        <v>13</v>
      </c>
    </row>
    <row r="18" spans="1:9" ht="25" customHeight="1" x14ac:dyDescent="0.35">
      <c r="A18" s="2"/>
      <c r="B18" s="2"/>
      <c r="C18" s="2"/>
      <c r="F18" s="2"/>
      <c r="G18" s="2"/>
      <c r="H18" s="2"/>
    </row>
    <row r="19" spans="1:9" ht="25" customHeight="1" x14ac:dyDescent="0.35">
      <c r="A19" s="4" t="s">
        <v>18</v>
      </c>
      <c r="B19" s="2"/>
      <c r="C19" s="2">
        <v>-103</v>
      </c>
      <c r="D19" s="1" t="s">
        <v>10</v>
      </c>
      <c r="F19" s="4" t="s">
        <v>24</v>
      </c>
      <c r="G19" s="2"/>
      <c r="H19" s="2">
        <v>-112</v>
      </c>
      <c r="I19" s="1" t="s">
        <v>10</v>
      </c>
    </row>
    <row r="20" spans="1:9" ht="25" customHeight="1" x14ac:dyDescent="0.35">
      <c r="A20" s="2"/>
      <c r="B20" s="2"/>
      <c r="C20" s="2"/>
      <c r="F20" s="2"/>
      <c r="G20" s="2"/>
      <c r="H20" s="2"/>
    </row>
    <row r="21" spans="1:9" ht="25" customHeight="1" x14ac:dyDescent="0.35">
      <c r="A21" s="4" t="s">
        <v>19</v>
      </c>
      <c r="B21" s="2"/>
      <c r="C21" s="2">
        <f xml:space="preserve"> C10+C13+C14-C19</f>
        <v>159.98970004336019</v>
      </c>
      <c r="D21" s="1" t="s">
        <v>11</v>
      </c>
      <c r="F21" s="4" t="s">
        <v>25</v>
      </c>
      <c r="G21" s="2"/>
      <c r="H21" s="2">
        <f xml:space="preserve"> H10+H13+SUM(H13:H17)-H19</f>
        <v>158</v>
      </c>
      <c r="I21" s="1" t="s">
        <v>13</v>
      </c>
    </row>
    <row r="22" spans="1:9" ht="25" customHeight="1" x14ac:dyDescent="0.35">
      <c r="F22" s="2"/>
      <c r="G22" s="2"/>
      <c r="H22" s="2"/>
    </row>
    <row r="23" spans="1:9" ht="25" customHeight="1" x14ac:dyDescent="0.35">
      <c r="A23" s="2" t="s">
        <v>26</v>
      </c>
      <c r="B23" s="2"/>
      <c r="C23" s="2">
        <f>C21+55.9 - (24.5+1.5*1800/925)*LOG10(1800)</f>
        <v>126.63364716694657</v>
      </c>
      <c r="F23" s="2" t="s">
        <v>26</v>
      </c>
      <c r="G23" s="2"/>
      <c r="H23" s="2">
        <f>H21+55.9 - (24.5+1.5*1800/925)*LOG10(1800)</f>
        <v>124.64394712358639</v>
      </c>
    </row>
    <row r="24" spans="1:9" ht="25" customHeight="1" x14ac:dyDescent="0.35">
      <c r="A24" s="1" t="s">
        <v>28</v>
      </c>
      <c r="C24" s="1">
        <f xml:space="preserve"> 10^(C23/38)</f>
        <v>2150.1284174198645</v>
      </c>
      <c r="D24" s="1" t="s">
        <v>29</v>
      </c>
      <c r="F24" s="1" t="s">
        <v>27</v>
      </c>
      <c r="H24" s="1">
        <f xml:space="preserve"> 10^(H23/38)</f>
        <v>1905.9165079222953</v>
      </c>
      <c r="I24" s="1" t="s">
        <v>29</v>
      </c>
    </row>
  </sheetData>
  <mergeCells count="6">
    <mergeCell ref="A2:C2"/>
    <mergeCell ref="F2:H2"/>
    <mergeCell ref="A4:C4"/>
    <mergeCell ref="F4:H4"/>
    <mergeCell ref="A12:C12"/>
    <mergeCell ref="F12:H1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3427-0C89-B14D-90AA-B7F82F858B87}">
  <dimension ref="A1:F43"/>
  <sheetViews>
    <sheetView workbookViewId="0">
      <selection activeCell="C6" sqref="C6"/>
    </sheetView>
  </sheetViews>
  <sheetFormatPr defaultColWidth="10.84375" defaultRowHeight="17.5" x14ac:dyDescent="0.35"/>
  <cols>
    <col min="1" max="1" width="11.69140625" style="1" customWidth="1"/>
    <col min="2" max="2" width="38" style="1" customWidth="1"/>
    <col min="3" max="3" width="20.4609375" style="1" customWidth="1"/>
    <col min="4" max="4" width="17.84375" style="1" customWidth="1"/>
    <col min="5" max="16384" width="10.84375" style="1"/>
  </cols>
  <sheetData>
    <row r="1" spans="1:6" ht="25" customHeight="1" x14ac:dyDescent="0.35">
      <c r="A1" s="2"/>
      <c r="B1" s="2" t="s">
        <v>45</v>
      </c>
      <c r="C1" s="2" t="s">
        <v>2</v>
      </c>
      <c r="D1" s="2" t="s">
        <v>1</v>
      </c>
    </row>
    <row r="2" spans="1:6" ht="25" customHeight="1" x14ac:dyDescent="0.35">
      <c r="A2" s="22" t="s">
        <v>32</v>
      </c>
      <c r="B2" s="2" t="s">
        <v>40</v>
      </c>
      <c r="C2" s="2">
        <v>3.3</v>
      </c>
      <c r="D2" s="2"/>
    </row>
    <row r="3" spans="1:6" ht="25" customHeight="1" x14ac:dyDescent="0.35">
      <c r="A3" s="23"/>
      <c r="B3" s="2" t="s">
        <v>30</v>
      </c>
      <c r="C3" s="2">
        <v>17</v>
      </c>
      <c r="D3" s="2" t="s">
        <v>13</v>
      </c>
    </row>
    <row r="4" spans="1:6" ht="25" customHeight="1" x14ac:dyDescent="0.35">
      <c r="A4" s="23"/>
      <c r="B4" s="2" t="s">
        <v>37</v>
      </c>
      <c r="C4" s="2">
        <f xml:space="preserve"> ROUND(10^(C3/10),2)</f>
        <v>50.12</v>
      </c>
      <c r="D4" s="2" t="s">
        <v>39</v>
      </c>
    </row>
    <row r="5" spans="1:6" ht="25" customHeight="1" x14ac:dyDescent="0.35">
      <c r="A5" s="23"/>
      <c r="B5" s="2" t="s">
        <v>31</v>
      </c>
      <c r="C5" s="2">
        <f>ROUNDUP(1/3*(6*C4)^(2/C2),0)</f>
        <v>11</v>
      </c>
      <c r="D5" s="2"/>
    </row>
    <row r="6" spans="1:6" ht="25" customHeight="1" x14ac:dyDescent="0.35">
      <c r="A6" s="23"/>
      <c r="B6" s="2" t="s">
        <v>38</v>
      </c>
      <c r="C6" s="2">
        <v>70</v>
      </c>
      <c r="D6" s="2" t="s">
        <v>41</v>
      </c>
    </row>
    <row r="7" spans="1:6" ht="25" customHeight="1" x14ac:dyDescent="0.35">
      <c r="A7" s="23"/>
      <c r="B7" s="2" t="s">
        <v>33</v>
      </c>
      <c r="C7" s="2">
        <f xml:space="preserve"> ROUNDDOWN(C6/C5,0)</f>
        <v>6</v>
      </c>
      <c r="D7" s="2"/>
    </row>
    <row r="8" spans="1:6" ht="25" customHeight="1" x14ac:dyDescent="0.35">
      <c r="A8" s="23"/>
      <c r="B8" s="2" t="s">
        <v>42</v>
      </c>
      <c r="C8" s="2">
        <v>7</v>
      </c>
      <c r="D8" s="2"/>
    </row>
    <row r="9" spans="1:6" ht="25" customHeight="1" x14ac:dyDescent="0.35">
      <c r="A9" s="23"/>
      <c r="B9" s="2" t="s">
        <v>34</v>
      </c>
      <c r="C9" s="2">
        <f>C7*C8</f>
        <v>42</v>
      </c>
      <c r="D9" s="2" t="s">
        <v>43</v>
      </c>
    </row>
    <row r="10" spans="1:6" ht="25" customHeight="1" x14ac:dyDescent="0.35">
      <c r="A10" s="23"/>
      <c r="B10" s="8" t="s">
        <v>35</v>
      </c>
      <c r="C10" s="8">
        <v>32.799999999999997</v>
      </c>
      <c r="D10" s="8" t="s">
        <v>36</v>
      </c>
      <c r="F10" s="1" t="s">
        <v>51</v>
      </c>
    </row>
    <row r="11" spans="1:6" ht="25" customHeight="1" x14ac:dyDescent="0.35">
      <c r="A11" s="6"/>
      <c r="F11" s="1" t="s">
        <v>52</v>
      </c>
    </row>
    <row r="12" spans="1:6" ht="25" customHeight="1" x14ac:dyDescent="0.35">
      <c r="A12" s="6"/>
    </row>
    <row r="13" spans="1:6" ht="25" customHeight="1" x14ac:dyDescent="0.35">
      <c r="A13" s="6"/>
    </row>
    <row r="14" spans="1:6" ht="25" customHeight="1" x14ac:dyDescent="0.35">
      <c r="A14" s="2"/>
      <c r="B14" s="2" t="s">
        <v>45</v>
      </c>
      <c r="C14" s="2" t="s">
        <v>2</v>
      </c>
      <c r="D14" s="2" t="s">
        <v>1</v>
      </c>
    </row>
    <row r="15" spans="1:6" ht="25" customHeight="1" x14ac:dyDescent="0.35">
      <c r="A15" s="22" t="s">
        <v>44</v>
      </c>
      <c r="B15" s="2" t="s">
        <v>46</v>
      </c>
      <c r="C15" s="2">
        <v>2.5000000000000001E-2</v>
      </c>
      <c r="D15" s="2" t="s">
        <v>36</v>
      </c>
    </row>
    <row r="16" spans="1:6" ht="25" customHeight="1" x14ac:dyDescent="0.35">
      <c r="A16" s="24"/>
      <c r="B16" s="2" t="s">
        <v>47</v>
      </c>
      <c r="C16" s="2">
        <f xml:space="preserve"> 3/5*2/100*5000000</f>
        <v>60000</v>
      </c>
      <c r="D16" s="2" t="s">
        <v>48</v>
      </c>
    </row>
    <row r="17" spans="1:4" ht="25" customHeight="1" x14ac:dyDescent="0.35">
      <c r="A17" s="24"/>
      <c r="B17" s="8" t="s">
        <v>49</v>
      </c>
      <c r="C17" s="8">
        <f xml:space="preserve"> C16*C15</f>
        <v>1500</v>
      </c>
      <c r="D17" s="8" t="s">
        <v>36</v>
      </c>
    </row>
    <row r="18" spans="1:4" ht="25" customHeight="1" x14ac:dyDescent="0.35">
      <c r="A18" s="10"/>
    </row>
    <row r="19" spans="1:4" ht="25" customHeight="1" x14ac:dyDescent="0.35">
      <c r="A19" s="10"/>
    </row>
    <row r="20" spans="1:4" ht="25" customHeight="1" x14ac:dyDescent="0.35">
      <c r="A20" s="25" t="s">
        <v>53</v>
      </c>
      <c r="B20" s="2" t="s">
        <v>50</v>
      </c>
      <c r="C20" s="2">
        <f xml:space="preserve"> ROUNDUP(C17/C10,0)</f>
        <v>46</v>
      </c>
      <c r="D20" s="1" t="s">
        <v>59</v>
      </c>
    </row>
    <row r="21" spans="1:4" ht="25" customHeight="1" x14ac:dyDescent="0.35">
      <c r="A21" s="26"/>
      <c r="B21" s="2" t="s">
        <v>54</v>
      </c>
      <c r="C21" s="2">
        <v>1500</v>
      </c>
      <c r="D21" s="1" t="s">
        <v>55</v>
      </c>
    </row>
    <row r="22" spans="1:4" ht="25" customHeight="1" x14ac:dyDescent="0.35">
      <c r="A22" s="26"/>
      <c r="B22" s="2" t="s">
        <v>56</v>
      </c>
      <c r="C22" s="2">
        <f xml:space="preserve"> C21/C20</f>
        <v>32.608695652173914</v>
      </c>
      <c r="D22" s="1" t="s">
        <v>55</v>
      </c>
    </row>
    <row r="23" spans="1:4" ht="25" customHeight="1" x14ac:dyDescent="0.35">
      <c r="A23" s="27"/>
      <c r="B23" s="7" t="s">
        <v>57</v>
      </c>
      <c r="C23" s="8">
        <f xml:space="preserve"> SQRT(C22*2/(3*SQRT(3)))</f>
        <v>3.5427521517134282</v>
      </c>
      <c r="D23" s="1" t="s">
        <v>58</v>
      </c>
    </row>
    <row r="24" spans="1:4" ht="25" customHeight="1" x14ac:dyDescent="0.35"/>
    <row r="25" spans="1:4" ht="25" customHeight="1" x14ac:dyDescent="0.35"/>
    <row r="26" spans="1:4" ht="25" customHeight="1" x14ac:dyDescent="0.35"/>
    <row r="27" spans="1:4" ht="25" customHeight="1" x14ac:dyDescent="0.35"/>
    <row r="28" spans="1:4" ht="25" customHeight="1" x14ac:dyDescent="0.35"/>
    <row r="29" spans="1:4" ht="25" customHeight="1" x14ac:dyDescent="0.35"/>
    <row r="30" spans="1:4" ht="25" customHeight="1" x14ac:dyDescent="0.35"/>
    <row r="31" spans="1:4" ht="25" customHeight="1" x14ac:dyDescent="0.35"/>
    <row r="32" spans="1:4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  <row r="41" ht="25" customHeight="1" x14ac:dyDescent="0.35"/>
    <row r="42" ht="25" customHeight="1" x14ac:dyDescent="0.35"/>
    <row r="43" ht="25" customHeight="1" x14ac:dyDescent="0.35"/>
  </sheetData>
  <mergeCells count="3">
    <mergeCell ref="A2:A10"/>
    <mergeCell ref="A15:A17"/>
    <mergeCell ref="A20:A2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3FF3-9C75-6142-873D-A6F98B4C6638}">
  <dimension ref="A2:L90"/>
  <sheetViews>
    <sheetView tabSelected="1" topLeftCell="A48" zoomScale="57" workbookViewId="0">
      <selection activeCell="C5" sqref="C5"/>
    </sheetView>
  </sheetViews>
  <sheetFormatPr defaultColWidth="15.84375" defaultRowHeight="24" customHeight="1" x14ac:dyDescent="0.35"/>
  <cols>
    <col min="1" max="1" width="8.15234375" style="1" customWidth="1"/>
    <col min="2" max="2" width="12" style="1" customWidth="1"/>
    <col min="3" max="3" width="36.3046875" style="1" customWidth="1"/>
    <col min="4" max="5" width="15.84375" style="1"/>
    <col min="6" max="6" width="14" style="1" bestFit="1" customWidth="1"/>
    <col min="7" max="7" width="18.4609375" style="1" customWidth="1"/>
    <col min="8" max="16384" width="15.84375" style="1"/>
  </cols>
  <sheetData>
    <row r="2" spans="1:10" ht="24" customHeight="1" x14ac:dyDescent="0.35">
      <c r="A2" s="33" t="s">
        <v>77</v>
      </c>
      <c r="B2" s="28" t="s">
        <v>73</v>
      </c>
      <c r="C2" s="2" t="s">
        <v>60</v>
      </c>
      <c r="D2" s="2">
        <v>46</v>
      </c>
      <c r="E2" s="2" t="s">
        <v>10</v>
      </c>
      <c r="G2" s="2" t="s">
        <v>88</v>
      </c>
      <c r="H2" s="2">
        <f>D10+D7+D6-D5-D4+D3-D8-H7-H8</f>
        <v>150</v>
      </c>
    </row>
    <row r="3" spans="1:10" ht="24" customHeight="1" x14ac:dyDescent="0.35">
      <c r="A3" s="34"/>
      <c r="B3" s="29"/>
      <c r="C3" s="2" t="s">
        <v>17</v>
      </c>
      <c r="D3" s="2">
        <v>17</v>
      </c>
      <c r="E3" s="2" t="s">
        <v>13</v>
      </c>
      <c r="G3" s="2" t="s">
        <v>89</v>
      </c>
      <c r="H3" s="2">
        <f>D2+D3-D4-D5-D13-H7-H8</f>
        <v>153</v>
      </c>
    </row>
    <row r="4" spans="1:10" ht="24" customHeight="1" x14ac:dyDescent="0.35">
      <c r="A4" s="34"/>
      <c r="B4" s="29"/>
      <c r="C4" s="2" t="s">
        <v>61</v>
      </c>
      <c r="D4" s="2">
        <v>3</v>
      </c>
      <c r="E4" s="2" t="s">
        <v>13</v>
      </c>
    </row>
    <row r="5" spans="1:10" ht="24" customHeight="1" x14ac:dyDescent="0.35">
      <c r="A5" s="34"/>
      <c r="B5" s="29"/>
      <c r="C5" s="2" t="s">
        <v>14</v>
      </c>
      <c r="D5" s="2">
        <v>2</v>
      </c>
      <c r="E5" s="2" t="s">
        <v>13</v>
      </c>
    </row>
    <row r="6" spans="1:10" ht="24" customHeight="1" x14ac:dyDescent="0.35">
      <c r="A6" s="34"/>
      <c r="B6" s="29"/>
      <c r="C6" s="2" t="s">
        <v>86</v>
      </c>
      <c r="D6" s="2">
        <v>5</v>
      </c>
      <c r="E6" s="2" t="s">
        <v>13</v>
      </c>
    </row>
    <row r="7" spans="1:10" ht="24" customHeight="1" x14ac:dyDescent="0.35">
      <c r="A7" s="34"/>
      <c r="B7" s="29"/>
      <c r="C7" s="2" t="s">
        <v>62</v>
      </c>
      <c r="D7" s="2">
        <v>2</v>
      </c>
      <c r="E7" s="2" t="s">
        <v>13</v>
      </c>
      <c r="G7" s="2" t="s">
        <v>95</v>
      </c>
      <c r="H7" s="2">
        <v>8</v>
      </c>
    </row>
    <row r="8" spans="1:10" ht="24" customHeight="1" x14ac:dyDescent="0.35">
      <c r="A8" s="34"/>
      <c r="B8" s="29"/>
      <c r="C8" s="2" t="s">
        <v>65</v>
      </c>
      <c r="D8" s="2">
        <v>-120</v>
      </c>
      <c r="E8" s="2" t="s">
        <v>67</v>
      </c>
      <c r="G8" s="2" t="s">
        <v>96</v>
      </c>
      <c r="H8" s="2">
        <v>2</v>
      </c>
    </row>
    <row r="9" spans="1:10" ht="24" customHeight="1" x14ac:dyDescent="0.35">
      <c r="A9" s="34"/>
    </row>
    <row r="10" spans="1:10" ht="24" customHeight="1" x14ac:dyDescent="0.35">
      <c r="A10" s="34"/>
      <c r="B10" s="30" t="s">
        <v>72</v>
      </c>
      <c r="C10" s="2" t="s">
        <v>68</v>
      </c>
      <c r="D10" s="2">
        <v>21</v>
      </c>
      <c r="E10" s="2" t="s">
        <v>10</v>
      </c>
    </row>
    <row r="11" spans="1:10" ht="24" customHeight="1" x14ac:dyDescent="0.35">
      <c r="A11" s="34"/>
      <c r="B11" s="31"/>
      <c r="C11" s="2" t="s">
        <v>63</v>
      </c>
      <c r="D11" s="2">
        <v>0</v>
      </c>
      <c r="E11" s="2" t="s">
        <v>13</v>
      </c>
    </row>
    <row r="12" spans="1:10" ht="24" customHeight="1" x14ac:dyDescent="0.35">
      <c r="A12" s="34"/>
      <c r="B12" s="31"/>
      <c r="C12" s="2" t="s">
        <v>64</v>
      </c>
      <c r="D12" s="2">
        <v>0</v>
      </c>
      <c r="E12" s="2" t="s">
        <v>13</v>
      </c>
    </row>
    <row r="13" spans="1:10" ht="24" customHeight="1" x14ac:dyDescent="0.35">
      <c r="A13" s="34"/>
      <c r="B13" s="32"/>
      <c r="C13" s="2" t="s">
        <v>66</v>
      </c>
      <c r="D13" s="2">
        <v>-105</v>
      </c>
      <c r="E13" s="2" t="s">
        <v>10</v>
      </c>
    </row>
    <row r="15" spans="1:10" ht="24" customHeight="1" x14ac:dyDescent="0.35">
      <c r="A15" s="33" t="s">
        <v>78</v>
      </c>
      <c r="B15" s="22" t="s">
        <v>44</v>
      </c>
      <c r="C15" s="2" t="s">
        <v>71</v>
      </c>
      <c r="D15" s="2">
        <v>175000</v>
      </c>
      <c r="E15" s="2" t="s">
        <v>70</v>
      </c>
      <c r="I15" s="11">
        <f>D15/100</f>
        <v>1750</v>
      </c>
      <c r="J15" s="1" t="s">
        <v>70</v>
      </c>
    </row>
    <row r="16" spans="1:10" ht="24" customHeight="1" x14ac:dyDescent="0.35">
      <c r="A16" s="34"/>
      <c r="B16" s="23"/>
      <c r="C16" s="2" t="s">
        <v>69</v>
      </c>
      <c r="D16" s="2">
        <f xml:space="preserve"> 0.1</f>
        <v>0.1</v>
      </c>
      <c r="E16" s="2" t="s">
        <v>36</v>
      </c>
      <c r="I16" s="2"/>
    </row>
    <row r="17" spans="1:12" ht="24" customHeight="1" x14ac:dyDescent="0.35">
      <c r="A17" s="34"/>
      <c r="B17" s="23"/>
      <c r="C17" s="2" t="s">
        <v>81</v>
      </c>
      <c r="D17" s="2">
        <v>105</v>
      </c>
      <c r="E17" s="2" t="s">
        <v>82</v>
      </c>
      <c r="I17" s="11">
        <v>5176</v>
      </c>
      <c r="J17" s="1" t="s">
        <v>82</v>
      </c>
    </row>
    <row r="18" spans="1:12" ht="24" customHeight="1" x14ac:dyDescent="0.35">
      <c r="A18" s="34"/>
      <c r="B18" s="9"/>
      <c r="C18" s="2" t="s">
        <v>87</v>
      </c>
      <c r="D18" s="2">
        <v>3.5</v>
      </c>
      <c r="E18" s="2"/>
      <c r="I18" s="1">
        <v>3.5</v>
      </c>
    </row>
    <row r="19" spans="1:12" ht="24" customHeight="1" x14ac:dyDescent="0.35">
      <c r="A19" s="34"/>
      <c r="B19" s="22" t="s">
        <v>76</v>
      </c>
      <c r="C19" s="2" t="s">
        <v>74</v>
      </c>
      <c r="D19" s="2">
        <f>ROUND(1/6*SQRT(3)^(3.5),2)</f>
        <v>1.1399999999999999</v>
      </c>
      <c r="E19" s="2" t="s">
        <v>84</v>
      </c>
    </row>
    <row r="20" spans="1:12" ht="24" customHeight="1" x14ac:dyDescent="0.35">
      <c r="A20" s="34"/>
      <c r="B20" s="22"/>
      <c r="C20" s="5" t="s">
        <v>31</v>
      </c>
      <c r="D20" s="5">
        <v>1</v>
      </c>
      <c r="E20" s="5"/>
    </row>
    <row r="21" spans="1:12" ht="24" customHeight="1" x14ac:dyDescent="0.35">
      <c r="A21" s="34"/>
      <c r="B21" s="23"/>
      <c r="C21" s="2" t="s">
        <v>85</v>
      </c>
      <c r="D21" s="2">
        <v>5</v>
      </c>
      <c r="E21" s="2">
        <v>10</v>
      </c>
      <c r="F21" s="2">
        <v>15</v>
      </c>
      <c r="G21" s="2">
        <v>20</v>
      </c>
    </row>
    <row r="22" spans="1:12" ht="24" customHeight="1" x14ac:dyDescent="0.35">
      <c r="A22" s="34"/>
      <c r="B22" s="23"/>
      <c r="C22" s="2" t="s">
        <v>75</v>
      </c>
      <c r="D22" s="2">
        <v>25</v>
      </c>
      <c r="E22" s="2">
        <v>50</v>
      </c>
      <c r="F22" s="2">
        <v>75</v>
      </c>
      <c r="G22" s="2">
        <v>100</v>
      </c>
    </row>
    <row r="23" spans="1:12" ht="24" customHeight="1" x14ac:dyDescent="0.35">
      <c r="A23" s="34"/>
      <c r="B23" s="23"/>
      <c r="C23" s="2" t="s">
        <v>35</v>
      </c>
      <c r="D23" s="2">
        <v>17.5</v>
      </c>
      <c r="E23" s="2">
        <v>40.25</v>
      </c>
      <c r="F23" s="2">
        <v>63.9</v>
      </c>
      <c r="G23" s="2">
        <v>87.95</v>
      </c>
    </row>
    <row r="24" spans="1:12" ht="24" customHeight="1" x14ac:dyDescent="0.35">
      <c r="A24" s="35"/>
      <c r="B24" s="35"/>
      <c r="C24" s="2" t="s">
        <v>80</v>
      </c>
      <c r="D24" s="2">
        <f xml:space="preserve"> 0.1</f>
        <v>0.1</v>
      </c>
      <c r="E24" s="2">
        <f t="shared" ref="E24:G24" si="0" xml:space="preserve"> 0.1</f>
        <v>0.1</v>
      </c>
      <c r="F24" s="2">
        <f t="shared" si="0"/>
        <v>0.1</v>
      </c>
      <c r="G24" s="2">
        <f t="shared" si="0"/>
        <v>0.1</v>
      </c>
    </row>
    <row r="25" spans="1:12" ht="24" customHeight="1" x14ac:dyDescent="0.35">
      <c r="A25" s="35"/>
      <c r="B25" s="35"/>
      <c r="C25" s="2" t="s">
        <v>79</v>
      </c>
      <c r="D25" s="2">
        <f xml:space="preserve"> D23/$D$24</f>
        <v>175</v>
      </c>
      <c r="E25" s="2">
        <f xml:space="preserve"> E23/D24</f>
        <v>402.5</v>
      </c>
      <c r="F25" s="2">
        <f xml:space="preserve"> F23/D24</f>
        <v>639</v>
      </c>
      <c r="G25" s="2">
        <f xml:space="preserve"> G23/E24</f>
        <v>879.5</v>
      </c>
    </row>
    <row r="28" spans="1:12" ht="24" customHeight="1" x14ac:dyDescent="0.35">
      <c r="C28" s="2" t="s">
        <v>50</v>
      </c>
      <c r="D28" s="2">
        <f xml:space="preserve"> ROUNDUP(D15/$D$25,0)</f>
        <v>1000</v>
      </c>
      <c r="E28" s="2">
        <f xml:space="preserve"> ROUNDUP(D15/E25,0)</f>
        <v>435</v>
      </c>
      <c r="F28" s="2">
        <f>ROUNDUP(D15/F25,0)</f>
        <v>274</v>
      </c>
      <c r="G28" s="2">
        <f>ROUNDUP(D15/G25,0)</f>
        <v>199</v>
      </c>
      <c r="I28" s="2">
        <f>ROUNDUP(D28/100,0)</f>
        <v>10</v>
      </c>
      <c r="J28" s="2">
        <f>ROUNDUP(E28/100,0)</f>
        <v>5</v>
      </c>
      <c r="K28" s="2">
        <f>ROUNDUP(F28/100,0)</f>
        <v>3</v>
      </c>
      <c r="L28" s="2">
        <f>ROUNDUP(G28/100,0)</f>
        <v>2</v>
      </c>
    </row>
    <row r="29" spans="1:12" ht="24" customHeight="1" x14ac:dyDescent="0.35">
      <c r="C29" s="2" t="s">
        <v>83</v>
      </c>
      <c r="D29" s="2">
        <f xml:space="preserve"> D17/D28</f>
        <v>0.105</v>
      </c>
      <c r="E29" s="2">
        <f xml:space="preserve"> D17/E28</f>
        <v>0.2413793103448276</v>
      </c>
      <c r="F29" s="2">
        <f xml:space="preserve"> D17/F28</f>
        <v>0.38321167883211676</v>
      </c>
      <c r="G29" s="2">
        <f xml:space="preserve"> D17/G28</f>
        <v>0.52763819095477382</v>
      </c>
      <c r="I29" s="2">
        <f>5176/I28</f>
        <v>517.6</v>
      </c>
      <c r="J29" s="2">
        <f>5176/J28</f>
        <v>1035.2</v>
      </c>
      <c r="K29" s="2">
        <f>5176/K28</f>
        <v>1725.3333333333333</v>
      </c>
      <c r="L29" s="2">
        <f>5176/L28</f>
        <v>2588</v>
      </c>
    </row>
    <row r="30" spans="1:12" ht="24" customHeight="1" x14ac:dyDescent="0.35">
      <c r="C30" s="2" t="s">
        <v>57</v>
      </c>
      <c r="D30" s="2">
        <f xml:space="preserve"> ROUND(SQRT(2*D29/(3*SQRT(3)))*1000,2)</f>
        <v>201.03</v>
      </c>
      <c r="E30" s="2">
        <f t="shared" ref="E30:G30" si="1" xml:space="preserve"> ROUND(SQRT(2*E29/(3*SQRT(3)))*1000,2)</f>
        <v>304.81</v>
      </c>
      <c r="F30" s="2">
        <f t="shared" si="1"/>
        <v>384.06</v>
      </c>
      <c r="G30" s="2">
        <f t="shared" si="1"/>
        <v>450.65</v>
      </c>
      <c r="I30" s="2">
        <f>ROUND(SQRT(2*I29/(3*SQRT(3))),2)</f>
        <v>14.11</v>
      </c>
      <c r="J30" s="2">
        <f t="shared" ref="J30:L30" si="2">ROUND(SQRT(2*J29/(3*SQRT(3))),2)</f>
        <v>19.96</v>
      </c>
      <c r="K30" s="2">
        <f t="shared" si="2"/>
        <v>25.77</v>
      </c>
      <c r="L30" s="2">
        <f t="shared" si="2"/>
        <v>31.56</v>
      </c>
    </row>
    <row r="31" spans="1:12" ht="24" customHeight="1" x14ac:dyDescent="0.35">
      <c r="C31" s="2" t="s">
        <v>90</v>
      </c>
      <c r="D31" s="2">
        <f xml:space="preserve"> ROUND( 113.18+35.22*LOG10(D30/1000),1)</f>
        <v>88.6</v>
      </c>
      <c r="E31" s="2">
        <f t="shared" ref="E31:G31" si="3" xml:space="preserve"> ROUND( 113.18+35.22*LOG10(E30/1000),1)</f>
        <v>95</v>
      </c>
      <c r="F31" s="2">
        <f t="shared" si="3"/>
        <v>98.5</v>
      </c>
      <c r="G31" s="2">
        <f t="shared" si="3"/>
        <v>101</v>
      </c>
    </row>
    <row r="33" spans="3:12" ht="24" customHeight="1" x14ac:dyDescent="0.35">
      <c r="C33" s="1" t="s">
        <v>93</v>
      </c>
      <c r="I33" s="1">
        <f>100+35.22*LOG10(I30)</f>
        <v>140.48634142442813</v>
      </c>
      <c r="J33" s="1">
        <f t="shared" ref="J33:L33" si="4">100+35.22*LOG10(J30)</f>
        <v>145.79165411142662</v>
      </c>
      <c r="K33" s="1">
        <f t="shared" si="4"/>
        <v>149.69944982136286</v>
      </c>
      <c r="L33" s="1">
        <f t="shared" si="4"/>
        <v>152.79960494760661</v>
      </c>
    </row>
    <row r="35" spans="3:12" ht="24" customHeight="1" x14ac:dyDescent="0.35">
      <c r="C35" s="1">
        <v>150</v>
      </c>
      <c r="D35" s="1">
        <f xml:space="preserve"> 10^((150-113.18)/35.22)</f>
        <v>11.102703285986848</v>
      </c>
      <c r="F35" s="1" t="s">
        <v>58</v>
      </c>
      <c r="I35" s="1" t="s">
        <v>91</v>
      </c>
    </row>
    <row r="36" spans="3:12" ht="24" customHeight="1" x14ac:dyDescent="0.35">
      <c r="I36" s="1" t="s">
        <v>94</v>
      </c>
    </row>
    <row r="38" spans="3:12" ht="24" customHeight="1" x14ac:dyDescent="0.35">
      <c r="J38" s="1">
        <f xml:space="preserve"> 10^((150-100)/35.22)</f>
        <v>26.281365573626552</v>
      </c>
    </row>
    <row r="39" spans="3:12" ht="24" customHeight="1" x14ac:dyDescent="0.35">
      <c r="D39" s="1" t="s">
        <v>99</v>
      </c>
      <c r="E39" s="1" t="s">
        <v>100</v>
      </c>
      <c r="F39" s="1" t="s">
        <v>101</v>
      </c>
    </row>
    <row r="43" spans="3:12" ht="24" customHeight="1" x14ac:dyDescent="0.35">
      <c r="C43" s="1" t="s">
        <v>92</v>
      </c>
      <c r="D43" s="1">
        <v>2.5</v>
      </c>
      <c r="E43" s="1">
        <f>2*D43</f>
        <v>5</v>
      </c>
      <c r="F43" s="1">
        <f>3*D43</f>
        <v>7.5</v>
      </c>
      <c r="G43" s="1">
        <f>4*D43</f>
        <v>10</v>
      </c>
    </row>
    <row r="44" spans="3:12" ht="24" customHeight="1" x14ac:dyDescent="0.35">
      <c r="C44" s="1" t="s">
        <v>97</v>
      </c>
      <c r="D44" s="1">
        <f>D28*50/1000/3</f>
        <v>16.666666666666668</v>
      </c>
      <c r="E44" s="1">
        <f t="shared" ref="E44:H45" si="5">E28*50/1000/3</f>
        <v>7.25</v>
      </c>
      <c r="F44" s="1">
        <f t="shared" si="5"/>
        <v>4.5666666666666664</v>
      </c>
      <c r="G44" s="1">
        <f t="shared" si="5"/>
        <v>3.3166666666666664</v>
      </c>
      <c r="H44" s="1">
        <f t="shared" si="5"/>
        <v>0</v>
      </c>
    </row>
    <row r="45" spans="3:12" ht="24" customHeight="1" x14ac:dyDescent="0.35">
      <c r="C45" s="1" t="s">
        <v>98</v>
      </c>
      <c r="D45" s="1">
        <f>D29*50/1000/3</f>
        <v>1.75E-3</v>
      </c>
      <c r="E45" s="1">
        <f t="shared" si="5"/>
        <v>4.0229885057471264E-3</v>
      </c>
      <c r="F45" s="1">
        <f t="shared" si="5"/>
        <v>6.3868613138686131E-3</v>
      </c>
      <c r="G45" s="1">
        <f t="shared" si="5"/>
        <v>8.7939698492462293E-3</v>
      </c>
      <c r="H45" s="1">
        <f t="shared" si="5"/>
        <v>0</v>
      </c>
    </row>
    <row r="46" spans="3:12" ht="24" customHeight="1" x14ac:dyDescent="0.35">
      <c r="C46" s="1" t="s">
        <v>97</v>
      </c>
      <c r="D46" s="1">
        <f>I28*50/1000/3</f>
        <v>0.16666666666666666</v>
      </c>
      <c r="E46" s="1">
        <f t="shared" ref="E46:G46" si="6">J28*50/1000/3</f>
        <v>8.3333333333333329E-2</v>
      </c>
      <c r="F46" s="1">
        <f t="shared" si="6"/>
        <v>4.9999999999999996E-2</v>
      </c>
      <c r="G46" s="1">
        <f t="shared" si="6"/>
        <v>3.3333333333333333E-2</v>
      </c>
    </row>
    <row r="47" spans="3:12" ht="24" customHeight="1" x14ac:dyDescent="0.35">
      <c r="C47" s="1" t="s">
        <v>98</v>
      </c>
      <c r="D47" s="1">
        <f>I28*10/1000/3</f>
        <v>3.3333333333333333E-2</v>
      </c>
      <c r="E47" s="1">
        <f t="shared" ref="E47:G47" si="7">J28*10/1000/3</f>
        <v>1.6666666666666666E-2</v>
      </c>
      <c r="F47" s="1">
        <f t="shared" si="7"/>
        <v>0.01</v>
      </c>
      <c r="G47" s="1">
        <f t="shared" si="7"/>
        <v>6.6666666666666671E-3</v>
      </c>
    </row>
    <row r="49" spans="3:11" ht="24" customHeight="1" x14ac:dyDescent="0.35">
      <c r="C49" s="1" t="s">
        <v>102</v>
      </c>
      <c r="D49" s="1">
        <f xml:space="preserve"> D43+D44+D46</f>
        <v>19.333333333333336</v>
      </c>
      <c r="E49" s="1">
        <f t="shared" ref="E49:G49" si="8" xml:space="preserve"> E43+E44+E45+E46+E47</f>
        <v>12.354022988505749</v>
      </c>
      <c r="F49" s="1">
        <f t="shared" si="8"/>
        <v>12.133053527980536</v>
      </c>
      <c r="G49" s="1">
        <f t="shared" si="8"/>
        <v>13.365460636515913</v>
      </c>
    </row>
    <row r="50" spans="3:11" ht="24" customHeight="1" x14ac:dyDescent="0.35">
      <c r="C50" s="1" t="s">
        <v>104</v>
      </c>
      <c r="D50" s="1">
        <f xml:space="preserve"> D45+D47</f>
        <v>3.5083333333333334E-2</v>
      </c>
      <c r="E50" s="1">
        <f t="shared" ref="E50:G50" si="9" xml:space="preserve"> E45+E47</f>
        <v>2.0689655172413793E-2</v>
      </c>
      <c r="F50" s="1">
        <f t="shared" si="9"/>
        <v>1.6386861313868614E-2</v>
      </c>
      <c r="G50" s="1">
        <f t="shared" si="9"/>
        <v>1.5460636515912896E-2</v>
      </c>
    </row>
    <row r="53" spans="3:11" ht="24" customHeight="1" x14ac:dyDescent="0.35">
      <c r="D53" s="2" t="s">
        <v>103</v>
      </c>
      <c r="E53" s="2">
        <f>175000*20/1000000 + 1750*20/1000000</f>
        <v>3.5350000000000001</v>
      </c>
    </row>
    <row r="54" spans="3:11" ht="24" customHeight="1" x14ac:dyDescent="0.35">
      <c r="D54" s="2" t="s">
        <v>104</v>
      </c>
      <c r="E54" s="2"/>
    </row>
    <row r="55" spans="3:11" ht="24" customHeight="1" x14ac:dyDescent="0.35">
      <c r="D55" s="2" t="s">
        <v>105</v>
      </c>
      <c r="E55" s="2"/>
    </row>
    <row r="56" spans="3:11" ht="24" customHeight="1" x14ac:dyDescent="0.35">
      <c r="D56" s="2"/>
      <c r="E56" s="2"/>
    </row>
    <row r="57" spans="3:11" ht="24" customHeight="1" x14ac:dyDescent="0.35">
      <c r="D57" s="2"/>
      <c r="E57" s="2"/>
      <c r="F57" s="1" t="s">
        <v>106</v>
      </c>
      <c r="J57" s="1" t="s">
        <v>107</v>
      </c>
      <c r="K57" s="1" t="s">
        <v>108</v>
      </c>
    </row>
    <row r="58" spans="3:11" ht="24" customHeight="1" x14ac:dyDescent="0.35">
      <c r="D58" s="2"/>
      <c r="E58" s="2"/>
      <c r="F58" s="1">
        <v>1</v>
      </c>
      <c r="G58" s="1">
        <f>E53</f>
        <v>3.5350000000000001</v>
      </c>
      <c r="H58" s="1">
        <f>D49</f>
        <v>19.333333333333336</v>
      </c>
      <c r="I58" s="1">
        <f>D50</f>
        <v>3.5083333333333334E-2</v>
      </c>
      <c r="J58" s="12">
        <f>G58-H58-I58</f>
        <v>-15.833416666666668</v>
      </c>
      <c r="K58" s="12">
        <v>-8.6144403892944048</v>
      </c>
    </row>
    <row r="59" spans="3:11" ht="24" customHeight="1" x14ac:dyDescent="0.35">
      <c r="D59" s="2"/>
      <c r="E59" s="2"/>
      <c r="F59" s="1">
        <v>2</v>
      </c>
      <c r="G59" s="1">
        <f>G58</f>
        <v>3.5350000000000001</v>
      </c>
      <c r="H59" s="1">
        <v>0</v>
      </c>
      <c r="I59" s="1">
        <f xml:space="preserve"> I58</f>
        <v>3.5083333333333334E-2</v>
      </c>
      <c r="J59" s="1">
        <f xml:space="preserve"> G59-H59-I59+J58</f>
        <v>-12.333500000000001</v>
      </c>
      <c r="K59" s="1">
        <v>-5.0958272506082736</v>
      </c>
    </row>
    <row r="60" spans="3:11" ht="24" customHeight="1" x14ac:dyDescent="0.35">
      <c r="F60" s="1">
        <v>3</v>
      </c>
      <c r="G60" s="1">
        <f t="shared" ref="G60:G67" si="10">G59</f>
        <v>3.5350000000000001</v>
      </c>
      <c r="H60" s="1">
        <v>0</v>
      </c>
      <c r="I60" s="1">
        <f t="shared" ref="I60:I67" si="11" xml:space="preserve"> I59</f>
        <v>3.5083333333333334E-2</v>
      </c>
      <c r="J60" s="1">
        <f xml:space="preserve"> G60-H60-I60+J59</f>
        <v>-8.8335833333333333</v>
      </c>
      <c r="K60" s="1">
        <v>-1.5772141119221419</v>
      </c>
    </row>
    <row r="61" spans="3:11" ht="24" customHeight="1" x14ac:dyDescent="0.35">
      <c r="F61" s="1">
        <v>4</v>
      </c>
      <c r="G61" s="1">
        <f t="shared" si="10"/>
        <v>3.5350000000000001</v>
      </c>
      <c r="H61" s="1">
        <v>0</v>
      </c>
      <c r="I61" s="1">
        <f t="shared" si="11"/>
        <v>3.5083333333333334E-2</v>
      </c>
      <c r="J61" s="1">
        <f t="shared" ref="J61:J67" si="12" xml:space="preserve"> G61-H61-I61+J60</f>
        <v>-5.3336666666666659</v>
      </c>
      <c r="K61" s="1">
        <v>1.9413990267639898</v>
      </c>
    </row>
    <row r="62" spans="3:11" ht="24" customHeight="1" x14ac:dyDescent="0.35">
      <c r="F62" s="1">
        <v>5</v>
      </c>
      <c r="G62" s="1">
        <f t="shared" si="10"/>
        <v>3.5350000000000001</v>
      </c>
      <c r="H62" s="1">
        <v>0</v>
      </c>
      <c r="I62" s="1">
        <f t="shared" si="11"/>
        <v>3.5083333333333334E-2</v>
      </c>
      <c r="J62" s="1">
        <f t="shared" si="12"/>
        <v>-1.8337499999999989</v>
      </c>
      <c r="K62" s="1">
        <v>5.4600121654501219</v>
      </c>
    </row>
    <row r="63" spans="3:11" ht="24" customHeight="1" x14ac:dyDescent="0.35">
      <c r="F63" s="1">
        <v>6</v>
      </c>
      <c r="G63" s="1">
        <f t="shared" si="10"/>
        <v>3.5350000000000001</v>
      </c>
      <c r="H63" s="1">
        <v>0</v>
      </c>
      <c r="I63" s="1">
        <f t="shared" si="11"/>
        <v>3.5083333333333334E-2</v>
      </c>
      <c r="J63" s="1">
        <f t="shared" si="12"/>
        <v>1.6661666666666681</v>
      </c>
      <c r="K63" s="1">
        <v>8.9786253041362531</v>
      </c>
    </row>
    <row r="64" spans="3:11" ht="24" customHeight="1" x14ac:dyDescent="0.35">
      <c r="F64" s="1">
        <v>7</v>
      </c>
      <c r="G64" s="1">
        <f t="shared" si="10"/>
        <v>3.5350000000000001</v>
      </c>
      <c r="H64" s="1">
        <v>0</v>
      </c>
      <c r="I64" s="1">
        <f t="shared" si="11"/>
        <v>3.5083333333333334E-2</v>
      </c>
      <c r="J64" s="1">
        <f t="shared" si="12"/>
        <v>5.1660833333333347</v>
      </c>
      <c r="K64" s="1">
        <v>12.497238442822384</v>
      </c>
    </row>
    <row r="65" spans="6:11" ht="24" customHeight="1" x14ac:dyDescent="0.35">
      <c r="F65" s="1">
        <v>8</v>
      </c>
      <c r="G65" s="1">
        <f t="shared" si="10"/>
        <v>3.5350000000000001</v>
      </c>
      <c r="H65" s="1">
        <v>0</v>
      </c>
      <c r="I65" s="1">
        <f t="shared" si="11"/>
        <v>3.5083333333333334E-2</v>
      </c>
      <c r="J65" s="1">
        <f t="shared" si="12"/>
        <v>8.6660000000000021</v>
      </c>
      <c r="K65" s="1">
        <v>16.015851581508517</v>
      </c>
    </row>
    <row r="66" spans="6:11" ht="24" customHeight="1" x14ac:dyDescent="0.35">
      <c r="F66" s="1">
        <v>9</v>
      </c>
      <c r="G66" s="1">
        <f t="shared" si="10"/>
        <v>3.5350000000000001</v>
      </c>
      <c r="H66" s="1">
        <v>0</v>
      </c>
      <c r="I66" s="1">
        <f t="shared" si="11"/>
        <v>3.5083333333333334E-2</v>
      </c>
      <c r="J66" s="1">
        <f t="shared" si="12"/>
        <v>12.16591666666667</v>
      </c>
      <c r="K66" s="1">
        <v>19.534464720194649</v>
      </c>
    </row>
    <row r="67" spans="6:11" ht="24" customHeight="1" x14ac:dyDescent="0.35">
      <c r="F67" s="1">
        <v>10</v>
      </c>
      <c r="G67" s="1">
        <f t="shared" si="10"/>
        <v>3.5350000000000001</v>
      </c>
      <c r="H67" s="1">
        <v>0</v>
      </c>
      <c r="I67" s="1">
        <f t="shared" si="11"/>
        <v>3.5083333333333334E-2</v>
      </c>
      <c r="J67" s="1">
        <f t="shared" si="12"/>
        <v>15.665833333333337</v>
      </c>
      <c r="K67" s="1">
        <v>23.05307785888078</v>
      </c>
    </row>
    <row r="69" spans="6:11" ht="24" customHeight="1" x14ac:dyDescent="0.35">
      <c r="F69" s="1">
        <v>1</v>
      </c>
      <c r="G69" s="1">
        <f>G58</f>
        <v>3.5350000000000001</v>
      </c>
      <c r="H69" s="1">
        <f>E49</f>
        <v>12.354022988505749</v>
      </c>
      <c r="I69" s="1">
        <f>E50</f>
        <v>2.0689655172413793E-2</v>
      </c>
      <c r="J69" s="12">
        <f>G69-H69-I69</f>
        <v>-8.8397126436781619</v>
      </c>
    </row>
    <row r="70" spans="6:11" ht="24" customHeight="1" x14ac:dyDescent="0.35">
      <c r="F70" s="1">
        <v>2</v>
      </c>
      <c r="G70" s="1">
        <f>G69</f>
        <v>3.5350000000000001</v>
      </c>
      <c r="H70" s="1">
        <v>0</v>
      </c>
      <c r="I70" s="1">
        <f xml:space="preserve"> I69</f>
        <v>2.0689655172413793E-2</v>
      </c>
      <c r="J70" s="1">
        <f xml:space="preserve"> G70-H70-I70+J69</f>
        <v>-5.3254022988505749</v>
      </c>
    </row>
    <row r="71" spans="6:11" ht="24" customHeight="1" x14ac:dyDescent="0.35">
      <c r="F71" s="1">
        <v>3</v>
      </c>
      <c r="G71" s="1">
        <f t="shared" ref="G71:G78" si="13">G70</f>
        <v>3.5350000000000001</v>
      </c>
      <c r="H71" s="1">
        <v>0</v>
      </c>
      <c r="I71" s="1">
        <f t="shared" ref="I71:I78" si="14" xml:space="preserve"> I70</f>
        <v>2.0689655172413793E-2</v>
      </c>
      <c r="J71" s="1">
        <f xml:space="preserve"> G71-H71-I71+J70</f>
        <v>-1.8110919540229884</v>
      </c>
    </row>
    <row r="72" spans="6:11" ht="24" customHeight="1" x14ac:dyDescent="0.35">
      <c r="F72" s="1">
        <v>4</v>
      </c>
      <c r="G72" s="1">
        <f t="shared" si="13"/>
        <v>3.5350000000000001</v>
      </c>
      <c r="H72" s="1">
        <v>0</v>
      </c>
      <c r="I72" s="1">
        <f t="shared" si="14"/>
        <v>2.0689655172413793E-2</v>
      </c>
      <c r="J72" s="1">
        <f t="shared" ref="J72:J78" si="15" xml:space="preserve"> G72-H72-I72+J71</f>
        <v>1.7032183908045981</v>
      </c>
    </row>
    <row r="73" spans="6:11" ht="24" customHeight="1" x14ac:dyDescent="0.35">
      <c r="F73" s="1">
        <v>5</v>
      </c>
      <c r="G73" s="1">
        <f t="shared" si="13"/>
        <v>3.5350000000000001</v>
      </c>
      <c r="H73" s="1">
        <v>0</v>
      </c>
      <c r="I73" s="1">
        <f t="shared" si="14"/>
        <v>2.0689655172413793E-2</v>
      </c>
      <c r="J73" s="1">
        <f t="shared" si="15"/>
        <v>5.2175287356321842</v>
      </c>
    </row>
    <row r="74" spans="6:11" ht="24" customHeight="1" x14ac:dyDescent="0.35">
      <c r="F74" s="1">
        <v>6</v>
      </c>
      <c r="G74" s="1">
        <f t="shared" si="13"/>
        <v>3.5350000000000001</v>
      </c>
      <c r="H74" s="1">
        <v>0</v>
      </c>
      <c r="I74" s="1">
        <f t="shared" si="14"/>
        <v>2.0689655172413793E-2</v>
      </c>
      <c r="J74" s="1">
        <f t="shared" si="15"/>
        <v>8.7318390804597712</v>
      </c>
    </row>
    <row r="75" spans="6:11" ht="24" customHeight="1" x14ac:dyDescent="0.35">
      <c r="F75" s="1">
        <v>7</v>
      </c>
      <c r="G75" s="1">
        <f t="shared" si="13"/>
        <v>3.5350000000000001</v>
      </c>
      <c r="H75" s="1">
        <v>0</v>
      </c>
      <c r="I75" s="1">
        <f t="shared" si="14"/>
        <v>2.0689655172413793E-2</v>
      </c>
      <c r="J75" s="1">
        <f t="shared" si="15"/>
        <v>12.246149425287358</v>
      </c>
    </row>
    <row r="76" spans="6:11" ht="24" customHeight="1" x14ac:dyDescent="0.35">
      <c r="F76" s="1">
        <v>8</v>
      </c>
      <c r="G76" s="1">
        <f t="shared" si="13"/>
        <v>3.5350000000000001</v>
      </c>
      <c r="H76" s="1">
        <v>0</v>
      </c>
      <c r="I76" s="1">
        <f t="shared" si="14"/>
        <v>2.0689655172413793E-2</v>
      </c>
      <c r="J76" s="1">
        <f t="shared" si="15"/>
        <v>15.760459770114945</v>
      </c>
    </row>
    <row r="77" spans="6:11" ht="24" customHeight="1" x14ac:dyDescent="0.35">
      <c r="F77" s="1">
        <v>9</v>
      </c>
      <c r="G77" s="1">
        <f t="shared" si="13"/>
        <v>3.5350000000000001</v>
      </c>
      <c r="H77" s="1">
        <v>0</v>
      </c>
      <c r="I77" s="1">
        <f t="shared" si="14"/>
        <v>2.0689655172413793E-2</v>
      </c>
      <c r="J77" s="1">
        <f t="shared" si="15"/>
        <v>19.27477011494253</v>
      </c>
    </row>
    <row r="78" spans="6:11" ht="24" customHeight="1" x14ac:dyDescent="0.35">
      <c r="F78" s="1">
        <v>10</v>
      </c>
      <c r="G78" s="1">
        <f t="shared" si="13"/>
        <v>3.5350000000000001</v>
      </c>
      <c r="H78" s="1">
        <v>0</v>
      </c>
      <c r="I78" s="1">
        <f t="shared" si="14"/>
        <v>2.0689655172413793E-2</v>
      </c>
      <c r="J78" s="1">
        <f t="shared" si="15"/>
        <v>22.789080459770116</v>
      </c>
    </row>
    <row r="81" spans="6:10" ht="24" customHeight="1" x14ac:dyDescent="0.35">
      <c r="F81" s="1">
        <v>1</v>
      </c>
      <c r="G81" s="1">
        <f>G70</f>
        <v>3.5350000000000001</v>
      </c>
      <c r="H81" s="1">
        <f>F49</f>
        <v>12.133053527980536</v>
      </c>
      <c r="I81" s="1">
        <f>F50</f>
        <v>1.6386861313868614E-2</v>
      </c>
      <c r="J81" s="12">
        <f>G81-H81-I81</f>
        <v>-8.6144403892944048</v>
      </c>
    </row>
    <row r="82" spans="6:10" ht="24" customHeight="1" x14ac:dyDescent="0.35">
      <c r="F82" s="1">
        <v>2</v>
      </c>
      <c r="G82" s="1">
        <f>G81</f>
        <v>3.5350000000000001</v>
      </c>
      <c r="H82" s="1">
        <v>0</v>
      </c>
      <c r="I82" s="1">
        <f xml:space="preserve"> I81</f>
        <v>1.6386861313868614E-2</v>
      </c>
      <c r="J82" s="1">
        <f xml:space="preserve"> G82-H82-I82+J81</f>
        <v>-5.0958272506082736</v>
      </c>
    </row>
    <row r="83" spans="6:10" ht="24" customHeight="1" x14ac:dyDescent="0.35">
      <c r="F83" s="1">
        <v>3</v>
      </c>
      <c r="G83" s="1">
        <f t="shared" ref="G83:G90" si="16">G82</f>
        <v>3.5350000000000001</v>
      </c>
      <c r="H83" s="1">
        <v>0</v>
      </c>
      <c r="I83" s="1">
        <f t="shared" ref="I83:I90" si="17" xml:space="preserve"> I82</f>
        <v>1.6386861313868614E-2</v>
      </c>
      <c r="J83" s="1">
        <f xml:space="preserve"> G83-H83-I83+J82</f>
        <v>-1.5772141119221419</v>
      </c>
    </row>
    <row r="84" spans="6:10" ht="24" customHeight="1" x14ac:dyDescent="0.35">
      <c r="F84" s="1">
        <v>4</v>
      </c>
      <c r="G84" s="1">
        <f t="shared" si="16"/>
        <v>3.5350000000000001</v>
      </c>
      <c r="H84" s="1">
        <v>0</v>
      </c>
      <c r="I84" s="1">
        <f t="shared" si="17"/>
        <v>1.6386861313868614E-2</v>
      </c>
      <c r="J84" s="1">
        <f t="shared" ref="J84:J90" si="18" xml:space="preserve"> G84-H84-I84+J83</f>
        <v>1.9413990267639898</v>
      </c>
    </row>
    <row r="85" spans="6:10" ht="24" customHeight="1" x14ac:dyDescent="0.35">
      <c r="F85" s="1">
        <v>5</v>
      </c>
      <c r="G85" s="1">
        <f t="shared" si="16"/>
        <v>3.5350000000000001</v>
      </c>
      <c r="H85" s="1">
        <v>0</v>
      </c>
      <c r="I85" s="1">
        <f t="shared" si="17"/>
        <v>1.6386861313868614E-2</v>
      </c>
      <c r="J85" s="1">
        <f t="shared" si="18"/>
        <v>5.4600121654501219</v>
      </c>
    </row>
    <row r="86" spans="6:10" ht="24" customHeight="1" x14ac:dyDescent="0.35">
      <c r="F86" s="1">
        <v>6</v>
      </c>
      <c r="G86" s="1">
        <f t="shared" si="16"/>
        <v>3.5350000000000001</v>
      </c>
      <c r="H86" s="1">
        <v>0</v>
      </c>
      <c r="I86" s="1">
        <f t="shared" si="17"/>
        <v>1.6386861313868614E-2</v>
      </c>
      <c r="J86" s="1">
        <f t="shared" si="18"/>
        <v>8.9786253041362531</v>
      </c>
    </row>
    <row r="87" spans="6:10" ht="24" customHeight="1" x14ac:dyDescent="0.35">
      <c r="F87" s="1">
        <v>7</v>
      </c>
      <c r="G87" s="1">
        <f t="shared" si="16"/>
        <v>3.5350000000000001</v>
      </c>
      <c r="H87" s="1">
        <v>0</v>
      </c>
      <c r="I87" s="1">
        <f t="shared" si="17"/>
        <v>1.6386861313868614E-2</v>
      </c>
      <c r="J87" s="1">
        <f t="shared" si="18"/>
        <v>12.497238442822384</v>
      </c>
    </row>
    <row r="88" spans="6:10" ht="24" customHeight="1" x14ac:dyDescent="0.35">
      <c r="F88" s="1">
        <v>8</v>
      </c>
      <c r="G88" s="1">
        <f t="shared" si="16"/>
        <v>3.5350000000000001</v>
      </c>
      <c r="H88" s="1">
        <v>0</v>
      </c>
      <c r="I88" s="1">
        <f t="shared" si="17"/>
        <v>1.6386861313868614E-2</v>
      </c>
      <c r="J88" s="1">
        <f t="shared" si="18"/>
        <v>16.015851581508517</v>
      </c>
    </row>
    <row r="89" spans="6:10" ht="24" customHeight="1" x14ac:dyDescent="0.35">
      <c r="F89" s="1">
        <v>9</v>
      </c>
      <c r="G89" s="1">
        <f t="shared" si="16"/>
        <v>3.5350000000000001</v>
      </c>
      <c r="H89" s="1">
        <v>0</v>
      </c>
      <c r="I89" s="1">
        <f t="shared" si="17"/>
        <v>1.6386861313868614E-2</v>
      </c>
      <c r="J89" s="1">
        <f t="shared" si="18"/>
        <v>19.534464720194649</v>
      </c>
    </row>
    <row r="90" spans="6:10" ht="24" customHeight="1" x14ac:dyDescent="0.35">
      <c r="F90" s="1">
        <v>10</v>
      </c>
      <c r="G90" s="1">
        <f t="shared" si="16"/>
        <v>3.5350000000000001</v>
      </c>
      <c r="H90" s="1">
        <v>0</v>
      </c>
      <c r="I90" s="1">
        <f t="shared" si="17"/>
        <v>1.6386861313868614E-2</v>
      </c>
      <c r="J90" s="1">
        <f t="shared" si="18"/>
        <v>23.05307785888078</v>
      </c>
    </row>
  </sheetData>
  <mergeCells count="6">
    <mergeCell ref="B2:B8"/>
    <mergeCell ref="B10:B13"/>
    <mergeCell ref="B15:B17"/>
    <mergeCell ref="A2:A13"/>
    <mergeCell ref="B19:B25"/>
    <mergeCell ref="A15:A2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Radio Planning</vt:lpstr>
      <vt:lpstr>Network Dimensioning 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MROUEH</dc:creator>
  <cp:lastModifiedBy>Xiaofan GUO</cp:lastModifiedBy>
  <dcterms:created xsi:type="dcterms:W3CDTF">2024-02-19T09:48:25Z</dcterms:created>
  <dcterms:modified xsi:type="dcterms:W3CDTF">2024-04-03T15:05:07Z</dcterms:modified>
</cp:coreProperties>
</file>