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yifuhe/Downloads/"/>
    </mc:Choice>
  </mc:AlternateContent>
  <xr:revisionPtr revIDLastSave="0" documentId="13_ncr:1_{E63D4EE3-A8A0-194F-9D82-DBFE7FC3EA96}" xr6:coauthVersionLast="45" xr6:coauthVersionMax="45" xr10:uidLastSave="{00000000-0000-0000-0000-000000000000}"/>
  <bookViews>
    <workbookView xWindow="0" yWindow="460" windowWidth="28800" windowHeight="16220" xr2:uid="{00000000-000D-0000-FFFF-FFFF00000000}"/>
  </bookViews>
  <sheets>
    <sheet name="Position Table" sheetId="1" r:id="rId1"/>
    <sheet name="Transaction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2" l="1"/>
  <c r="G21" i="2" s="1"/>
  <c r="H20" i="2"/>
  <c r="G20" i="2"/>
  <c r="H17" i="2"/>
  <c r="G17" i="2" s="1"/>
  <c r="E16" i="2"/>
  <c r="H16" i="2" s="1"/>
  <c r="G16" i="2" s="1"/>
  <c r="H15" i="2"/>
  <c r="G15" i="2" s="1"/>
  <c r="H14" i="2"/>
  <c r="G14" i="2" s="1"/>
  <c r="H12" i="2"/>
  <c r="G12" i="2" s="1"/>
  <c r="H11" i="2"/>
  <c r="G11" i="2" s="1"/>
  <c r="H10" i="2"/>
  <c r="G10" i="2" s="1"/>
  <c r="H9" i="2"/>
  <c r="G9" i="2" s="1"/>
  <c r="E30" i="1" s="1"/>
  <c r="G7" i="2"/>
  <c r="G6" i="2"/>
  <c r="G5" i="2"/>
  <c r="E8" i="1" s="1"/>
  <c r="E130" i="1"/>
  <c r="I127" i="1"/>
  <c r="I126" i="1"/>
  <c r="I125" i="1"/>
  <c r="E120" i="1"/>
  <c r="I117" i="1"/>
  <c r="I116" i="1"/>
  <c r="I115" i="1"/>
  <c r="E110" i="1"/>
  <c r="I107" i="1"/>
  <c r="I106" i="1"/>
  <c r="I105" i="1"/>
  <c r="E100" i="1"/>
  <c r="I97" i="1"/>
  <c r="I96" i="1"/>
  <c r="I95" i="1"/>
  <c r="I87" i="1"/>
  <c r="I86" i="1"/>
  <c r="I85" i="1"/>
  <c r="I77" i="1"/>
  <c r="I69" i="1"/>
  <c r="I61" i="1"/>
  <c r="I60" i="1"/>
  <c r="I59" i="1"/>
  <c r="I58" i="1"/>
  <c r="E53" i="1"/>
  <c r="I50" i="1"/>
  <c r="I49" i="1"/>
  <c r="E49" i="1"/>
  <c r="I48" i="1"/>
  <c r="I47" i="1"/>
  <c r="I39" i="1"/>
  <c r="E39" i="1"/>
  <c r="I38" i="1"/>
  <c r="I37" i="1"/>
  <c r="E37" i="1"/>
  <c r="I36" i="1"/>
  <c r="I35" i="1"/>
  <c r="I27" i="1"/>
  <c r="I26" i="1"/>
  <c r="I25" i="1"/>
  <c r="I24" i="1"/>
  <c r="I23" i="1"/>
  <c r="I15" i="1"/>
  <c r="I14" i="1"/>
  <c r="I13" i="1"/>
  <c r="I3" i="1"/>
  <c r="E64" i="1" l="1"/>
  <c r="E90" i="1"/>
  <c r="H6" i="1"/>
  <c r="H16" i="1" s="1"/>
  <c r="H8" i="1"/>
  <c r="E42" i="1"/>
  <c r="H18" i="1" l="1"/>
  <c r="I18" i="1" s="1"/>
  <c r="H28" i="1"/>
  <c r="H30" i="1" l="1"/>
  <c r="H40" i="1"/>
  <c r="H51" i="1" l="1"/>
  <c r="H42" i="1"/>
  <c r="I42" i="1" s="1"/>
  <c r="N3" i="1"/>
  <c r="I30" i="1"/>
  <c r="H62" i="1" l="1"/>
  <c r="H53" i="1"/>
  <c r="I53" i="1" s="1"/>
  <c r="H64" i="1" l="1"/>
  <c r="I64" i="1" s="1"/>
  <c r="H70" i="1"/>
  <c r="H72" i="1" l="1"/>
  <c r="I72" i="1" s="1"/>
  <c r="H78" i="1"/>
  <c r="H80" i="1" l="1"/>
  <c r="I80" i="1" s="1"/>
  <c r="H88" i="1"/>
  <c r="H98" i="1" l="1"/>
  <c r="H90" i="1"/>
  <c r="I90" i="1" s="1"/>
  <c r="H108" i="1" l="1"/>
  <c r="H100" i="1"/>
  <c r="I100" i="1" s="1"/>
  <c r="H110" i="1" l="1"/>
  <c r="I110" i="1" s="1"/>
  <c r="H118" i="1"/>
  <c r="H120" i="1" l="1"/>
  <c r="I120" i="1" s="1"/>
  <c r="H128" i="1"/>
  <c r="H130" i="1" s="1"/>
  <c r="I130" i="1" s="1"/>
</calcChain>
</file>

<file path=xl/sharedStrings.xml><?xml version="1.0" encoding="utf-8"?>
<sst xmlns="http://schemas.openxmlformats.org/spreadsheetml/2006/main" count="385" uniqueCount="52">
  <si>
    <t>Group 1</t>
  </si>
  <si>
    <t>Position Table</t>
  </si>
  <si>
    <t>Date</t>
  </si>
  <si>
    <t>Stock Symbol</t>
  </si>
  <si>
    <t>Stock Name</t>
  </si>
  <si>
    <t>Position</t>
  </si>
  <si>
    <t>Transaction Table</t>
  </si>
  <si>
    <t>Shares</t>
  </si>
  <si>
    <t>Cost per share</t>
  </si>
  <si>
    <t>Previous market value per share</t>
  </si>
  <si>
    <t>market value per share</t>
  </si>
  <si>
    <t>return</t>
  </si>
  <si>
    <t>T-bill return toady</t>
  </si>
  <si>
    <t>Initial Portfolio</t>
  </si>
  <si>
    <t>Price</t>
  </si>
  <si>
    <t>Transaction Fees</t>
  </si>
  <si>
    <t>Total Value</t>
  </si>
  <si>
    <t>transaction fee</t>
  </si>
  <si>
    <t>AAPL</t>
  </si>
  <si>
    <t>Apple Inc.</t>
  </si>
  <si>
    <t>long</t>
  </si>
  <si>
    <t>Na</t>
  </si>
  <si>
    <t>total return</t>
  </si>
  <si>
    <t>BA</t>
  </si>
  <si>
    <t>Boeing Co</t>
  </si>
  <si>
    <t>INTC</t>
  </si>
  <si>
    <t>Intel Corporation</t>
  </si>
  <si>
    <t>T-bill</t>
  </si>
  <si>
    <t>transaction cost this week</t>
  </si>
  <si>
    <t>total market value</t>
  </si>
  <si>
    <t>weekly return</t>
  </si>
  <si>
    <t>MMM</t>
  </si>
  <si>
    <t>3M</t>
  </si>
  <si>
    <t>portfolio</t>
  </si>
  <si>
    <t>short</t>
  </si>
  <si>
    <t>IBM</t>
  </si>
  <si>
    <t>first week cant calculate return</t>
  </si>
  <si>
    <t>T-bill return today</t>
  </si>
  <si>
    <t>W/L</t>
  </si>
  <si>
    <t>1/24-1/31</t>
  </si>
  <si>
    <t>L</t>
  </si>
  <si>
    <t>1/31-2/7</t>
  </si>
  <si>
    <t>W</t>
  </si>
  <si>
    <t>2/7-2/14</t>
  </si>
  <si>
    <t>2/14-2/21</t>
  </si>
  <si>
    <t>2/21-2/28</t>
  </si>
  <si>
    <t>2/28-3/6</t>
  </si>
  <si>
    <t>WMT</t>
  </si>
  <si>
    <t>Walmart</t>
  </si>
  <si>
    <t>VZ</t>
  </si>
  <si>
    <t>Verizon</t>
  </si>
  <si>
    <t>(close)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</si>
</sst>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"/>
  </numFmts>
  <fonts count="8">
    <font>
      <sz val="10"/>
      <color rgb="FF000000"/>
      <name val="Arial"/>
    </font>
    <font>
      <sz val="11"/>
      <color rgb="FF000000"/>
      <name val="Calibri"/>
    </font>
    <font>
      <sz val="28"/>
      <color rgb="FF000000"/>
      <name val="Calibri"/>
    </font>
    <font>
      <sz val="10"/>
      <color theme="1"/>
      <name val="Arial"/>
    </font>
    <font>
      <sz val="11"/>
      <color rgb="FFFF0000"/>
      <name val="Calibri"/>
    </font>
    <font>
      <sz val="10"/>
      <name val="Arial"/>
    </font>
    <font>
      <sz val="11"/>
      <color rgb="FF000000"/>
      <name val="Docs-Calibri"/>
    </font>
    <font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3" fillId="0" borderId="0" xfId="0" applyFont="1" applyAlignment="1"/>
    <xf numFmtId="164" fontId="1" fillId="0" borderId="3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0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9" fontId="1" fillId="0" borderId="0" xfId="0" applyNumberFormat="1" applyFont="1" applyAlignment="1">
      <alignment horizontal="left"/>
    </xf>
    <xf numFmtId="10" fontId="3" fillId="0" borderId="0" xfId="0" applyNumberFormat="1" applyFont="1" applyAlignment="1"/>
    <xf numFmtId="0" fontId="3" fillId="0" borderId="0" xfId="0" applyFont="1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64" fontId="1" fillId="0" borderId="6" xfId="0" applyNumberFormat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164" fontId="1" fillId="0" borderId="5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164" fontId="3" fillId="0" borderId="5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/>
    <xf numFmtId="0" fontId="1" fillId="3" borderId="0" xfId="0" applyFont="1" applyFill="1" applyAlignment="1">
      <alignment horizontal="left"/>
    </xf>
    <xf numFmtId="0" fontId="3" fillId="0" borderId="5" xfId="0" applyFont="1" applyBorder="1"/>
    <xf numFmtId="164" fontId="5" fillId="0" borderId="5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5" fillId="0" borderId="5" xfId="0" applyFont="1" applyBorder="1"/>
  </cellXfs>
  <cellStyles count="1">
    <cellStyle name="Normal" xfId="0" builtinId="0"/>
  </cellStyles>
  <dxfs count="3">
    <dxf>
      <font>
        <color rgb="FF00FF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FF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30"/>
  <sheetViews>
    <sheetView tabSelected="1" workbookViewId="0">
      <selection sqref="A1:I1"/>
    </sheetView>
  </sheetViews>
  <sheetFormatPr baseColWidth="10" defaultColWidth="14.5" defaultRowHeight="15.75" customHeight="1"/>
  <cols>
    <col min="1" max="1" width="12.83203125" customWidth="1"/>
    <col min="2" max="2" width="12.1640625" customWidth="1"/>
    <col min="3" max="3" width="15.33203125" customWidth="1"/>
    <col min="4" max="4" width="11.1640625" customWidth="1"/>
    <col min="5" max="5" width="10.1640625" customWidth="1"/>
    <col min="6" max="6" width="13" customWidth="1"/>
    <col min="7" max="7" width="27.6640625" customWidth="1"/>
    <col min="8" max="8" width="20.1640625" customWidth="1"/>
    <col min="9" max="9" width="28.83203125" customWidth="1"/>
    <col min="10" max="10" width="16.5" customWidth="1"/>
    <col min="12" max="12" width="19.5" customWidth="1"/>
    <col min="13" max="13" width="20.6640625" hidden="1" customWidth="1"/>
  </cols>
  <sheetData>
    <row r="1" spans="1:14" ht="15.75" customHeight="1">
      <c r="A1" s="37" t="s">
        <v>1</v>
      </c>
      <c r="B1" s="38"/>
      <c r="C1" s="38"/>
      <c r="D1" s="38"/>
      <c r="E1" s="38"/>
      <c r="F1" s="38"/>
      <c r="G1" s="38"/>
      <c r="H1" s="38"/>
      <c r="I1" s="38"/>
    </row>
    <row r="2" spans="1:14">
      <c r="A2" s="3" t="s">
        <v>2</v>
      </c>
      <c r="B2" s="4" t="s">
        <v>3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5" t="s">
        <v>12</v>
      </c>
      <c r="M2" s="5" t="s">
        <v>13</v>
      </c>
      <c r="N2" s="5">
        <v>1000000</v>
      </c>
    </row>
    <row r="3" spans="1:14">
      <c r="A3" s="6">
        <v>43854</v>
      </c>
      <c r="B3" s="7" t="s">
        <v>18</v>
      </c>
      <c r="C3" s="7" t="s">
        <v>19</v>
      </c>
      <c r="D3" s="7" t="s">
        <v>20</v>
      </c>
      <c r="E3" s="7">
        <v>942</v>
      </c>
      <c r="F3" s="7">
        <v>318.31</v>
      </c>
      <c r="G3" s="7" t="s">
        <v>21</v>
      </c>
      <c r="H3" s="7">
        <v>318.31</v>
      </c>
      <c r="I3" s="10">
        <f>(H3-F3)/100</f>
        <v>0</v>
      </c>
      <c r="J3" s="11">
        <v>1.5100000000000001E-2</v>
      </c>
      <c r="M3" s="5" t="s">
        <v>22</v>
      </c>
      <c r="N3" s="12">
        <f>(H30-N2)/N2</f>
        <v>5.3098502993354337E-3</v>
      </c>
    </row>
    <row r="4" spans="1:14">
      <c r="A4" s="13"/>
      <c r="B4" s="7" t="s">
        <v>23</v>
      </c>
      <c r="C4" s="7" t="s">
        <v>24</v>
      </c>
      <c r="D4" s="7" t="s">
        <v>20</v>
      </c>
      <c r="E4" s="7">
        <v>1238</v>
      </c>
      <c r="F4" s="7">
        <v>323.05</v>
      </c>
      <c r="G4" s="7" t="s">
        <v>21</v>
      </c>
      <c r="H4" s="7">
        <v>323.05</v>
      </c>
      <c r="I4" s="10">
        <v>0</v>
      </c>
    </row>
    <row r="5" spans="1:14">
      <c r="A5" s="13"/>
      <c r="B5" s="7" t="s">
        <v>25</v>
      </c>
      <c r="C5" s="7" t="s">
        <v>26</v>
      </c>
      <c r="D5" s="7" t="s">
        <v>20</v>
      </c>
      <c r="E5" s="7">
        <v>4281</v>
      </c>
      <c r="F5" s="7">
        <v>68.47</v>
      </c>
      <c r="G5" s="7" t="s">
        <v>21</v>
      </c>
      <c r="H5" s="7">
        <v>68.47</v>
      </c>
      <c r="I5" s="10">
        <v>0</v>
      </c>
    </row>
    <row r="6" spans="1:14">
      <c r="A6" s="14"/>
      <c r="B6" s="15" t="s">
        <v>27</v>
      </c>
      <c r="C6" s="17"/>
      <c r="D6" s="17"/>
      <c r="E6" s="17"/>
      <c r="F6" s="17"/>
      <c r="G6" s="15"/>
      <c r="H6" s="15">
        <f>N2-F3*E3-F4*E4-F5*E5-E8</f>
        <v>5110.2020199999515</v>
      </c>
      <c r="I6" s="19"/>
    </row>
    <row r="7" spans="1:14">
      <c r="A7" s="13"/>
      <c r="B7" s="19"/>
      <c r="C7" s="4"/>
      <c r="D7" s="4"/>
      <c r="E7" s="39" t="s">
        <v>28</v>
      </c>
      <c r="F7" s="38"/>
      <c r="G7" s="7"/>
      <c r="H7" s="7" t="s">
        <v>29</v>
      </c>
      <c r="I7" s="4" t="s">
        <v>30</v>
      </c>
    </row>
    <row r="8" spans="1:14">
      <c r="A8" s="14"/>
      <c r="B8" s="15" t="s">
        <v>33</v>
      </c>
      <c r="C8" s="21"/>
      <c r="D8" s="21"/>
      <c r="E8" s="40">
        <f>SUM('Transaction Table'!G5:G7)</f>
        <v>1985.80798</v>
      </c>
      <c r="F8" s="41"/>
      <c r="G8" s="17"/>
      <c r="H8" s="17">
        <f>N2-E8</f>
        <v>998014.19201999996</v>
      </c>
      <c r="I8" s="17"/>
    </row>
    <row r="9" spans="1:14">
      <c r="A9" s="23"/>
      <c r="B9" s="7"/>
      <c r="C9" s="7"/>
      <c r="D9" s="7"/>
      <c r="E9" s="7"/>
      <c r="F9" s="7"/>
      <c r="G9" s="7"/>
      <c r="H9" s="7"/>
      <c r="I9" s="5" t="s">
        <v>36</v>
      </c>
    </row>
    <row r="10" spans="1:14">
      <c r="A10" s="23"/>
      <c r="B10" s="7"/>
      <c r="C10" s="7"/>
      <c r="D10" s="7"/>
      <c r="E10" s="7"/>
      <c r="F10" s="7"/>
      <c r="G10" s="7"/>
      <c r="H10" s="7"/>
      <c r="I10" s="7"/>
    </row>
    <row r="11" spans="1:14">
      <c r="A11" s="23"/>
      <c r="B11" s="7"/>
      <c r="C11" s="7"/>
      <c r="D11" s="7"/>
      <c r="E11" s="7"/>
      <c r="F11" s="7"/>
      <c r="G11" s="7"/>
      <c r="H11" s="7"/>
      <c r="I11" s="7"/>
    </row>
    <row r="12" spans="1:14">
      <c r="A12" s="3" t="s">
        <v>2</v>
      </c>
      <c r="B12" s="4" t="s">
        <v>3</v>
      </c>
      <c r="C12" s="4" t="s">
        <v>4</v>
      </c>
      <c r="D12" s="4" t="s">
        <v>5</v>
      </c>
      <c r="E12" s="4" t="s">
        <v>7</v>
      </c>
      <c r="F12" s="4" t="s">
        <v>8</v>
      </c>
      <c r="G12" s="24" t="s">
        <v>9</v>
      </c>
      <c r="H12" s="4" t="s">
        <v>10</v>
      </c>
      <c r="I12" s="4" t="s">
        <v>11</v>
      </c>
      <c r="J12" s="5" t="s">
        <v>37</v>
      </c>
    </row>
    <row r="13" spans="1:14">
      <c r="A13" s="6">
        <v>43861</v>
      </c>
      <c r="B13" s="7" t="s">
        <v>18</v>
      </c>
      <c r="C13" s="7" t="s">
        <v>19</v>
      </c>
      <c r="D13" s="7" t="s">
        <v>20</v>
      </c>
      <c r="E13" s="7">
        <v>942</v>
      </c>
      <c r="F13" s="7">
        <v>318.31</v>
      </c>
      <c r="G13" s="7">
        <v>318.31</v>
      </c>
      <c r="H13" s="7">
        <v>309.51</v>
      </c>
      <c r="I13" s="19">
        <f t="shared" ref="I13:I15" si="0">(H13-G13)/G13</f>
        <v>-2.7646005466369299E-2</v>
      </c>
      <c r="J13" s="11">
        <v>1.5299999999999999E-2</v>
      </c>
    </row>
    <row r="14" spans="1:14">
      <c r="A14" s="13"/>
      <c r="B14" s="7" t="s">
        <v>23</v>
      </c>
      <c r="C14" s="7" t="s">
        <v>24</v>
      </c>
      <c r="D14" s="7" t="s">
        <v>20</v>
      </c>
      <c r="E14" s="7">
        <v>1238</v>
      </c>
      <c r="F14" s="7">
        <v>323.05</v>
      </c>
      <c r="G14" s="7">
        <v>323.05</v>
      </c>
      <c r="H14" s="7">
        <v>318.27</v>
      </c>
      <c r="I14" s="19">
        <f t="shared" si="0"/>
        <v>-1.4796471134499395E-2</v>
      </c>
      <c r="M14" s="5" t="s">
        <v>2</v>
      </c>
      <c r="N14" s="5" t="s">
        <v>38</v>
      </c>
    </row>
    <row r="15" spans="1:14">
      <c r="A15" s="13"/>
      <c r="B15" s="7" t="s">
        <v>25</v>
      </c>
      <c r="C15" s="7" t="s">
        <v>26</v>
      </c>
      <c r="D15" s="7" t="s">
        <v>20</v>
      </c>
      <c r="E15" s="7">
        <v>4281</v>
      </c>
      <c r="F15" s="7">
        <v>68.47</v>
      </c>
      <c r="G15" s="7">
        <v>68.47</v>
      </c>
      <c r="H15" s="7">
        <v>63.93</v>
      </c>
      <c r="I15" s="19">
        <f t="shared" si="0"/>
        <v>-6.6306411567109674E-2</v>
      </c>
      <c r="M15" s="5" t="s">
        <v>39</v>
      </c>
      <c r="N15" s="5" t="s">
        <v>40</v>
      </c>
    </row>
    <row r="16" spans="1:14">
      <c r="A16" s="14"/>
      <c r="B16" s="15" t="s">
        <v>27</v>
      </c>
      <c r="C16" s="17"/>
      <c r="D16" s="17"/>
      <c r="E16" s="17"/>
      <c r="F16" s="17"/>
      <c r="G16" s="15"/>
      <c r="H16" s="15">
        <f>H6*(1+(J3/52))-E18</f>
        <v>5111.6859440480666</v>
      </c>
      <c r="I16" s="19"/>
      <c r="M16" s="5" t="s">
        <v>41</v>
      </c>
      <c r="N16" s="5" t="s">
        <v>42</v>
      </c>
    </row>
    <row r="17" spans="1:14">
      <c r="A17" s="13"/>
      <c r="B17" s="19"/>
      <c r="C17" s="4"/>
      <c r="D17" s="4"/>
      <c r="E17" s="39" t="s">
        <v>28</v>
      </c>
      <c r="F17" s="38"/>
      <c r="G17" s="7"/>
      <c r="H17" s="7" t="s">
        <v>29</v>
      </c>
      <c r="I17" s="4" t="s">
        <v>30</v>
      </c>
      <c r="M17" s="5" t="s">
        <v>43</v>
      </c>
      <c r="N17" s="5" t="s">
        <v>42</v>
      </c>
    </row>
    <row r="18" spans="1:14">
      <c r="A18" s="14"/>
      <c r="B18" s="15" t="s">
        <v>33</v>
      </c>
      <c r="C18" s="21"/>
      <c r="D18" s="21"/>
      <c r="E18" s="40">
        <v>0</v>
      </c>
      <c r="F18" s="41"/>
      <c r="G18" s="17"/>
      <c r="H18" s="17">
        <f>H13*E13+H14*E14+H15*E15+H16</f>
        <v>964372.69594404812</v>
      </c>
      <c r="I18" s="17">
        <f>(H18-H8)/H8</f>
        <v>-3.3708434554283045E-2</v>
      </c>
      <c r="M18" s="5" t="s">
        <v>44</v>
      </c>
      <c r="N18" s="5" t="s">
        <v>40</v>
      </c>
    </row>
    <row r="19" spans="1:14" ht="15.75" customHeight="1">
      <c r="M19" s="5" t="s">
        <v>45</v>
      </c>
      <c r="N19" s="5" t="s">
        <v>40</v>
      </c>
    </row>
    <row r="20" spans="1:14" ht="15.75" customHeight="1">
      <c r="M20" s="5" t="s">
        <v>46</v>
      </c>
      <c r="N20" s="5" t="s">
        <v>42</v>
      </c>
    </row>
    <row r="22" spans="1:14">
      <c r="A22" s="3" t="s">
        <v>2</v>
      </c>
      <c r="B22" s="4" t="s">
        <v>3</v>
      </c>
      <c r="C22" s="4" t="s">
        <v>4</v>
      </c>
      <c r="D22" s="4" t="s">
        <v>5</v>
      </c>
      <c r="E22" s="4" t="s">
        <v>7</v>
      </c>
      <c r="F22" s="4" t="s">
        <v>8</v>
      </c>
      <c r="G22" s="24" t="s">
        <v>9</v>
      </c>
      <c r="H22" s="4" t="s">
        <v>10</v>
      </c>
      <c r="I22" s="4" t="s">
        <v>11</v>
      </c>
      <c r="J22" s="5" t="s">
        <v>37</v>
      </c>
    </row>
    <row r="23" spans="1:14">
      <c r="A23" s="6">
        <v>43868</v>
      </c>
      <c r="B23" s="7" t="s">
        <v>18</v>
      </c>
      <c r="C23" s="7" t="s">
        <v>19</v>
      </c>
      <c r="D23" s="7" t="s">
        <v>20</v>
      </c>
      <c r="E23" s="7">
        <v>942</v>
      </c>
      <c r="F23" s="7">
        <v>318.31</v>
      </c>
      <c r="G23" s="7">
        <v>309.51</v>
      </c>
      <c r="H23" s="7">
        <v>320.02999999999997</v>
      </c>
      <c r="I23" s="19">
        <f t="shared" ref="I23:I25" si="1">(H23-G23)/G23</f>
        <v>3.3989208749313375E-2</v>
      </c>
      <c r="J23" s="11">
        <v>1.54E-2</v>
      </c>
    </row>
    <row r="24" spans="1:14">
      <c r="A24" s="13"/>
      <c r="B24" s="7" t="s">
        <v>23</v>
      </c>
      <c r="C24" s="7" t="s">
        <v>24</v>
      </c>
      <c r="D24" s="7" t="s">
        <v>20</v>
      </c>
      <c r="E24" s="7">
        <v>1238</v>
      </c>
      <c r="F24" s="7">
        <v>323.05</v>
      </c>
      <c r="G24" s="7">
        <v>318.27</v>
      </c>
      <c r="H24" s="7">
        <v>336.75</v>
      </c>
      <c r="I24" s="19">
        <f t="shared" si="1"/>
        <v>5.8063908002639331E-2</v>
      </c>
    </row>
    <row r="25" spans="1:14">
      <c r="A25" s="13"/>
      <c r="B25" s="7" t="s">
        <v>25</v>
      </c>
      <c r="C25" s="7" t="s">
        <v>26</v>
      </c>
      <c r="D25" s="7" t="s">
        <v>20</v>
      </c>
      <c r="E25" s="7">
        <v>4281</v>
      </c>
      <c r="F25" s="7">
        <v>68.47</v>
      </c>
      <c r="G25" s="7">
        <v>63.93</v>
      </c>
      <c r="H25" s="7">
        <v>66.02</v>
      </c>
      <c r="I25" s="19">
        <f t="shared" si="1"/>
        <v>3.2692006882527706E-2</v>
      </c>
    </row>
    <row r="26" spans="1:14">
      <c r="A26" s="13"/>
      <c r="B26" s="7" t="s">
        <v>35</v>
      </c>
      <c r="C26" s="7" t="s">
        <v>35</v>
      </c>
      <c r="D26" s="7" t="s">
        <v>20</v>
      </c>
      <c r="E26" s="7">
        <v>651</v>
      </c>
      <c r="F26" s="7">
        <v>153.41</v>
      </c>
      <c r="G26" s="7" t="s">
        <v>21</v>
      </c>
      <c r="H26" s="7">
        <v>153.41</v>
      </c>
      <c r="I26" s="19">
        <f t="shared" ref="I26:I27" si="2">(H26-F26)/F26</f>
        <v>0</v>
      </c>
    </row>
    <row r="27" spans="1:14">
      <c r="A27" s="13"/>
      <c r="B27" s="7" t="s">
        <v>31</v>
      </c>
      <c r="C27" s="7" t="s">
        <v>32</v>
      </c>
      <c r="D27" s="33" t="s">
        <v>34</v>
      </c>
      <c r="E27" s="33">
        <v>1874</v>
      </c>
      <c r="F27" s="7">
        <v>160.08000000000001</v>
      </c>
      <c r="G27" s="7" t="s">
        <v>21</v>
      </c>
      <c r="H27" s="7">
        <v>160.08000000000001</v>
      </c>
      <c r="I27" s="19">
        <f t="shared" si="2"/>
        <v>0</v>
      </c>
    </row>
    <row r="28" spans="1:14">
      <c r="A28" s="14"/>
      <c r="B28" s="15" t="s">
        <v>27</v>
      </c>
      <c r="C28" s="17"/>
      <c r="D28" s="17"/>
      <c r="E28" s="17"/>
      <c r="F28" s="17"/>
      <c r="G28" s="15"/>
      <c r="H28" s="15">
        <f>H16*(1+(J13/52))+E27*F27-E26*F26-E30</f>
        <v>204433.48029933547</v>
      </c>
      <c r="I28" s="19"/>
    </row>
    <row r="29" spans="1:14">
      <c r="A29" s="13"/>
      <c r="B29" s="19"/>
      <c r="C29" s="4"/>
      <c r="D29" s="4"/>
      <c r="E29" s="39" t="s">
        <v>28</v>
      </c>
      <c r="F29" s="38"/>
      <c r="G29" s="7"/>
      <c r="H29" s="7" t="s">
        <v>29</v>
      </c>
      <c r="I29" s="4" t="s">
        <v>30</v>
      </c>
    </row>
    <row r="30" spans="1:14">
      <c r="A30" s="14"/>
      <c r="B30" s="15" t="s">
        <v>33</v>
      </c>
      <c r="C30" s="21"/>
      <c r="D30" s="21"/>
      <c r="E30" s="40">
        <f>SUM('Transaction Table'!G9:G10)</f>
        <v>799.71966000000009</v>
      </c>
      <c r="F30" s="41"/>
      <c r="G30" s="17"/>
      <c r="H30" s="17">
        <f>H23*E23+H24*E24+H25*E25+H26*E26-H27*E27+H28</f>
        <v>1005309.8502993354</v>
      </c>
      <c r="I30" s="17">
        <f>(H30-H18)/H18</f>
        <v>4.2449516175085127E-2</v>
      </c>
    </row>
    <row r="34" spans="1:10">
      <c r="A34" s="3" t="s">
        <v>2</v>
      </c>
      <c r="B34" s="4" t="s">
        <v>3</v>
      </c>
      <c r="C34" s="4" t="s">
        <v>4</v>
      </c>
      <c r="D34" s="4" t="s">
        <v>5</v>
      </c>
      <c r="E34" s="4" t="s">
        <v>7</v>
      </c>
      <c r="F34" s="4" t="s">
        <v>8</v>
      </c>
      <c r="G34" s="24" t="s">
        <v>9</v>
      </c>
      <c r="H34" s="4" t="s">
        <v>10</v>
      </c>
      <c r="I34" s="4" t="s">
        <v>11</v>
      </c>
    </row>
    <row r="35" spans="1:10">
      <c r="A35" s="6">
        <v>43875</v>
      </c>
      <c r="B35" s="7" t="s">
        <v>18</v>
      </c>
      <c r="C35" s="7" t="s">
        <v>19</v>
      </c>
      <c r="D35" s="7" t="s">
        <v>20</v>
      </c>
      <c r="E35" s="7">
        <v>942</v>
      </c>
      <c r="F35" s="7">
        <v>318.31</v>
      </c>
      <c r="G35" s="7">
        <v>320.02999999999997</v>
      </c>
      <c r="H35" s="7">
        <v>324.95</v>
      </c>
      <c r="I35" s="19">
        <f t="shared" ref="I35:I38" si="3">(H35-G35)/G35</f>
        <v>1.5373558728869219E-2</v>
      </c>
    </row>
    <row r="36" spans="1:10">
      <c r="A36" s="13"/>
      <c r="B36" s="7" t="s">
        <v>23</v>
      </c>
      <c r="C36" s="7" t="s">
        <v>24</v>
      </c>
      <c r="D36" s="7" t="s">
        <v>20</v>
      </c>
      <c r="E36" s="7">
        <v>1238</v>
      </c>
      <c r="F36" s="7">
        <v>323.05</v>
      </c>
      <c r="G36" s="7">
        <v>336.75</v>
      </c>
      <c r="H36" s="7">
        <v>340.49</v>
      </c>
      <c r="I36" s="19">
        <f t="shared" si="3"/>
        <v>1.110616184112846E-2</v>
      </c>
    </row>
    <row r="37" spans="1:10">
      <c r="A37" s="13"/>
      <c r="B37" s="7" t="s">
        <v>25</v>
      </c>
      <c r="C37" s="7" t="s">
        <v>26</v>
      </c>
      <c r="D37" s="7" t="s">
        <v>20</v>
      </c>
      <c r="E37" s="7">
        <f>4281-'Transaction Table'!E12</f>
        <v>2781</v>
      </c>
      <c r="F37" s="7">
        <v>68.47</v>
      </c>
      <c r="G37" s="7">
        <v>66.02</v>
      </c>
      <c r="H37" s="7">
        <v>67.27</v>
      </c>
      <c r="I37" s="19">
        <f t="shared" si="3"/>
        <v>1.8933656467737051E-2</v>
      </c>
    </row>
    <row r="38" spans="1:10">
      <c r="A38" s="13"/>
      <c r="B38" s="7" t="s">
        <v>35</v>
      </c>
      <c r="C38" s="7" t="s">
        <v>35</v>
      </c>
      <c r="D38" s="7" t="s">
        <v>20</v>
      </c>
      <c r="E38" s="7">
        <v>651</v>
      </c>
      <c r="F38" s="7">
        <v>153.41</v>
      </c>
      <c r="G38" s="7">
        <v>153.41</v>
      </c>
      <c r="H38" s="7">
        <v>150.69999999999999</v>
      </c>
      <c r="I38" s="19">
        <f t="shared" si="3"/>
        <v>-1.76650805032267E-2</v>
      </c>
    </row>
    <row r="39" spans="1:10">
      <c r="A39" s="13"/>
      <c r="B39" s="7" t="s">
        <v>31</v>
      </c>
      <c r="C39" s="7" t="s">
        <v>32</v>
      </c>
      <c r="D39" s="33" t="s">
        <v>34</v>
      </c>
      <c r="E39" s="33">
        <f>E27-'Transaction Table'!E11</f>
        <v>0</v>
      </c>
      <c r="F39" s="7">
        <v>160.08000000000001</v>
      </c>
      <c r="G39" s="7">
        <v>160.08000000000001</v>
      </c>
      <c r="H39" s="7">
        <v>161.01</v>
      </c>
      <c r="I39" s="19">
        <f>-(H39-G39)/G39</f>
        <v>-5.8095952023986654E-3</v>
      </c>
      <c r="J39" s="5" t="s">
        <v>51</v>
      </c>
    </row>
    <row r="40" spans="1:10">
      <c r="A40" s="14"/>
      <c r="B40" s="15" t="s">
        <v>27</v>
      </c>
      <c r="C40" s="17"/>
      <c r="D40" s="17"/>
      <c r="E40" s="17"/>
      <c r="F40" s="17"/>
      <c r="G40" s="15"/>
      <c r="H40" s="15">
        <f>H28*(1+(J23/52))+'Transaction Table'!H12-'Transaction Table'!H11-E42</f>
        <v>2861.0085808087133</v>
      </c>
      <c r="I40" s="19"/>
    </row>
    <row r="41" spans="1:10">
      <c r="A41" s="13"/>
      <c r="B41" s="19"/>
      <c r="C41" s="4"/>
      <c r="D41" s="4"/>
      <c r="E41" s="39" t="s">
        <v>28</v>
      </c>
      <c r="F41" s="38"/>
      <c r="G41" s="7"/>
      <c r="H41" s="7" t="s">
        <v>29</v>
      </c>
      <c r="I41" s="4" t="s">
        <v>30</v>
      </c>
    </row>
    <row r="42" spans="1:10">
      <c r="A42" s="14"/>
      <c r="B42" s="15" t="s">
        <v>33</v>
      </c>
      <c r="C42" s="21"/>
      <c r="D42" s="21"/>
      <c r="E42" s="40">
        <f>SUM('Transaction Table'!G11:G12)</f>
        <v>805.27548000000002</v>
      </c>
      <c r="F42" s="41"/>
      <c r="G42" s="17"/>
      <c r="H42" s="17">
        <f>H35*E35+H36*E36+H37*E37+H38*E38-H39*E39+H40</f>
        <v>1015674.0985808087</v>
      </c>
      <c r="I42" s="17">
        <f>(H42-H30)/H30</f>
        <v>1.0309506346115372E-2</v>
      </c>
    </row>
    <row r="46" spans="1:10">
      <c r="A46" s="3" t="s">
        <v>2</v>
      </c>
      <c r="B46" s="4" t="s">
        <v>3</v>
      </c>
      <c r="C46" s="4" t="s">
        <v>4</v>
      </c>
      <c r="D46" s="4" t="s">
        <v>5</v>
      </c>
      <c r="E46" s="4" t="s">
        <v>7</v>
      </c>
      <c r="F46" s="4" t="s">
        <v>8</v>
      </c>
      <c r="G46" s="24" t="s">
        <v>9</v>
      </c>
      <c r="H46" s="4" t="s">
        <v>10</v>
      </c>
      <c r="I46" s="4" t="s">
        <v>11</v>
      </c>
    </row>
    <row r="47" spans="1:10" ht="15">
      <c r="A47" s="6">
        <v>43882</v>
      </c>
      <c r="B47" s="7" t="s">
        <v>18</v>
      </c>
      <c r="C47" s="7" t="s">
        <v>19</v>
      </c>
      <c r="D47" s="7" t="s">
        <v>20</v>
      </c>
      <c r="E47" s="7">
        <v>942</v>
      </c>
      <c r="F47" s="7">
        <v>318.31</v>
      </c>
      <c r="G47" s="7">
        <v>324.95</v>
      </c>
      <c r="H47" s="7">
        <v>313.05</v>
      </c>
      <c r="I47" s="19">
        <f t="shared" ref="I47:I50" si="4">(H47-G47)/G47</f>
        <v>-3.6621018618248895E-2</v>
      </c>
    </row>
    <row r="48" spans="1:10" ht="15">
      <c r="A48" s="13"/>
      <c r="B48" s="7" t="s">
        <v>23</v>
      </c>
      <c r="C48" s="7" t="s">
        <v>24</v>
      </c>
      <c r="D48" s="7" t="s">
        <v>20</v>
      </c>
      <c r="E48" s="7">
        <v>1238</v>
      </c>
      <c r="F48" s="7">
        <v>323.05</v>
      </c>
      <c r="G48" s="7">
        <v>340.49</v>
      </c>
      <c r="H48" s="7">
        <v>330.38</v>
      </c>
      <c r="I48" s="19">
        <f t="shared" si="4"/>
        <v>-2.9692501982437114E-2</v>
      </c>
    </row>
    <row r="49" spans="1:10" ht="15">
      <c r="A49" s="13"/>
      <c r="B49" s="7" t="s">
        <v>25</v>
      </c>
      <c r="C49" s="7" t="s">
        <v>26</v>
      </c>
      <c r="D49" s="7" t="s">
        <v>20</v>
      </c>
      <c r="E49" s="7">
        <f>2781</f>
        <v>2781</v>
      </c>
      <c r="F49" s="7">
        <v>68.47</v>
      </c>
      <c r="G49" s="7">
        <v>67.27</v>
      </c>
      <c r="H49" s="7">
        <v>64.34</v>
      </c>
      <c r="I49" s="19">
        <f t="shared" si="4"/>
        <v>-4.3555819830533561E-2</v>
      </c>
    </row>
    <row r="50" spans="1:10" ht="15">
      <c r="A50" s="13"/>
      <c r="B50" s="7" t="s">
        <v>35</v>
      </c>
      <c r="C50" s="7" t="s">
        <v>35</v>
      </c>
      <c r="D50" s="7" t="s">
        <v>20</v>
      </c>
      <c r="E50" s="7">
        <v>651</v>
      </c>
      <c r="F50" s="7">
        <v>153.41</v>
      </c>
      <c r="G50" s="7">
        <v>150.69999999999999</v>
      </c>
      <c r="H50" s="7">
        <v>149.84</v>
      </c>
      <c r="I50" s="19">
        <f t="shared" si="4"/>
        <v>-5.7067020570669225E-3</v>
      </c>
    </row>
    <row r="51" spans="1:10" ht="15">
      <c r="A51" s="14"/>
      <c r="B51" s="15" t="s">
        <v>27</v>
      </c>
      <c r="C51" s="17"/>
      <c r="D51" s="17"/>
      <c r="E51" s="17"/>
      <c r="F51" s="17"/>
      <c r="G51" s="15"/>
      <c r="H51" s="15">
        <f>H40*(1+(J23/52))</f>
        <v>2861.8558795037993</v>
      </c>
      <c r="I51" s="19"/>
    </row>
    <row r="52" spans="1:10" ht="15">
      <c r="A52" s="13"/>
      <c r="B52" s="19"/>
      <c r="C52" s="4"/>
      <c r="D52" s="4"/>
      <c r="E52" s="39" t="s">
        <v>28</v>
      </c>
      <c r="F52" s="38"/>
      <c r="G52" s="7"/>
      <c r="H52" s="7" t="s">
        <v>29</v>
      </c>
      <c r="I52" s="4" t="s">
        <v>30</v>
      </c>
    </row>
    <row r="53" spans="1:10" ht="15">
      <c r="A53" s="14"/>
      <c r="B53" s="15" t="s">
        <v>33</v>
      </c>
      <c r="C53" s="21"/>
      <c r="D53" s="21"/>
      <c r="E53" s="40">
        <f>SUM('Transaction Table'!G22:G23)</f>
        <v>0</v>
      </c>
      <c r="F53" s="41"/>
      <c r="G53" s="17"/>
      <c r="H53" s="17">
        <f>E47*H47+E48*H48+E49*H49+E50*H50+H51</f>
        <v>983240.77587950381</v>
      </c>
      <c r="I53" s="17">
        <f>(H53-H42)/H42</f>
        <v>-3.1932804771356953E-2</v>
      </c>
    </row>
    <row r="57" spans="1:10" ht="15">
      <c r="A57" s="3" t="s">
        <v>2</v>
      </c>
      <c r="B57" s="4" t="s">
        <v>3</v>
      </c>
      <c r="C57" s="4" t="s">
        <v>4</v>
      </c>
      <c r="D57" s="4" t="s">
        <v>5</v>
      </c>
      <c r="E57" s="4" t="s">
        <v>7</v>
      </c>
      <c r="F57" s="4" t="s">
        <v>8</v>
      </c>
      <c r="G57" s="24" t="s">
        <v>9</v>
      </c>
      <c r="H57" s="4" t="s">
        <v>10</v>
      </c>
      <c r="I57" s="4" t="s">
        <v>11</v>
      </c>
    </row>
    <row r="58" spans="1:10" ht="15">
      <c r="A58" s="6">
        <v>43889</v>
      </c>
      <c r="B58" s="7" t="s">
        <v>18</v>
      </c>
      <c r="C58" s="7" t="s">
        <v>19</v>
      </c>
      <c r="D58" s="7" t="s">
        <v>20</v>
      </c>
      <c r="E58" s="7">
        <v>471</v>
      </c>
      <c r="F58" s="7">
        <v>318.31</v>
      </c>
      <c r="G58" s="7">
        <v>313.05</v>
      </c>
      <c r="H58" s="7">
        <v>274.54000000000002</v>
      </c>
      <c r="I58" s="19">
        <f t="shared" ref="I58:I61" si="5">(H58-G58)/G58</f>
        <v>-0.12301549273279025</v>
      </c>
    </row>
    <row r="59" spans="1:10" ht="15">
      <c r="A59" s="13"/>
      <c r="B59" s="7" t="s">
        <v>23</v>
      </c>
      <c r="C59" s="7" t="s">
        <v>24</v>
      </c>
      <c r="D59" s="7" t="s">
        <v>20</v>
      </c>
      <c r="E59" s="7">
        <v>0</v>
      </c>
      <c r="F59" s="7">
        <v>323.05</v>
      </c>
      <c r="G59" s="7">
        <v>330.38</v>
      </c>
      <c r="H59" s="7">
        <v>275.35000000000002</v>
      </c>
      <c r="I59" s="19">
        <f t="shared" si="5"/>
        <v>-0.16656577274653422</v>
      </c>
      <c r="J59" s="5" t="s">
        <v>51</v>
      </c>
    </row>
    <row r="60" spans="1:10" ht="15">
      <c r="A60" s="13"/>
      <c r="B60" s="7" t="s">
        <v>25</v>
      </c>
      <c r="C60" s="7" t="s">
        <v>26</v>
      </c>
      <c r="D60" s="7" t="s">
        <v>20</v>
      </c>
      <c r="E60" s="7">
        <v>0</v>
      </c>
      <c r="F60" s="7">
        <v>68.47</v>
      </c>
      <c r="G60" s="7">
        <v>64.34</v>
      </c>
      <c r="H60" s="7">
        <v>55.52</v>
      </c>
      <c r="I60" s="19">
        <f t="shared" si="5"/>
        <v>-0.13708423997513211</v>
      </c>
      <c r="J60" s="5" t="s">
        <v>51</v>
      </c>
    </row>
    <row r="61" spans="1:10" ht="15">
      <c r="A61" s="13"/>
      <c r="B61" s="7" t="s">
        <v>35</v>
      </c>
      <c r="C61" s="7" t="s">
        <v>35</v>
      </c>
      <c r="D61" s="7" t="s">
        <v>20</v>
      </c>
      <c r="E61" s="7">
        <v>0</v>
      </c>
      <c r="F61" s="7">
        <v>153.41</v>
      </c>
      <c r="G61" s="7">
        <v>149.84</v>
      </c>
      <c r="H61" s="7">
        <v>130.09</v>
      </c>
      <c r="I61" s="19">
        <f t="shared" si="5"/>
        <v>-0.1318072610784837</v>
      </c>
      <c r="J61" s="5" t="s">
        <v>51</v>
      </c>
    </row>
    <row r="62" spans="1:10" ht="15">
      <c r="A62" s="14"/>
      <c r="B62" s="15" t="s">
        <v>27</v>
      </c>
      <c r="C62" s="17"/>
      <c r="D62" s="17"/>
      <c r="E62" s="17"/>
      <c r="F62" s="17"/>
      <c r="G62" s="15"/>
      <c r="H62" s="15">
        <f>H51*(1+(J23/52))+SUM('Transaction Table'!H14:H17)-E64</f>
        <v>710725.49072912964</v>
      </c>
      <c r="I62" s="19"/>
    </row>
    <row r="63" spans="1:10" ht="15">
      <c r="A63" s="13"/>
      <c r="B63" s="19"/>
      <c r="C63" s="4"/>
      <c r="D63" s="4"/>
      <c r="E63" s="39" t="s">
        <v>28</v>
      </c>
      <c r="F63" s="38"/>
      <c r="G63" s="7"/>
      <c r="H63" s="7" t="s">
        <v>29</v>
      </c>
      <c r="I63" s="4" t="s">
        <v>30</v>
      </c>
    </row>
    <row r="64" spans="1:10" ht="15">
      <c r="A64" s="14"/>
      <c r="B64" s="15" t="s">
        <v>33</v>
      </c>
      <c r="C64" s="21"/>
      <c r="D64" s="21"/>
      <c r="E64" s="40">
        <f>SUM('Transaction Table'!G14:G17)</f>
        <v>1418.5627000000002</v>
      </c>
      <c r="F64" s="41"/>
      <c r="G64" s="17"/>
      <c r="H64" s="17">
        <f>E58*H58+H62</f>
        <v>840033.83072912961</v>
      </c>
      <c r="I64" s="17">
        <f>(H64-H53)/H53</f>
        <v>-0.14564789079488322</v>
      </c>
    </row>
    <row r="68" spans="1:9" ht="15">
      <c r="A68" s="3" t="s">
        <v>2</v>
      </c>
      <c r="B68" s="4" t="s">
        <v>3</v>
      </c>
      <c r="C68" s="4" t="s">
        <v>4</v>
      </c>
      <c r="D68" s="4" t="s">
        <v>5</v>
      </c>
      <c r="E68" s="4" t="s">
        <v>7</v>
      </c>
      <c r="F68" s="4" t="s">
        <v>8</v>
      </c>
      <c r="G68" s="24" t="s">
        <v>9</v>
      </c>
      <c r="H68" s="4" t="s">
        <v>10</v>
      </c>
      <c r="I68" s="4" t="s">
        <v>11</v>
      </c>
    </row>
    <row r="69" spans="1:9" ht="15">
      <c r="A69" s="6">
        <v>43896</v>
      </c>
      <c r="B69" s="7" t="s">
        <v>18</v>
      </c>
      <c r="C69" s="7" t="s">
        <v>19</v>
      </c>
      <c r="D69" s="7" t="s">
        <v>20</v>
      </c>
      <c r="E69" s="7">
        <v>471</v>
      </c>
      <c r="F69" s="7">
        <v>318.31</v>
      </c>
      <c r="G69" s="7">
        <v>274.54000000000002</v>
      </c>
      <c r="H69" s="7">
        <v>289.02999999999997</v>
      </c>
      <c r="I69" s="19">
        <f>(H69-G69)/G69</f>
        <v>5.2779194288628074E-2</v>
      </c>
    </row>
    <row r="70" spans="1:9" ht="15">
      <c r="A70" s="14"/>
      <c r="B70" s="15" t="s">
        <v>27</v>
      </c>
      <c r="C70" s="17"/>
      <c r="D70" s="17"/>
      <c r="E70" s="17"/>
      <c r="F70" s="17"/>
      <c r="G70" s="15"/>
      <c r="H70" s="15">
        <f>H62*(1+(J23/52))-E72</f>
        <v>710935.97481676866</v>
      </c>
      <c r="I70" s="19"/>
    </row>
    <row r="71" spans="1:9" ht="15">
      <c r="A71" s="13"/>
      <c r="B71" s="19"/>
      <c r="C71" s="4"/>
      <c r="D71" s="4"/>
      <c r="E71" s="39" t="s">
        <v>28</v>
      </c>
      <c r="F71" s="38"/>
      <c r="G71" s="7"/>
      <c r="H71" s="7" t="s">
        <v>29</v>
      </c>
      <c r="I71" s="4" t="s">
        <v>30</v>
      </c>
    </row>
    <row r="72" spans="1:9" ht="15">
      <c r="A72" s="14"/>
      <c r="B72" s="15" t="s">
        <v>33</v>
      </c>
      <c r="C72" s="21"/>
      <c r="D72" s="21"/>
      <c r="E72" s="40">
        <v>0</v>
      </c>
      <c r="F72" s="41"/>
      <c r="G72" s="17"/>
      <c r="H72" s="17">
        <f>E69*H69+H70</f>
        <v>847069.10481676867</v>
      </c>
      <c r="I72" s="17">
        <f>(H72-H64)/H64</f>
        <v>8.374988994827276E-3</v>
      </c>
    </row>
    <row r="76" spans="1:9" ht="15">
      <c r="A76" s="3" t="s">
        <v>2</v>
      </c>
      <c r="B76" s="4" t="s">
        <v>3</v>
      </c>
      <c r="C76" s="4" t="s">
        <v>4</v>
      </c>
      <c r="D76" s="4" t="s">
        <v>5</v>
      </c>
      <c r="E76" s="4" t="s">
        <v>7</v>
      </c>
      <c r="F76" s="4" t="s">
        <v>8</v>
      </c>
      <c r="G76" s="24" t="s">
        <v>9</v>
      </c>
      <c r="H76" s="4" t="s">
        <v>10</v>
      </c>
      <c r="I76" s="4" t="s">
        <v>11</v>
      </c>
    </row>
    <row r="77" spans="1:9" ht="15">
      <c r="A77" s="6">
        <v>43903</v>
      </c>
      <c r="B77" s="7" t="s">
        <v>18</v>
      </c>
      <c r="C77" s="7" t="s">
        <v>19</v>
      </c>
      <c r="D77" s="7" t="s">
        <v>20</v>
      </c>
      <c r="E77" s="7">
        <v>471</v>
      </c>
      <c r="F77" s="7">
        <v>318.31</v>
      </c>
      <c r="G77" s="7">
        <v>289.02999999999997</v>
      </c>
      <c r="H77" s="7">
        <v>277.97000000000003</v>
      </c>
      <c r="I77" s="19">
        <f>(H77-G77)/G77</f>
        <v>-3.8265923952530694E-2</v>
      </c>
    </row>
    <row r="78" spans="1:9" ht="15">
      <c r="A78" s="14"/>
      <c r="B78" s="15" t="s">
        <v>27</v>
      </c>
      <c r="C78" s="17"/>
      <c r="D78" s="17"/>
      <c r="E78" s="17"/>
      <c r="F78" s="17"/>
      <c r="G78" s="15"/>
      <c r="H78" s="15">
        <f>H70*(1+(J23/52))-E80</f>
        <v>711146.52124007978</v>
      </c>
      <c r="I78" s="19"/>
    </row>
    <row r="79" spans="1:9" ht="15">
      <c r="A79" s="13"/>
      <c r="B79" s="19"/>
      <c r="C79" s="4"/>
      <c r="D79" s="4"/>
      <c r="E79" s="39" t="s">
        <v>28</v>
      </c>
      <c r="F79" s="38"/>
      <c r="G79" s="7"/>
      <c r="H79" s="7" t="s">
        <v>29</v>
      </c>
      <c r="I79" s="4" t="s">
        <v>30</v>
      </c>
    </row>
    <row r="80" spans="1:9" ht="15">
      <c r="A80" s="14"/>
      <c r="B80" s="15" t="s">
        <v>33</v>
      </c>
      <c r="C80" s="21"/>
      <c r="D80" s="21"/>
      <c r="E80" s="40">
        <v>0</v>
      </c>
      <c r="F80" s="41"/>
      <c r="G80" s="17"/>
      <c r="H80" s="17">
        <f>E77*H77+H78</f>
        <v>842070.39124007977</v>
      </c>
      <c r="I80" s="17">
        <f>(H80-H72)/H72</f>
        <v>-5.9011874571557885E-3</v>
      </c>
    </row>
    <row r="84" spans="1:9" ht="15">
      <c r="A84" s="3" t="s">
        <v>2</v>
      </c>
      <c r="B84" s="4" t="s">
        <v>3</v>
      </c>
      <c r="C84" s="4" t="s">
        <v>4</v>
      </c>
      <c r="D84" s="4" t="s">
        <v>5</v>
      </c>
      <c r="E84" s="4" t="s">
        <v>7</v>
      </c>
      <c r="F84" s="4" t="s">
        <v>8</v>
      </c>
      <c r="G84" s="24" t="s">
        <v>9</v>
      </c>
      <c r="H84" s="4" t="s">
        <v>10</v>
      </c>
      <c r="I84" s="4" t="s">
        <v>11</v>
      </c>
    </row>
    <row r="85" spans="1:9" ht="15">
      <c r="A85" s="6">
        <v>43910</v>
      </c>
      <c r="B85" s="7" t="s">
        <v>18</v>
      </c>
      <c r="C85" s="7" t="s">
        <v>19</v>
      </c>
      <c r="D85" s="7" t="s">
        <v>20</v>
      </c>
      <c r="E85" s="7">
        <v>471</v>
      </c>
      <c r="F85" s="7">
        <v>318.31</v>
      </c>
      <c r="G85" s="7">
        <v>277.97000000000003</v>
      </c>
      <c r="H85" s="7">
        <v>229.24</v>
      </c>
      <c r="I85" s="19">
        <f t="shared" ref="I85:I87" si="6">(H85-G85)/G85</f>
        <v>-0.17530668777206179</v>
      </c>
    </row>
    <row r="86" spans="1:9" ht="15">
      <c r="A86" s="6">
        <v>43910</v>
      </c>
      <c r="B86" s="5" t="s">
        <v>47</v>
      </c>
      <c r="C86" s="5" t="s">
        <v>48</v>
      </c>
      <c r="D86" s="7" t="s">
        <v>20</v>
      </c>
      <c r="E86" s="30">
        <v>1750</v>
      </c>
      <c r="F86" s="30">
        <v>113.97</v>
      </c>
      <c r="G86" s="30">
        <v>113.97</v>
      </c>
      <c r="H86" s="30">
        <v>113.97</v>
      </c>
      <c r="I86" s="19">
        <f t="shared" si="6"/>
        <v>0</v>
      </c>
    </row>
    <row r="87" spans="1:9" ht="15">
      <c r="A87" s="6">
        <v>43910</v>
      </c>
      <c r="B87" s="5" t="s">
        <v>49</v>
      </c>
      <c r="C87" s="5" t="s">
        <v>50</v>
      </c>
      <c r="D87" s="5" t="s">
        <v>20</v>
      </c>
      <c r="E87" s="30">
        <v>9660</v>
      </c>
      <c r="F87" s="30">
        <v>51.8</v>
      </c>
      <c r="G87" s="30">
        <v>51.8</v>
      </c>
      <c r="H87" s="30">
        <v>51.8</v>
      </c>
      <c r="I87" s="31">
        <f t="shared" si="6"/>
        <v>0</v>
      </c>
    </row>
    <row r="88" spans="1:9" ht="15">
      <c r="A88" s="14"/>
      <c r="B88" s="15" t="s">
        <v>27</v>
      </c>
      <c r="C88" s="17"/>
      <c r="D88" s="17"/>
      <c r="E88" s="17"/>
      <c r="F88" s="17"/>
      <c r="G88" s="15"/>
      <c r="H88" s="15">
        <f>H78*(1+(J23/52))-E90-SUM('Transaction Table'!H20:H21)</f>
        <v>0.50651752401608974</v>
      </c>
      <c r="I88" s="19"/>
    </row>
    <row r="89" spans="1:9" ht="15">
      <c r="A89" s="13"/>
      <c r="B89" s="19"/>
      <c r="C89" s="4"/>
      <c r="D89" s="4"/>
      <c r="E89" s="39" t="s">
        <v>28</v>
      </c>
      <c r="F89" s="38"/>
      <c r="G89" s="7"/>
      <c r="H89" s="7" t="s">
        <v>29</v>
      </c>
      <c r="I89" s="4" t="s">
        <v>30</v>
      </c>
    </row>
    <row r="90" spans="1:9" ht="15">
      <c r="A90" s="14"/>
      <c r="B90" s="15" t="s">
        <v>33</v>
      </c>
      <c r="C90" s="21"/>
      <c r="D90" s="21"/>
      <c r="E90" s="40">
        <f>SUM('Transaction Table'!G20:G21)</f>
        <v>1419.8734999999999</v>
      </c>
      <c r="F90" s="41"/>
      <c r="G90" s="17"/>
      <c r="H90" s="17">
        <f>E85*H85+E86*H86+E87*H87+H88</f>
        <v>807808.04651752405</v>
      </c>
      <c r="I90" s="17">
        <f>(H90-H80)/H80</f>
        <v>-4.0688219273568187E-2</v>
      </c>
    </row>
    <row r="94" spans="1:9" ht="15">
      <c r="A94" s="3" t="s">
        <v>2</v>
      </c>
      <c r="B94" s="4" t="s">
        <v>3</v>
      </c>
      <c r="C94" s="4" t="s">
        <v>4</v>
      </c>
      <c r="D94" s="4" t="s">
        <v>5</v>
      </c>
      <c r="E94" s="4" t="s">
        <v>7</v>
      </c>
      <c r="F94" s="4" t="s">
        <v>8</v>
      </c>
      <c r="G94" s="24" t="s">
        <v>9</v>
      </c>
      <c r="H94" s="4" t="s">
        <v>10</v>
      </c>
      <c r="I94" s="4" t="s">
        <v>11</v>
      </c>
    </row>
    <row r="95" spans="1:9" ht="15">
      <c r="A95" s="6">
        <v>43917</v>
      </c>
      <c r="B95" s="7" t="s">
        <v>18</v>
      </c>
      <c r="C95" s="7" t="s">
        <v>19</v>
      </c>
      <c r="D95" s="7" t="s">
        <v>20</v>
      </c>
      <c r="E95" s="7">
        <v>471</v>
      </c>
      <c r="F95" s="7">
        <v>318.31</v>
      </c>
      <c r="G95" s="7">
        <v>229.24</v>
      </c>
      <c r="H95" s="7">
        <v>247.74</v>
      </c>
      <c r="I95" s="19">
        <f t="shared" ref="I95:I97" si="7">(H95-G95)/G95</f>
        <v>8.0701448263828301E-2</v>
      </c>
    </row>
    <row r="96" spans="1:9" ht="15">
      <c r="A96" s="6">
        <v>43917</v>
      </c>
      <c r="B96" s="5" t="s">
        <v>47</v>
      </c>
      <c r="C96" s="5" t="s">
        <v>48</v>
      </c>
      <c r="D96" s="7" t="s">
        <v>20</v>
      </c>
      <c r="E96" s="30">
        <v>1750</v>
      </c>
      <c r="F96" s="30">
        <v>113.97</v>
      </c>
      <c r="G96" s="36">
        <v>113.97</v>
      </c>
      <c r="H96" s="36">
        <v>109.68</v>
      </c>
      <c r="I96" s="19">
        <f t="shared" si="7"/>
        <v>-3.7641484601210778E-2</v>
      </c>
    </row>
    <row r="97" spans="1:9" ht="15">
      <c r="A97" s="6">
        <v>43917</v>
      </c>
      <c r="B97" s="5" t="s">
        <v>49</v>
      </c>
      <c r="C97" s="5" t="s">
        <v>50</v>
      </c>
      <c r="D97" s="5" t="s">
        <v>20</v>
      </c>
      <c r="E97" s="30">
        <v>9660</v>
      </c>
      <c r="F97" s="30">
        <v>51.8</v>
      </c>
      <c r="G97" s="36">
        <v>51.8</v>
      </c>
      <c r="H97" s="36">
        <v>52.77</v>
      </c>
      <c r="I97" s="31">
        <f t="shared" si="7"/>
        <v>1.872586872586884E-2</v>
      </c>
    </row>
    <row r="98" spans="1:9" ht="15">
      <c r="A98" s="14"/>
      <c r="B98" s="15" t="s">
        <v>27</v>
      </c>
      <c r="C98" s="17"/>
      <c r="D98" s="17"/>
      <c r="E98" s="17"/>
      <c r="F98" s="17"/>
      <c r="G98" s="15"/>
      <c r="H98" s="15">
        <f>H88*(1+(J23/52))</f>
        <v>0.50666753112897145</v>
      </c>
      <c r="I98" s="19"/>
    </row>
    <row r="99" spans="1:9" ht="15">
      <c r="A99" s="13"/>
      <c r="B99" s="19"/>
      <c r="C99" s="4"/>
      <c r="D99" s="4"/>
      <c r="E99" s="39" t="s">
        <v>28</v>
      </c>
      <c r="F99" s="38"/>
      <c r="G99" s="7"/>
      <c r="H99" s="7" t="s">
        <v>29</v>
      </c>
      <c r="I99" s="4" t="s">
        <v>30</v>
      </c>
    </row>
    <row r="100" spans="1:9" ht="15">
      <c r="A100" s="14"/>
      <c r="B100" s="15" t="s">
        <v>33</v>
      </c>
      <c r="C100" s="21"/>
      <c r="D100" s="21"/>
      <c r="E100" s="40">
        <f>SUM('Transaction Table'!G27:G28)</f>
        <v>0</v>
      </c>
      <c r="F100" s="41"/>
      <c r="G100" s="17"/>
      <c r="H100" s="17">
        <f>E95*H95+E96*H96+E97*H97+H98</f>
        <v>818384.24666753109</v>
      </c>
      <c r="I100" s="17">
        <f>(H100-H90)/H90</f>
        <v>1.309246694880205E-2</v>
      </c>
    </row>
    <row r="104" spans="1:9" ht="15">
      <c r="A104" s="3" t="s">
        <v>2</v>
      </c>
      <c r="B104" s="4" t="s">
        <v>3</v>
      </c>
      <c r="C104" s="4" t="s">
        <v>4</v>
      </c>
      <c r="D104" s="4" t="s">
        <v>5</v>
      </c>
      <c r="E104" s="4" t="s">
        <v>7</v>
      </c>
      <c r="F104" s="4" t="s">
        <v>8</v>
      </c>
      <c r="G104" s="24" t="s">
        <v>9</v>
      </c>
      <c r="H104" s="4" t="s">
        <v>10</v>
      </c>
      <c r="I104" s="4" t="s">
        <v>11</v>
      </c>
    </row>
    <row r="105" spans="1:9" ht="15">
      <c r="A105" s="6">
        <v>43924</v>
      </c>
      <c r="B105" s="7" t="s">
        <v>18</v>
      </c>
      <c r="C105" s="7" t="s">
        <v>19</v>
      </c>
      <c r="D105" s="7" t="s">
        <v>20</v>
      </c>
      <c r="E105" s="7">
        <v>471</v>
      </c>
      <c r="F105" s="7">
        <v>318.31</v>
      </c>
      <c r="G105" s="7">
        <v>247.74</v>
      </c>
      <c r="H105" s="7">
        <v>241.41</v>
      </c>
      <c r="I105" s="19">
        <f t="shared" ref="I105:I107" si="8">(H105-G105)/G105</f>
        <v>-2.5550980867038074E-2</v>
      </c>
    </row>
    <row r="106" spans="1:9" ht="15">
      <c r="A106" s="6">
        <v>43924</v>
      </c>
      <c r="B106" s="5" t="s">
        <v>47</v>
      </c>
      <c r="C106" s="5" t="s">
        <v>48</v>
      </c>
      <c r="D106" s="7" t="s">
        <v>20</v>
      </c>
      <c r="E106" s="30">
        <v>1750</v>
      </c>
      <c r="F106" s="30">
        <v>113.97</v>
      </c>
      <c r="G106" s="36">
        <v>109.68</v>
      </c>
      <c r="H106" s="36">
        <v>119.48</v>
      </c>
      <c r="I106" s="19">
        <f t="shared" si="8"/>
        <v>8.9350838803792826E-2</v>
      </c>
    </row>
    <row r="107" spans="1:9" ht="15">
      <c r="A107" s="6">
        <v>43924</v>
      </c>
      <c r="B107" s="5" t="s">
        <v>49</v>
      </c>
      <c r="C107" s="5" t="s">
        <v>50</v>
      </c>
      <c r="D107" s="5" t="s">
        <v>20</v>
      </c>
      <c r="E107" s="30">
        <v>9660</v>
      </c>
      <c r="F107" s="30">
        <v>51.8</v>
      </c>
      <c r="G107" s="36">
        <v>52.77</v>
      </c>
      <c r="H107" s="30">
        <v>54.7</v>
      </c>
      <c r="I107" s="31">
        <f t="shared" si="8"/>
        <v>3.6573810877392449E-2</v>
      </c>
    </row>
    <row r="108" spans="1:9" ht="15">
      <c r="A108" s="14"/>
      <c r="B108" s="15" t="s">
        <v>27</v>
      </c>
      <c r="C108" s="17"/>
      <c r="D108" s="17"/>
      <c r="E108" s="17"/>
      <c r="F108" s="17"/>
      <c r="G108" s="15"/>
      <c r="H108" s="15">
        <f>H98*(1+(J23/52))</f>
        <v>0.50681758266703658</v>
      </c>
      <c r="I108" s="19"/>
    </row>
    <row r="109" spans="1:9" ht="15">
      <c r="A109" s="13"/>
      <c r="B109" s="19"/>
      <c r="C109" s="4"/>
      <c r="D109" s="4"/>
      <c r="E109" s="39" t="s">
        <v>28</v>
      </c>
      <c r="F109" s="38"/>
      <c r="G109" s="7"/>
      <c r="H109" s="7" t="s">
        <v>29</v>
      </c>
      <c r="I109" s="4" t="s">
        <v>30</v>
      </c>
    </row>
    <row r="110" spans="1:9" ht="15">
      <c r="A110" s="14"/>
      <c r="B110" s="15" t="s">
        <v>33</v>
      </c>
      <c r="C110" s="21"/>
      <c r="D110" s="21"/>
      <c r="E110" s="40">
        <f>SUM('Transaction Table'!G37:G38)</f>
        <v>0</v>
      </c>
      <c r="F110" s="41"/>
      <c r="G110" s="17"/>
      <c r="H110" s="17">
        <f>E105*H105+E106*H106+E107*H107+H108</f>
        <v>851196.61681758263</v>
      </c>
      <c r="I110" s="17">
        <f>(H110-H100)/H100</f>
        <v>4.0094088178827793E-2</v>
      </c>
    </row>
    <row r="114" spans="1:9" ht="15">
      <c r="A114" s="3" t="s">
        <v>2</v>
      </c>
      <c r="B114" s="4" t="s">
        <v>3</v>
      </c>
      <c r="C114" s="4" t="s">
        <v>4</v>
      </c>
      <c r="D114" s="4" t="s">
        <v>5</v>
      </c>
      <c r="E114" s="4" t="s">
        <v>7</v>
      </c>
      <c r="F114" s="4" t="s">
        <v>8</v>
      </c>
      <c r="G114" s="24" t="s">
        <v>9</v>
      </c>
      <c r="H114" s="4" t="s">
        <v>10</v>
      </c>
      <c r="I114" s="4" t="s">
        <v>11</v>
      </c>
    </row>
    <row r="115" spans="1:9" ht="15">
      <c r="A115" s="6">
        <v>43930</v>
      </c>
      <c r="B115" s="7" t="s">
        <v>18</v>
      </c>
      <c r="C115" s="7" t="s">
        <v>19</v>
      </c>
      <c r="D115" s="7" t="s">
        <v>20</v>
      </c>
      <c r="E115" s="7">
        <v>471</v>
      </c>
      <c r="F115" s="7">
        <v>318.31</v>
      </c>
      <c r="G115" s="7">
        <v>241.41</v>
      </c>
      <c r="H115" s="7">
        <v>267.99</v>
      </c>
      <c r="I115" s="19">
        <f t="shared" ref="I115:I117" si="9">(H115-G115)/G115</f>
        <v>0.11010314402883067</v>
      </c>
    </row>
    <row r="116" spans="1:9" ht="15">
      <c r="A116" s="6">
        <v>43930</v>
      </c>
      <c r="B116" s="5" t="s">
        <v>47</v>
      </c>
      <c r="C116" s="5" t="s">
        <v>48</v>
      </c>
      <c r="D116" s="7" t="s">
        <v>20</v>
      </c>
      <c r="E116" s="30">
        <v>1750</v>
      </c>
      <c r="F116" s="30">
        <v>113.97</v>
      </c>
      <c r="G116" s="36">
        <v>119.48</v>
      </c>
      <c r="H116" s="36">
        <v>121.8</v>
      </c>
      <c r="I116" s="19">
        <f t="shared" si="9"/>
        <v>1.9417475728155283E-2</v>
      </c>
    </row>
    <row r="117" spans="1:9" ht="15">
      <c r="A117" s="6">
        <v>43930</v>
      </c>
      <c r="B117" s="5" t="s">
        <v>49</v>
      </c>
      <c r="C117" s="5" t="s">
        <v>50</v>
      </c>
      <c r="D117" s="5" t="s">
        <v>20</v>
      </c>
      <c r="E117" s="30">
        <v>9660</v>
      </c>
      <c r="F117" s="30">
        <v>51.8</v>
      </c>
      <c r="G117" s="36">
        <v>54.7</v>
      </c>
      <c r="H117" s="36">
        <v>57.44</v>
      </c>
      <c r="I117" s="31">
        <f t="shared" si="9"/>
        <v>5.0091407678244874E-2</v>
      </c>
    </row>
    <row r="118" spans="1:9" ht="15">
      <c r="A118" s="14"/>
      <c r="B118" s="15" t="s">
        <v>27</v>
      </c>
      <c r="C118" s="17"/>
      <c r="D118" s="17"/>
      <c r="E118" s="17"/>
      <c r="F118" s="17"/>
      <c r="G118" s="15"/>
      <c r="H118" s="15">
        <f>H108*(1+(J23/52))</f>
        <v>0.50696767864344183</v>
      </c>
      <c r="I118" s="19"/>
    </row>
    <row r="119" spans="1:9" ht="15">
      <c r="A119" s="13"/>
      <c r="B119" s="19"/>
      <c r="C119" s="4"/>
      <c r="D119" s="4"/>
      <c r="E119" s="39" t="s">
        <v>28</v>
      </c>
      <c r="F119" s="38"/>
      <c r="G119" s="7"/>
      <c r="H119" s="7" t="s">
        <v>29</v>
      </c>
      <c r="I119" s="4" t="s">
        <v>30</v>
      </c>
    </row>
    <row r="120" spans="1:9" ht="15">
      <c r="A120" s="14"/>
      <c r="B120" s="15" t="s">
        <v>33</v>
      </c>
      <c r="C120" s="21"/>
      <c r="D120" s="21"/>
      <c r="E120" s="40">
        <f>SUM('Transaction Table'!G47:G48)</f>
        <v>0</v>
      </c>
      <c r="F120" s="41"/>
      <c r="G120" s="17"/>
      <c r="H120" s="17">
        <f>E115*H115+E116*H116+E117*H117+H118</f>
        <v>894244.19696767873</v>
      </c>
      <c r="I120" s="17">
        <f>(H120-H110)/H110</f>
        <v>5.0573016033640429E-2</v>
      </c>
    </row>
    <row r="124" spans="1:9" ht="15">
      <c r="A124" s="3" t="s">
        <v>2</v>
      </c>
      <c r="B124" s="4" t="s">
        <v>3</v>
      </c>
      <c r="C124" s="4" t="s">
        <v>4</v>
      </c>
      <c r="D124" s="4" t="s">
        <v>5</v>
      </c>
      <c r="E124" s="4" t="s">
        <v>7</v>
      </c>
      <c r="F124" s="4" t="s">
        <v>8</v>
      </c>
      <c r="G124" s="24" t="s">
        <v>9</v>
      </c>
      <c r="H124" s="4" t="s">
        <v>10</v>
      </c>
      <c r="I124" s="4" t="s">
        <v>11</v>
      </c>
    </row>
    <row r="125" spans="1:9" ht="15">
      <c r="A125" s="6">
        <v>43938</v>
      </c>
      <c r="B125" s="7" t="s">
        <v>18</v>
      </c>
      <c r="C125" s="7" t="s">
        <v>19</v>
      </c>
      <c r="D125" s="7" t="s">
        <v>20</v>
      </c>
      <c r="E125" s="7">
        <v>471</v>
      </c>
      <c r="F125" s="7">
        <v>318.31</v>
      </c>
      <c r="G125" s="7">
        <v>267.99</v>
      </c>
      <c r="H125" s="7">
        <v>282.8</v>
      </c>
      <c r="I125" s="19">
        <f t="shared" ref="I125:I127" si="10">(H125-G125)/G125</f>
        <v>5.5263256091645216E-2</v>
      </c>
    </row>
    <row r="126" spans="1:9" ht="15">
      <c r="A126" s="6">
        <v>43938</v>
      </c>
      <c r="B126" s="5" t="s">
        <v>47</v>
      </c>
      <c r="C126" s="5" t="s">
        <v>48</v>
      </c>
      <c r="D126" s="7" t="s">
        <v>20</v>
      </c>
      <c r="E126" s="30">
        <v>1750</v>
      </c>
      <c r="F126" s="30">
        <v>113.97</v>
      </c>
      <c r="G126" s="36">
        <v>121.8</v>
      </c>
      <c r="H126" s="36">
        <v>132.12</v>
      </c>
      <c r="I126" s="19">
        <f t="shared" si="10"/>
        <v>8.4729064039408927E-2</v>
      </c>
    </row>
    <row r="127" spans="1:9" ht="15">
      <c r="A127" s="6">
        <v>43938</v>
      </c>
      <c r="B127" s="5" t="s">
        <v>49</v>
      </c>
      <c r="C127" s="5" t="s">
        <v>50</v>
      </c>
      <c r="D127" s="5" t="s">
        <v>20</v>
      </c>
      <c r="E127" s="30">
        <v>9660</v>
      </c>
      <c r="F127" s="30">
        <v>51.8</v>
      </c>
      <c r="G127" s="36">
        <v>57.44</v>
      </c>
      <c r="H127" s="36">
        <v>58.46</v>
      </c>
      <c r="I127" s="31">
        <f t="shared" si="10"/>
        <v>1.7757660167130974E-2</v>
      </c>
    </row>
    <row r="128" spans="1:9" ht="15">
      <c r="A128" s="14"/>
      <c r="B128" s="15" t="s">
        <v>27</v>
      </c>
      <c r="C128" s="17"/>
      <c r="D128" s="17"/>
      <c r="E128" s="17"/>
      <c r="F128" s="17"/>
      <c r="G128" s="15"/>
      <c r="H128" s="15">
        <f>H118*(1+(J23/52))</f>
        <v>0.50711781907134779</v>
      </c>
      <c r="I128" s="19"/>
    </row>
    <row r="129" spans="1:9" ht="15">
      <c r="A129" s="13"/>
      <c r="B129" s="19"/>
      <c r="C129" s="4"/>
      <c r="D129" s="4"/>
      <c r="E129" s="39" t="s">
        <v>28</v>
      </c>
      <c r="F129" s="38"/>
      <c r="G129" s="7"/>
      <c r="H129" s="7" t="s">
        <v>29</v>
      </c>
      <c r="I129" s="4" t="s">
        <v>30</v>
      </c>
    </row>
    <row r="130" spans="1:9" ht="15">
      <c r="A130" s="14"/>
      <c r="B130" s="15" t="s">
        <v>33</v>
      </c>
      <c r="C130" s="21"/>
      <c r="D130" s="21"/>
      <c r="E130" s="40">
        <f>SUM('Transaction Table'!G57:G58)</f>
        <v>0</v>
      </c>
      <c r="F130" s="41"/>
      <c r="G130" s="17"/>
      <c r="H130" s="17">
        <f>E125*H125+E126*H126+E127*H127+H128</f>
        <v>929132.90711781906</v>
      </c>
      <c r="I130" s="17">
        <f>(H130-H120)/H120</f>
        <v>3.9014745936787269E-2</v>
      </c>
    </row>
  </sheetData>
  <mergeCells count="27">
    <mergeCell ref="E110:F110"/>
    <mergeCell ref="E119:F119"/>
    <mergeCell ref="E120:F120"/>
    <mergeCell ref="E129:F129"/>
    <mergeCell ref="E130:F130"/>
    <mergeCell ref="E53:F53"/>
    <mergeCell ref="E63:F63"/>
    <mergeCell ref="E64:F64"/>
    <mergeCell ref="E71:F71"/>
    <mergeCell ref="E109:F109"/>
    <mergeCell ref="E72:F72"/>
    <mergeCell ref="E79:F79"/>
    <mergeCell ref="E80:F80"/>
    <mergeCell ref="E89:F89"/>
    <mergeCell ref="E90:F90"/>
    <mergeCell ref="E99:F99"/>
    <mergeCell ref="E100:F100"/>
    <mergeCell ref="E29:F29"/>
    <mergeCell ref="E30:F30"/>
    <mergeCell ref="E41:F41"/>
    <mergeCell ref="E42:F42"/>
    <mergeCell ref="E52:F52"/>
    <mergeCell ref="A1:I1"/>
    <mergeCell ref="E7:F7"/>
    <mergeCell ref="E8:F8"/>
    <mergeCell ref="E17:F17"/>
    <mergeCell ref="E18:F18"/>
  </mergeCells>
  <conditionalFormatting sqref="I3">
    <cfRule type="colorScale" priority="1">
      <colorScale>
        <cfvo type="min"/>
        <cfvo type="max"/>
        <color rgb="FF57BB8A"/>
        <color rgb="FFFFFFFF"/>
      </colorScale>
    </cfRule>
  </conditionalFormatting>
  <conditionalFormatting sqref="I13:I18">
    <cfRule type="cellIs" dxfId="2" priority="2" operator="lessThanOrEqual">
      <formula>0</formula>
    </cfRule>
  </conditionalFormatting>
  <conditionalFormatting sqref="I1:I130">
    <cfRule type="cellIs" dxfId="1" priority="3" operator="lessThan">
      <formula>0</formula>
    </cfRule>
  </conditionalFormatting>
  <conditionalFormatting sqref="I1:I130">
    <cfRule type="cellIs" dxfId="0" priority="4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5"/>
  <sheetViews>
    <sheetView workbookViewId="0"/>
  </sheetViews>
  <sheetFormatPr baseColWidth="10" defaultColWidth="14.5" defaultRowHeight="15.75" customHeight="1"/>
  <cols>
    <col min="3" max="3" width="15.33203125" customWidth="1"/>
  </cols>
  <sheetData>
    <row r="1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.75" customHeight="1">
      <c r="A3" s="37" t="s">
        <v>6</v>
      </c>
      <c r="B3" s="38"/>
      <c r="C3" s="38"/>
      <c r="D3" s="38"/>
      <c r="E3" s="38"/>
      <c r="F3" s="38"/>
      <c r="G3" s="38"/>
      <c r="H3" s="38"/>
      <c r="I3" s="2"/>
      <c r="J3" s="2"/>
      <c r="K3" s="2"/>
      <c r="L3" s="2"/>
      <c r="M3" s="2"/>
    </row>
    <row r="4" spans="1:13">
      <c r="A4" s="4" t="s">
        <v>2</v>
      </c>
      <c r="B4" s="4" t="s">
        <v>3</v>
      </c>
      <c r="C4" s="4" t="s">
        <v>4</v>
      </c>
      <c r="D4" s="4" t="s">
        <v>5</v>
      </c>
      <c r="E4" s="4" t="s">
        <v>7</v>
      </c>
      <c r="F4" s="4" t="s">
        <v>14</v>
      </c>
      <c r="G4" s="4" t="s">
        <v>15</v>
      </c>
      <c r="H4" s="4" t="s">
        <v>16</v>
      </c>
      <c r="I4" s="2"/>
      <c r="J4" s="1" t="s">
        <v>17</v>
      </c>
      <c r="K4" s="8">
        <v>2E-3</v>
      </c>
      <c r="L4" s="2"/>
      <c r="M4" s="2"/>
    </row>
    <row r="5" spans="1:13">
      <c r="A5" s="9">
        <v>43854</v>
      </c>
      <c r="B5" s="7" t="s">
        <v>18</v>
      </c>
      <c r="C5" s="7" t="s">
        <v>19</v>
      </c>
      <c r="D5" s="7" t="s">
        <v>20</v>
      </c>
      <c r="E5" s="7">
        <v>942</v>
      </c>
      <c r="F5" s="7">
        <v>318.31</v>
      </c>
      <c r="G5" s="7">
        <f>ABS(H5*K4)</f>
        <v>599.69604000000004</v>
      </c>
      <c r="H5" s="7">
        <v>299848.02</v>
      </c>
      <c r="I5" s="2"/>
      <c r="J5" s="2"/>
      <c r="K5" s="2"/>
      <c r="L5" s="2"/>
      <c r="M5" s="2"/>
    </row>
    <row r="6" spans="1:13">
      <c r="A6" s="9">
        <v>43854</v>
      </c>
      <c r="B6" s="7" t="s">
        <v>23</v>
      </c>
      <c r="C6" s="7" t="s">
        <v>24</v>
      </c>
      <c r="D6" s="7" t="s">
        <v>20</v>
      </c>
      <c r="E6" s="7">
        <v>1238</v>
      </c>
      <c r="F6" s="7">
        <v>323.05</v>
      </c>
      <c r="G6" s="7">
        <f>H6*K4</f>
        <v>799.87180000000001</v>
      </c>
      <c r="H6" s="7">
        <v>399935.9</v>
      </c>
      <c r="I6" s="2"/>
      <c r="J6" s="2"/>
      <c r="K6" s="2"/>
      <c r="L6" s="2"/>
      <c r="M6" s="2"/>
    </row>
    <row r="7" spans="1:13">
      <c r="A7" s="9">
        <v>43854</v>
      </c>
      <c r="B7" s="7" t="s">
        <v>25</v>
      </c>
      <c r="C7" s="7" t="s">
        <v>26</v>
      </c>
      <c r="D7" s="7" t="s">
        <v>20</v>
      </c>
      <c r="E7" s="7">
        <v>4281</v>
      </c>
      <c r="F7" s="7">
        <v>68.47</v>
      </c>
      <c r="G7" s="7">
        <f>H7*K4</f>
        <v>586.24014</v>
      </c>
      <c r="H7" s="7">
        <v>293120.07</v>
      </c>
      <c r="I7" s="2"/>
      <c r="J7" s="2"/>
      <c r="K7" s="2"/>
      <c r="L7" s="2"/>
      <c r="M7" s="2"/>
    </row>
    <row r="8" spans="1:13">
      <c r="A8" s="16">
        <v>43861</v>
      </c>
      <c r="B8" s="18"/>
      <c r="C8" s="18"/>
      <c r="D8" s="18"/>
      <c r="E8" s="18"/>
      <c r="F8" s="18"/>
      <c r="G8" s="18"/>
      <c r="H8" s="18"/>
      <c r="I8" s="19"/>
      <c r="J8" s="2"/>
      <c r="K8" s="2"/>
      <c r="L8" s="2"/>
      <c r="M8" s="2"/>
    </row>
    <row r="9" spans="1:13">
      <c r="A9" s="9">
        <v>43868</v>
      </c>
      <c r="B9" s="7" t="s">
        <v>31</v>
      </c>
      <c r="C9" s="7" t="s">
        <v>32</v>
      </c>
      <c r="D9" s="20" t="s">
        <v>34</v>
      </c>
      <c r="E9" s="7">
        <v>-1874</v>
      </c>
      <c r="F9" s="7">
        <v>160.08000000000001</v>
      </c>
      <c r="G9" s="7">
        <f>ABS(H9*K4)</f>
        <v>599.97984000000008</v>
      </c>
      <c r="H9" s="7">
        <f t="shared" ref="H9:H10" si="0">F9*E9</f>
        <v>-299989.92000000004</v>
      </c>
      <c r="I9" s="2"/>
      <c r="J9" s="2"/>
      <c r="K9" s="2"/>
      <c r="L9" s="2"/>
      <c r="M9" s="2"/>
    </row>
    <row r="10" spans="1:13">
      <c r="A10" s="22">
        <v>43868</v>
      </c>
      <c r="B10" s="15" t="s">
        <v>35</v>
      </c>
      <c r="C10" s="15" t="s">
        <v>35</v>
      </c>
      <c r="D10" s="15" t="s">
        <v>20</v>
      </c>
      <c r="E10" s="15">
        <v>651</v>
      </c>
      <c r="F10" s="15">
        <v>153.41</v>
      </c>
      <c r="G10" s="17">
        <f>H10*K4</f>
        <v>199.73982000000001</v>
      </c>
      <c r="H10" s="17">
        <f t="shared" si="0"/>
        <v>99869.91</v>
      </c>
      <c r="I10" s="2"/>
      <c r="J10" s="2"/>
      <c r="K10" s="2"/>
      <c r="L10" s="2"/>
      <c r="M10" s="2"/>
    </row>
    <row r="11" spans="1:13">
      <c r="A11" s="9">
        <v>43875</v>
      </c>
      <c r="B11" s="7" t="s">
        <v>31</v>
      </c>
      <c r="C11" s="7" t="s">
        <v>32</v>
      </c>
      <c r="D11" s="7" t="s">
        <v>20</v>
      </c>
      <c r="E11" s="7">
        <v>1874</v>
      </c>
      <c r="F11" s="7">
        <v>161.01</v>
      </c>
      <c r="G11" s="19">
        <f>H11*K4</f>
        <v>603.46547999999996</v>
      </c>
      <c r="H11" s="19">
        <f>E11*F11</f>
        <v>301732.74</v>
      </c>
      <c r="I11" s="2"/>
      <c r="J11" s="2"/>
      <c r="K11" s="2"/>
      <c r="L11" s="2"/>
      <c r="M11" s="2"/>
    </row>
    <row r="12" spans="1:13">
      <c r="A12" s="25">
        <v>43875</v>
      </c>
      <c r="B12" s="26" t="s">
        <v>25</v>
      </c>
      <c r="C12" s="15" t="s">
        <v>26</v>
      </c>
      <c r="D12" s="27" t="s">
        <v>34</v>
      </c>
      <c r="E12" s="26">
        <v>1500</v>
      </c>
      <c r="F12" s="26">
        <v>67.27</v>
      </c>
      <c r="G12" s="21">
        <f>H12*K4</f>
        <v>201.81</v>
      </c>
      <c r="H12" s="21">
        <f>F12*E12</f>
        <v>100905</v>
      </c>
    </row>
    <row r="13" spans="1:13" ht="15.75" customHeight="1">
      <c r="A13" s="25">
        <v>43882</v>
      </c>
      <c r="B13" s="21"/>
      <c r="C13" s="21"/>
      <c r="D13" s="21"/>
      <c r="E13" s="21"/>
      <c r="F13" s="21"/>
      <c r="G13" s="21"/>
      <c r="H13" s="21"/>
    </row>
    <row r="14" spans="1:13">
      <c r="A14" s="28">
        <v>43889</v>
      </c>
      <c r="B14" s="7" t="s">
        <v>18</v>
      </c>
      <c r="C14" s="7" t="s">
        <v>19</v>
      </c>
      <c r="D14" s="29" t="s">
        <v>34</v>
      </c>
      <c r="E14" s="30">
        <v>471</v>
      </c>
      <c r="F14" s="7">
        <v>274.54000000000002</v>
      </c>
      <c r="G14" s="31">
        <f t="shared" ref="G14:G17" si="1">H14*$K$4</f>
        <v>258.61668000000003</v>
      </c>
      <c r="H14" s="31">
        <f t="shared" ref="H14:H17" si="2">E14*F14</f>
        <v>129308.34000000001</v>
      </c>
    </row>
    <row r="15" spans="1:13">
      <c r="A15" s="28">
        <v>43889</v>
      </c>
      <c r="B15" s="7" t="s">
        <v>23</v>
      </c>
      <c r="C15" s="7" t="s">
        <v>24</v>
      </c>
      <c r="D15" s="29" t="s">
        <v>34</v>
      </c>
      <c r="E15" s="7">
        <v>1238</v>
      </c>
      <c r="F15" s="7">
        <v>275.35000000000002</v>
      </c>
      <c r="G15" s="31">
        <f t="shared" si="1"/>
        <v>681.76660000000015</v>
      </c>
      <c r="H15" s="31">
        <f t="shared" si="2"/>
        <v>340883.30000000005</v>
      </c>
    </row>
    <row r="16" spans="1:13">
      <c r="A16" s="28">
        <v>43889</v>
      </c>
      <c r="B16" s="7" t="s">
        <v>25</v>
      </c>
      <c r="C16" s="7" t="s">
        <v>26</v>
      </c>
      <c r="D16" s="29" t="s">
        <v>34</v>
      </c>
      <c r="E16" s="7">
        <f>2781</f>
        <v>2781</v>
      </c>
      <c r="F16" s="7">
        <v>55.52</v>
      </c>
      <c r="G16" s="31">
        <f t="shared" si="1"/>
        <v>308.80223999999998</v>
      </c>
      <c r="H16" s="31">
        <f t="shared" si="2"/>
        <v>154401.12</v>
      </c>
    </row>
    <row r="17" spans="1:10">
      <c r="A17" s="25">
        <v>43889</v>
      </c>
      <c r="B17" s="32" t="s">
        <v>35</v>
      </c>
      <c r="C17" s="15" t="s">
        <v>35</v>
      </c>
      <c r="D17" s="27" t="s">
        <v>34</v>
      </c>
      <c r="E17" s="15">
        <v>651</v>
      </c>
      <c r="F17" s="15">
        <v>130.09</v>
      </c>
      <c r="G17" s="21">
        <f t="shared" si="1"/>
        <v>169.37718000000001</v>
      </c>
      <c r="H17" s="21">
        <f t="shared" si="2"/>
        <v>84688.59</v>
      </c>
    </row>
    <row r="18" spans="1:10" ht="15.75" customHeight="1">
      <c r="A18" s="25">
        <v>43896</v>
      </c>
      <c r="B18" s="21"/>
      <c r="C18" s="21"/>
      <c r="D18" s="21"/>
      <c r="E18" s="21"/>
      <c r="F18" s="21"/>
      <c r="G18" s="21"/>
      <c r="H18" s="21"/>
    </row>
    <row r="19" spans="1:10" ht="15.75" customHeight="1">
      <c r="A19" s="25">
        <v>43903</v>
      </c>
      <c r="B19" s="21"/>
      <c r="C19" s="21"/>
      <c r="D19" s="21"/>
      <c r="E19" s="21"/>
      <c r="F19" s="21"/>
      <c r="G19" s="21"/>
      <c r="H19" s="21"/>
    </row>
    <row r="20" spans="1:10" ht="15.75" customHeight="1">
      <c r="A20" s="28">
        <v>43910</v>
      </c>
      <c r="B20" s="5" t="s">
        <v>47</v>
      </c>
      <c r="C20" s="5" t="s">
        <v>48</v>
      </c>
      <c r="D20" s="5" t="s">
        <v>20</v>
      </c>
      <c r="E20" s="5">
        <v>1775</v>
      </c>
      <c r="F20" s="5">
        <v>113.97</v>
      </c>
      <c r="G20" s="12">
        <f>H20*K4</f>
        <v>404.59350000000001</v>
      </c>
      <c r="H20" s="12">
        <f t="shared" ref="H20:H21" si="3">E20*F20</f>
        <v>202296.75</v>
      </c>
      <c r="J20" s="5">
        <v>200000</v>
      </c>
    </row>
    <row r="21" spans="1:10" ht="15.75" customHeight="1">
      <c r="A21" s="25">
        <v>43910</v>
      </c>
      <c r="B21" s="32" t="s">
        <v>49</v>
      </c>
      <c r="C21" s="32" t="s">
        <v>50</v>
      </c>
      <c r="D21" s="32" t="s">
        <v>20</v>
      </c>
      <c r="E21" s="32">
        <v>9800</v>
      </c>
      <c r="F21" s="32">
        <v>51.8</v>
      </c>
      <c r="G21" s="34">
        <f>H21*K4</f>
        <v>1015.28</v>
      </c>
      <c r="H21" s="34">
        <f t="shared" si="3"/>
        <v>507640</v>
      </c>
      <c r="J21" s="5">
        <v>500000</v>
      </c>
    </row>
    <row r="22" spans="1:10" ht="15.75" customHeight="1">
      <c r="A22" s="35">
        <v>43917</v>
      </c>
      <c r="B22" s="21"/>
      <c r="C22" s="21"/>
      <c r="D22" s="21"/>
      <c r="E22" s="21"/>
      <c r="F22" s="21"/>
      <c r="G22" s="21"/>
      <c r="H22" s="21"/>
    </row>
    <row r="23" spans="1:10" ht="15.75" customHeight="1">
      <c r="A23" s="35">
        <v>43924</v>
      </c>
      <c r="B23" s="21"/>
      <c r="C23" s="21"/>
      <c r="D23" s="21"/>
      <c r="E23" s="21"/>
      <c r="F23" s="21"/>
      <c r="G23" s="21"/>
      <c r="H23" s="21"/>
    </row>
    <row r="24" spans="1:10" ht="15.75" customHeight="1">
      <c r="A24" s="35">
        <v>43931</v>
      </c>
      <c r="B24" s="21"/>
      <c r="C24" s="21"/>
      <c r="D24" s="21"/>
      <c r="E24" s="21"/>
      <c r="F24" s="21"/>
      <c r="G24" s="21"/>
      <c r="H24" s="21"/>
    </row>
    <row r="25" spans="1:10" ht="15.75" customHeight="1">
      <c r="A25" s="35">
        <v>43938</v>
      </c>
      <c r="B25" s="21"/>
      <c r="C25" s="21"/>
      <c r="D25" s="21"/>
      <c r="E25" s="21"/>
      <c r="F25" s="21"/>
      <c r="G25" s="21"/>
      <c r="H25" s="21"/>
    </row>
  </sheetData>
  <mergeCells count="1"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Position Table</vt:lpstr>
      <vt:lpstr>Transaction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2020-04-19T08:17:40Z</dcterms:modified>
</cp:coreProperties>
</file>