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<sst xmlns="http://schemas.openxmlformats.org/spreadsheetml/2006/main" count="92" uniqueCount="50">
  <si>
    <t>Expt. No. 13(a)(b)( c )</t>
  </si>
  <si>
    <t>JAW CRUSHER, ROLL CRUSHER AND BALL MILL</t>
  </si>
  <si>
    <t>1. JAW CRUSHER</t>
  </si>
  <si>
    <t>Observations Table:-</t>
  </si>
  <si>
    <t>Feed weight = 5kg (Stone)</t>
  </si>
  <si>
    <t>Power intial = 133.4 kwh</t>
  </si>
  <si>
    <t>Initial Feed Diameter (mm)</t>
  </si>
  <si>
    <t>Power final = 133.5 kwh</t>
  </si>
  <si>
    <t>Time = 3 min</t>
  </si>
  <si>
    <t>S.No</t>
  </si>
  <si>
    <t>Sieve No.</t>
  </si>
  <si>
    <t>Size(mm)</t>
  </si>
  <si>
    <t>Weight obtained (g)</t>
  </si>
  <si>
    <t>x_i</t>
  </si>
  <si>
    <t>Mesh Size (mm)</t>
  </si>
  <si>
    <t>Weight Retained (g)</t>
  </si>
  <si>
    <t>Cumulative</t>
  </si>
  <si>
    <t>Differential</t>
  </si>
  <si>
    <t>Mesh Size</t>
  </si>
  <si>
    <t>Dp_i</t>
  </si>
  <si>
    <t>x_i/Dp_i(1/m)</t>
  </si>
  <si>
    <t>xi*Dp_i(m)</t>
  </si>
  <si>
    <t>xi/(Dpi_^3)(m^3)</t>
  </si>
  <si>
    <t>Ds (mm)</t>
  </si>
  <si>
    <t>Kicks Law Constant</t>
  </si>
  <si>
    <t>Dw (mm)</t>
  </si>
  <si>
    <t>Rittingers Law Constant</t>
  </si>
  <si>
    <t>Dv (mm)</t>
  </si>
  <si>
    <t>Work Index</t>
  </si>
  <si>
    <t>Nw</t>
  </si>
  <si>
    <t>Aw (m^2/Kg)</t>
  </si>
  <si>
    <t>Pan</t>
  </si>
  <si>
    <t>Sum</t>
  </si>
  <si>
    <t>2. ROLL CRUSHER</t>
  </si>
  <si>
    <t>Feed for Roll Crusher = 0.454 kg</t>
  </si>
  <si>
    <t>Sieve BSS No.</t>
  </si>
  <si>
    <t>Size (mm)</t>
  </si>
  <si>
    <t>Weight obtained (kg)</t>
  </si>
  <si>
    <t>Weight retained (kg)</t>
  </si>
  <si>
    <t xml:space="preserve">           x_i</t>
  </si>
  <si>
    <t>x_i/Dp_i</t>
  </si>
  <si>
    <t>x_i*Dpi</t>
  </si>
  <si>
    <t>xi/(Dpi_^3)</t>
  </si>
  <si>
    <t xml:space="preserve">Nw </t>
  </si>
  <si>
    <t>PAN</t>
  </si>
  <si>
    <t>SUM</t>
  </si>
  <si>
    <t>3. BALL MILL</t>
  </si>
  <si>
    <t>Feed for Ball Mill = 28 g</t>
  </si>
  <si>
    <t>x_i*Dp_i</t>
  </si>
  <si>
    <t>xi/(Dp_i^3)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</si>
</sst>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u/>
      <sz val="12.0"/>
      <color rgb="FF1155CC"/>
      <name val="&quot;Times New Roman&quot;"/>
    </font>
    <font>
      <b/>
      <sz val="12.0"/>
      <color theme="1"/>
      <name val="&quot;Times New Roman&quot;"/>
    </font>
    <font>
      <b/>
      <color theme="1"/>
      <name val="Arial"/>
    </font>
    <font>
      <b/>
      <u/>
      <sz val="12.0"/>
      <color rgb="FF1155CC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vertical="bottom"/>
    </xf>
    <xf borderId="2" fillId="0" fontId="3" numFmtId="0" xfId="0" applyBorder="1" applyFont="1"/>
    <xf borderId="1" fillId="0" fontId="3" numFmtId="0" xfId="0" applyBorder="1" applyFont="1"/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3" fillId="2" fontId="2" numFmtId="0" xfId="0" applyAlignment="1" applyBorder="1" applyFont="1">
      <alignment horizontal="center" vertical="bottom"/>
    </xf>
    <xf borderId="3" fillId="0" fontId="3" numFmtId="0" xfId="0" applyBorder="1" applyFont="1"/>
    <xf borderId="5" fillId="0" fontId="3" numFmtId="0" xfId="0" applyBorder="1" applyFont="1"/>
    <xf borderId="3" fillId="2" fontId="2" numFmtId="0" xfId="0" applyAlignment="1" applyBorder="1" applyFont="1">
      <alignment vertical="top"/>
    </xf>
    <xf borderId="5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6" fillId="2" fontId="2" numFmtId="0" xfId="0" applyAlignment="1" applyBorder="1" applyFont="1">
      <alignment vertical="bottom"/>
    </xf>
    <xf borderId="3" fillId="2" fontId="4" numFmtId="0" xfId="0" applyAlignment="1" applyBorder="1" applyFont="1">
      <alignment vertical="top"/>
    </xf>
    <xf borderId="3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2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top"/>
    </xf>
    <xf borderId="8" fillId="2" fontId="6" numFmtId="0" xfId="0" applyAlignment="1" applyBorder="1" applyFont="1">
      <alignment horizontal="center" vertical="top"/>
    </xf>
    <xf borderId="8" fillId="2" fontId="4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vertical="bottom"/>
    </xf>
    <xf borderId="5" fillId="0" fontId="7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4" fillId="0" fontId="3" numFmtId="0" xfId="0" applyBorder="1" applyFont="1"/>
    <xf borderId="5" fillId="0" fontId="1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top"/>
    </xf>
    <xf borderId="5" fillId="2" fontId="4" numFmtId="0" xfId="0" applyAlignment="1" applyBorder="1" applyFont="1">
      <alignment horizontal="center" vertical="top"/>
    </xf>
    <xf borderId="5" fillId="2" fontId="4" numFmtId="0" xfId="0" applyAlignment="1" applyBorder="1" applyFont="1">
      <alignment horizontal="center" readingOrder="0" vertical="top"/>
    </xf>
    <xf borderId="3" fillId="2" fontId="4" numFmtId="0" xfId="0" applyAlignment="1" applyBorder="1" applyFont="1">
      <alignment horizontal="center" vertical="top"/>
    </xf>
    <xf borderId="8" fillId="2" fontId="1" numFmtId="0" xfId="0" applyAlignment="1" applyBorder="1" applyFont="1">
      <alignment vertical="top"/>
    </xf>
    <xf borderId="5" fillId="2" fontId="4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top"/>
    </xf>
    <xf borderId="5" fillId="2" fontId="1" numFmtId="0" xfId="0" applyAlignment="1" applyBorder="1" applyFont="1">
      <alignment vertical="top"/>
    </xf>
    <xf borderId="5" fillId="2" fontId="1" numFmtId="0" xfId="0" applyAlignment="1" applyBorder="1" applyFont="1">
      <alignment horizontal="right" vertical="top"/>
    </xf>
    <xf borderId="3" fillId="2" fontId="2" numFmtId="0" xfId="0" applyAlignment="1" applyBorder="1" applyFont="1">
      <alignment readingOrder="0" vertical="top"/>
    </xf>
    <xf borderId="7" fillId="2" fontId="8" numFmtId="0" xfId="0" applyAlignment="1" applyBorder="1" applyFont="1">
      <alignment horizontal="center" vertical="bottom"/>
    </xf>
    <xf borderId="8" fillId="2" fontId="6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2" fontId="4" numFmtId="0" xfId="0" applyAlignment="1" applyBorder="1" applyFont="1">
      <alignment horizontal="right" vertical="bottom"/>
    </xf>
    <xf borderId="5" fillId="0" fontId="7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5" fillId="0" fontId="1" numFmtId="11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5" fillId="0" fontId="7" numFmtId="11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Cumulative Analysis of Jaw Crusher Product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Sheet1!$G$11:$G$14</c:f>
            </c:strRef>
          </c:cat>
          <c:val>
            <c:numRef>
              <c:f>Sheet1!$I$11:$I$14</c:f>
              <c:numCache/>
            </c:numRef>
          </c:val>
          <c:smooth val="0"/>
        </c:ser>
        <c:axId val="2050238450"/>
        <c:axId val="766418870"/>
      </c:lineChart>
      <c:catAx>
        <c:axId val="2050238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418870"/>
      </c:catAx>
      <c:valAx>
        <c:axId val="766418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fraction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38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Differential Analysis of Jaw Crusher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Sheet1!$G$11:$G$14</c:f>
            </c:strRef>
          </c:cat>
          <c:val>
            <c:numRef>
              <c:f>Sheet1!$J$11:$J$14</c:f>
              <c:numCache/>
            </c:numRef>
          </c:val>
        </c:ser>
        <c:axId val="2001644278"/>
        <c:axId val="14054612"/>
      </c:barChart>
      <c:catAx>
        <c:axId val="2001644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612"/>
      </c:catAx>
      <c:valAx>
        <c:axId val="1405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Differential Fractions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644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Cumulative Analysis of Roll Crusher Product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Sheet1!$I$19:$I$20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Sheet1!$G$21:$G$27</c:f>
            </c:strRef>
          </c:cat>
          <c:val>
            <c:numRef>
              <c:f>Sheet1!$I$21:$I$27</c:f>
              <c:numCache/>
            </c:numRef>
          </c:val>
          <c:smooth val="0"/>
        </c:ser>
        <c:axId val="1369240110"/>
        <c:axId val="531416404"/>
      </c:lineChart>
      <c:catAx>
        <c:axId val="1369240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416404"/>
      </c:catAx>
      <c:valAx>
        <c:axId val="5314164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fraction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240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Differential Analysis of Roll Crusher Product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Sheet1!$J$19:$J$20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Sheet1!$G$21:$G$27</c:f>
            </c:strRef>
          </c:cat>
          <c:val>
            <c:numRef>
              <c:f>Sheet1!$J$21:$J$27</c:f>
              <c:numCache/>
            </c:numRef>
          </c:val>
        </c:ser>
        <c:axId val="1552812452"/>
        <c:axId val="1010379739"/>
      </c:barChart>
      <c:catAx>
        <c:axId val="155281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379739"/>
      </c:catAx>
      <c:valAx>
        <c:axId val="1010379739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Differential Fractions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1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Cumulative Analysis of Ball Mill Product </a:t>
            </a:r>
          </a:p>
        </c:rich>
      </c:tx>
      <c:layout>
        <c:manualLayout>
          <c:xMode val="edge"/>
          <c:yMode val="edge"/>
          <c:x val="0.028709677419354842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Sheet1!$G$34:$G$37</c:f>
            </c:strRef>
          </c:cat>
          <c:val>
            <c:numRef>
              <c:f>Sheet1!$I$34:$I$37</c:f>
              <c:numCache/>
            </c:numRef>
          </c:val>
          <c:smooth val="0"/>
        </c:ser>
        <c:axId val="1492265699"/>
        <c:axId val="2000821893"/>
      </c:lineChart>
      <c:catAx>
        <c:axId val="1492265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821893"/>
      </c:catAx>
      <c:valAx>
        <c:axId val="20008218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fraction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265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Differential Analysis of Ball Mill Product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Sheet1!$J$32:$J$33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Sheet1!$G$34:$G$37</c:f>
            </c:strRef>
          </c:cat>
          <c:val>
            <c:numRef>
              <c:f>Sheet1!$J$34:$J$37</c:f>
              <c:numCache/>
            </c:numRef>
          </c:val>
        </c:ser>
        <c:axId val="1183684859"/>
        <c:axId val="1902793157"/>
      </c:barChart>
      <c:catAx>
        <c:axId val="1183684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Mesh Size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793157"/>
      </c:catAx>
      <c:valAx>
        <c:axId val="190279315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Differential Fractions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684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133350</xdr:rowOff>
    </xdr:from>
    <xdr:ext cx="4429125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1924050</xdr:colOff>
      <xdr:row>39</xdr:row>
      <xdr:rowOff>133350</xdr:rowOff>
    </xdr:from>
    <xdr:ext cx="4429125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39</xdr:row>
      <xdr:rowOff>133350</xdr:rowOff>
    </xdr:from>
    <xdr:ext cx="442912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0</xdr:colOff>
      <xdr:row>39</xdr:row>
      <xdr:rowOff>133350</xdr:rowOff>
    </xdr:from>
    <xdr:ext cx="4429125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781050</xdr:colOff>
      <xdr:row>39</xdr:row>
      <xdr:rowOff>142875</xdr:rowOff>
    </xdr:from>
    <xdr:ext cx="4429125" cy="2733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228600</xdr:colOff>
      <xdr:row>39</xdr:row>
      <xdr:rowOff>142875</xdr:rowOff>
    </xdr:from>
    <xdr:ext cx="4429125" cy="2733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25"/>
    <col customWidth="1" min="15" max="15" width="15.0"/>
    <col customWidth="1" min="21" max="21" width="19.88"/>
  </cols>
  <sheetData>
    <row r="1">
      <c r="A1" s="1"/>
      <c r="B1" s="2" t="s">
        <v>0</v>
      </c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8" t="s">
        <v>1</v>
      </c>
      <c r="C2" s="9"/>
      <c r="D2" s="9"/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/>
      <c r="B3" s="11" t="s">
        <v>2</v>
      </c>
      <c r="C3" s="10"/>
      <c r="D3" s="12"/>
      <c r="E3" s="12"/>
      <c r="F3" s="6"/>
      <c r="G3" s="13"/>
      <c r="H3" s="13"/>
      <c r="I3" s="13"/>
      <c r="J3" s="1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4" t="s">
        <v>3</v>
      </c>
      <c r="B4" s="9"/>
      <c r="C4" s="10"/>
      <c r="D4" s="12"/>
      <c r="E4" s="12"/>
      <c r="F4" s="6"/>
      <c r="G4" s="13"/>
      <c r="H4" s="6"/>
      <c r="I4" s="6"/>
      <c r="J4" s="1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/>
      <c r="B5" s="15" t="s">
        <v>4</v>
      </c>
      <c r="C5" s="9"/>
      <c r="D5" s="10"/>
      <c r="E5" s="12"/>
      <c r="F5" s="6"/>
      <c r="G5" s="13"/>
      <c r="H5" s="6"/>
      <c r="I5" s="6"/>
      <c r="J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/>
      <c r="B6" s="16" t="s">
        <v>5</v>
      </c>
      <c r="C6" s="10"/>
      <c r="D6" s="17" t="s">
        <v>6</v>
      </c>
      <c r="E6" s="18">
        <f>60</f>
        <v>60</v>
      </c>
      <c r="F6" s="6"/>
      <c r="G6" s="13"/>
      <c r="H6" s="6"/>
      <c r="I6" s="6"/>
      <c r="J6" s="1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7"/>
      <c r="B7" s="16" t="s">
        <v>7</v>
      </c>
      <c r="C7" s="10"/>
      <c r="D7" s="12"/>
      <c r="E7" s="1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7"/>
      <c r="B8" s="16" t="s">
        <v>8</v>
      </c>
      <c r="C8" s="12"/>
      <c r="D8" s="12"/>
      <c r="E8" s="12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5"/>
      <c r="S8" s="5"/>
      <c r="T8" s="6"/>
      <c r="U8" s="5"/>
      <c r="V8" s="5"/>
      <c r="W8" s="6"/>
      <c r="X8" s="6"/>
      <c r="Y8" s="6"/>
      <c r="Z8" s="6"/>
      <c r="AA8" s="6"/>
      <c r="AB8" s="6"/>
    </row>
    <row r="9">
      <c r="A9" s="19" t="s">
        <v>9</v>
      </c>
      <c r="B9" s="20" t="s">
        <v>10</v>
      </c>
      <c r="C9" s="20" t="s">
        <v>11</v>
      </c>
      <c r="D9" s="20" t="s">
        <v>12</v>
      </c>
      <c r="E9" s="21" t="s">
        <v>13</v>
      </c>
      <c r="F9" s="22"/>
      <c r="G9" s="23" t="s">
        <v>14</v>
      </c>
      <c r="H9" s="23" t="s">
        <v>15</v>
      </c>
      <c r="I9" s="23" t="s">
        <v>16</v>
      </c>
      <c r="J9" s="23" t="s">
        <v>17</v>
      </c>
      <c r="K9" s="24" t="s">
        <v>18</v>
      </c>
      <c r="L9" s="24" t="s">
        <v>19</v>
      </c>
      <c r="M9" s="24" t="s">
        <v>13</v>
      </c>
      <c r="N9" s="24" t="s">
        <v>20</v>
      </c>
      <c r="O9" s="24" t="s">
        <v>21</v>
      </c>
      <c r="P9" s="25" t="s">
        <v>22</v>
      </c>
      <c r="Q9" s="22"/>
      <c r="R9" s="24" t="s">
        <v>23</v>
      </c>
      <c r="S9" s="26">
        <f>1/N14*1000</f>
        <v>9.084326359</v>
      </c>
      <c r="T9" s="22"/>
      <c r="U9" s="27" t="s">
        <v>24</v>
      </c>
      <c r="V9" s="28">
        <f>0.1/5*ln(60/S9)</f>
        <v>0.03775588024</v>
      </c>
      <c r="W9" s="6"/>
      <c r="X9" s="6"/>
      <c r="Y9" s="6"/>
      <c r="Z9" s="6"/>
      <c r="AA9" s="6"/>
      <c r="AB9" s="6"/>
    </row>
    <row r="10">
      <c r="A10" s="29"/>
      <c r="B10" s="10"/>
      <c r="C10" s="10"/>
      <c r="D10" s="10"/>
      <c r="E10" s="10"/>
      <c r="F10" s="22"/>
      <c r="G10" s="10"/>
      <c r="H10" s="10"/>
      <c r="I10" s="10"/>
      <c r="J10" s="10"/>
      <c r="K10" s="30">
        <v>0.0</v>
      </c>
      <c r="L10" s="26">
        <f>3.15</f>
        <v>3.15</v>
      </c>
      <c r="M10" s="26">
        <f>J14</f>
        <v>0.1924</v>
      </c>
      <c r="N10" s="26">
        <f t="shared" ref="N10:N13" si="1">M10/L10*1000</f>
        <v>61.07936508</v>
      </c>
      <c r="O10" s="26">
        <f t="shared" ref="O10:O13" si="2">M10*L10*10^-3</f>
        <v>0.00060606</v>
      </c>
      <c r="P10" s="26">
        <f t="shared" ref="P10:P13" si="3">M10/(L10*10^-3)^3</f>
        <v>6155642.739</v>
      </c>
      <c r="Q10" s="22"/>
      <c r="R10" s="24" t="s">
        <v>25</v>
      </c>
      <c r="S10" s="26">
        <f>O14*1000</f>
        <v>14.65783</v>
      </c>
      <c r="T10" s="22"/>
      <c r="U10" s="27" t="s">
        <v>26</v>
      </c>
      <c r="V10" s="28">
        <f>0.1/5/(1/S9*1000-1/60*1000)</f>
        <v>0.0002141028656</v>
      </c>
      <c r="W10" s="6"/>
      <c r="X10" s="6"/>
      <c r="Y10" s="6"/>
      <c r="Z10" s="6"/>
      <c r="AA10" s="6"/>
      <c r="AB10" s="6"/>
    </row>
    <row r="11">
      <c r="A11" s="31">
        <v>1.0</v>
      </c>
      <c r="B11" s="32">
        <v>1.0</v>
      </c>
      <c r="C11" s="32">
        <v>20.0</v>
      </c>
      <c r="D11" s="33">
        <v>2067.0</v>
      </c>
      <c r="E11" s="34">
        <f t="shared" ref="E11:E14" si="4">D11/$D$15</f>
        <v>0.4134</v>
      </c>
      <c r="F11" s="35"/>
      <c r="G11" s="36">
        <v>20.0</v>
      </c>
      <c r="H11" s="33">
        <v>2067.0</v>
      </c>
      <c r="I11" s="26">
        <f>1-E11</f>
        <v>0.5866</v>
      </c>
      <c r="J11" s="26">
        <f t="shared" ref="J11:J14" si="5">E11</f>
        <v>0.4134</v>
      </c>
      <c r="K11" s="30">
        <v>6.3</v>
      </c>
      <c r="L11" s="26">
        <f>9.4</f>
        <v>9.4</v>
      </c>
      <c r="M11" s="26">
        <f>J13</f>
        <v>0.0908</v>
      </c>
      <c r="N11" s="26">
        <f t="shared" si="1"/>
        <v>9.659574468</v>
      </c>
      <c r="O11" s="26">
        <f t="shared" si="2"/>
        <v>0.00085352</v>
      </c>
      <c r="P11" s="26">
        <f t="shared" si="3"/>
        <v>109320.6708</v>
      </c>
      <c r="Q11" s="22"/>
      <c r="R11" s="24" t="s">
        <v>27</v>
      </c>
      <c r="S11" s="26">
        <f>(1/P14)^(1/3)*1000</f>
        <v>5.389641662</v>
      </c>
      <c r="T11" s="22"/>
      <c r="U11" s="27" t="s">
        <v>28</v>
      </c>
      <c r="V11" s="28">
        <f>0.1/5/0.3162/(1/(sqrt(S9*10^-3))-1/(sqrt(60*10^-3)))</f>
        <v>0.009868483629</v>
      </c>
      <c r="W11" s="6"/>
      <c r="X11" s="6"/>
      <c r="Y11" s="6"/>
      <c r="Z11" s="6"/>
      <c r="AA11" s="6"/>
      <c r="AB11" s="6"/>
    </row>
    <row r="12">
      <c r="A12" s="31">
        <v>2.0</v>
      </c>
      <c r="B12" s="32">
        <v>2.0</v>
      </c>
      <c r="C12" s="32">
        <v>12.5</v>
      </c>
      <c r="D12" s="32">
        <v>1517.0</v>
      </c>
      <c r="E12" s="34">
        <f t="shared" si="4"/>
        <v>0.3034</v>
      </c>
      <c r="F12" s="35"/>
      <c r="G12" s="36">
        <v>12.5</v>
      </c>
      <c r="H12" s="32">
        <v>1517.0</v>
      </c>
      <c r="I12" s="26">
        <f t="shared" ref="I12:I14" si="6">I11-E12</f>
        <v>0.2832</v>
      </c>
      <c r="J12" s="26">
        <f t="shared" si="5"/>
        <v>0.3034</v>
      </c>
      <c r="K12" s="30">
        <v>12.5</v>
      </c>
      <c r="L12" s="26">
        <f>16.25</f>
        <v>16.25</v>
      </c>
      <c r="M12" s="26">
        <f>J12</f>
        <v>0.3034</v>
      </c>
      <c r="N12" s="26">
        <f t="shared" si="1"/>
        <v>18.67076923</v>
      </c>
      <c r="O12" s="26">
        <f t="shared" si="2"/>
        <v>0.00493025</v>
      </c>
      <c r="P12" s="26">
        <f t="shared" si="3"/>
        <v>70705.87164</v>
      </c>
      <c r="Q12" s="22"/>
      <c r="R12" s="24" t="s">
        <v>29</v>
      </c>
      <c r="S12" s="26">
        <f>ROUNDUP(1/2/2660/(S11*10^-3)^3)</f>
        <v>1201</v>
      </c>
      <c r="T12" s="6"/>
      <c r="U12" s="6"/>
      <c r="V12" s="6"/>
      <c r="W12" s="6"/>
      <c r="X12" s="6"/>
      <c r="Y12" s="6"/>
      <c r="Z12" s="6"/>
      <c r="AA12" s="6"/>
      <c r="AB12" s="6"/>
    </row>
    <row r="13">
      <c r="A13" s="31">
        <v>3.0</v>
      </c>
      <c r="B13" s="32">
        <v>3.0</v>
      </c>
      <c r="C13" s="32">
        <v>6.3</v>
      </c>
      <c r="D13" s="32">
        <v>454.0</v>
      </c>
      <c r="E13" s="34">
        <f t="shared" si="4"/>
        <v>0.0908</v>
      </c>
      <c r="F13" s="35"/>
      <c r="G13" s="36">
        <v>6.3</v>
      </c>
      <c r="H13" s="32">
        <v>454.0</v>
      </c>
      <c r="I13" s="26">
        <f t="shared" si="6"/>
        <v>0.1924</v>
      </c>
      <c r="J13" s="26">
        <f t="shared" si="5"/>
        <v>0.0908</v>
      </c>
      <c r="K13" s="30">
        <v>20.0</v>
      </c>
      <c r="L13" s="26">
        <f>20</f>
        <v>20</v>
      </c>
      <c r="M13" s="26">
        <f>J11</f>
        <v>0.4134</v>
      </c>
      <c r="N13" s="26">
        <f t="shared" si="1"/>
        <v>20.67</v>
      </c>
      <c r="O13" s="26">
        <f t="shared" si="2"/>
        <v>0.008268</v>
      </c>
      <c r="P13" s="26">
        <f t="shared" si="3"/>
        <v>51675</v>
      </c>
      <c r="Q13" s="22"/>
      <c r="R13" s="24" t="s">
        <v>30</v>
      </c>
      <c r="S13" s="26">
        <f>6/0.7/2660*N14</f>
        <v>0.3547144214</v>
      </c>
      <c r="T13" s="6"/>
      <c r="U13" s="6"/>
      <c r="V13" s="6"/>
      <c r="W13" s="6"/>
      <c r="X13" s="6"/>
      <c r="Y13" s="6"/>
      <c r="Z13" s="6"/>
      <c r="AA13" s="6"/>
      <c r="AB13" s="6"/>
    </row>
    <row r="14">
      <c r="A14" s="31">
        <v>4.0</v>
      </c>
      <c r="B14" s="32">
        <v>4.0</v>
      </c>
      <c r="C14" s="32" t="s">
        <v>31</v>
      </c>
      <c r="D14" s="32">
        <f>5000-(D11+D12+D13)</f>
        <v>962</v>
      </c>
      <c r="E14" s="34">
        <f t="shared" si="4"/>
        <v>0.1924</v>
      </c>
      <c r="F14" s="35"/>
      <c r="G14" s="36">
        <v>0.0</v>
      </c>
      <c r="H14" s="32">
        <f>5000-(H11+H12+H13)</f>
        <v>962</v>
      </c>
      <c r="I14" s="26">
        <f t="shared" si="6"/>
        <v>0</v>
      </c>
      <c r="J14" s="37">
        <f t="shared" si="5"/>
        <v>0.1924</v>
      </c>
      <c r="K14" s="22"/>
      <c r="L14" s="24" t="s">
        <v>32</v>
      </c>
      <c r="M14" s="38">
        <f t="shared" ref="M14:P14" si="7">SUM(M10:M13)</f>
        <v>1</v>
      </c>
      <c r="N14" s="38">
        <f t="shared" si="7"/>
        <v>110.0797088</v>
      </c>
      <c r="O14" s="38">
        <f t="shared" si="7"/>
        <v>0.01465783</v>
      </c>
      <c r="P14" s="38">
        <f t="shared" si="7"/>
        <v>6387344.282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9"/>
      <c r="B15" s="40"/>
      <c r="C15" s="40"/>
      <c r="D15" s="41">
        <f>SUM(D11:D14)</f>
        <v>5000</v>
      </c>
      <c r="E15" s="4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39"/>
      <c r="B16" s="11" t="s">
        <v>33</v>
      </c>
      <c r="C16" s="9"/>
      <c r="D16" s="40"/>
      <c r="E16" s="1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39"/>
      <c r="B17" s="11" t="s">
        <v>3</v>
      </c>
      <c r="C17" s="10"/>
      <c r="D17" s="40"/>
      <c r="E17" s="1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39"/>
      <c r="B18" s="42" t="s">
        <v>34</v>
      </c>
      <c r="C18" s="10"/>
      <c r="D18" s="40"/>
      <c r="E18" s="12"/>
      <c r="F18" s="6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43" t="s">
        <v>9</v>
      </c>
      <c r="B19" s="44" t="s">
        <v>35</v>
      </c>
      <c r="C19" s="45" t="s">
        <v>36</v>
      </c>
      <c r="D19" s="44" t="s">
        <v>37</v>
      </c>
      <c r="E19" s="12"/>
      <c r="F19" s="22"/>
      <c r="G19" s="23" t="s">
        <v>14</v>
      </c>
      <c r="H19" s="23" t="s">
        <v>38</v>
      </c>
      <c r="I19" s="23" t="s">
        <v>16</v>
      </c>
      <c r="J19" s="23" t="s">
        <v>17</v>
      </c>
      <c r="K19" s="5"/>
      <c r="L19" s="5"/>
      <c r="M19" s="5"/>
      <c r="N19" s="5"/>
      <c r="O19" s="5"/>
      <c r="P19" s="5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29"/>
      <c r="B20" s="10"/>
      <c r="C20" s="46"/>
      <c r="D20" s="10"/>
      <c r="E20" s="17" t="s">
        <v>39</v>
      </c>
      <c r="F20" s="22"/>
      <c r="G20" s="10"/>
      <c r="H20" s="10"/>
      <c r="I20" s="10"/>
      <c r="J20" s="10"/>
      <c r="K20" s="24" t="s">
        <v>18</v>
      </c>
      <c r="L20" s="24" t="s">
        <v>19</v>
      </c>
      <c r="M20" s="24" t="s">
        <v>13</v>
      </c>
      <c r="N20" s="24" t="s">
        <v>40</v>
      </c>
      <c r="O20" s="24" t="s">
        <v>41</v>
      </c>
      <c r="P20" s="24" t="s">
        <v>42</v>
      </c>
      <c r="Q20" s="6"/>
      <c r="R20" s="5"/>
      <c r="S20" s="5"/>
      <c r="T20" s="6"/>
      <c r="U20" s="5"/>
      <c r="V20" s="5"/>
      <c r="W20" s="6"/>
      <c r="X20" s="6"/>
      <c r="Y20" s="6"/>
      <c r="Z20" s="6"/>
      <c r="AA20" s="6"/>
      <c r="AB20" s="6"/>
    </row>
    <row r="21">
      <c r="A21" s="31">
        <v>1.0</v>
      </c>
      <c r="B21" s="36">
        <v>5.0</v>
      </c>
      <c r="C21" s="47">
        <v>3.35</v>
      </c>
      <c r="D21" s="36"/>
      <c r="E21" s="48">
        <f t="shared" ref="E21:E27" si="8">D21/$D$28</f>
        <v>0</v>
      </c>
      <c r="F21" s="22"/>
      <c r="G21" s="30"/>
      <c r="H21" s="36"/>
      <c r="I21" s="30"/>
      <c r="J21" s="26">
        <f t="shared" ref="J21:J27" si="9">E21</f>
        <v>0</v>
      </c>
      <c r="K21" s="30">
        <v>0.0</v>
      </c>
      <c r="L21" s="26">
        <f t="shared" ref="L21:L26" si="10">(K21+K22)/2</f>
        <v>0.5</v>
      </c>
      <c r="M21" s="26">
        <f>E27</f>
        <v>0.8193832599</v>
      </c>
      <c r="N21" s="26">
        <f t="shared" ref="N21:N27" si="11">M21/L21*1000</f>
        <v>1638.76652</v>
      </c>
      <c r="O21" s="26">
        <f t="shared" ref="O21:O27" si="12">M21*L21*10^-3</f>
        <v>0.00040969163</v>
      </c>
      <c r="P21" s="26">
        <f t="shared" ref="P21:P27" si="13">M21/(L21*10^-3)^3</f>
        <v>6555066079</v>
      </c>
      <c r="Q21" s="22"/>
      <c r="R21" s="24" t="s">
        <v>23</v>
      </c>
      <c r="S21" s="30">
        <f>1/N28*1000</f>
        <v>0.5714272401</v>
      </c>
      <c r="T21" s="6"/>
      <c r="U21" s="49" t="s">
        <v>24</v>
      </c>
      <c r="V21" s="26">
        <f>0.1/0.454/ln(S9/S21)</f>
        <v>0.07962794161</v>
      </c>
      <c r="W21" s="6"/>
      <c r="X21" s="6"/>
      <c r="Y21" s="6"/>
      <c r="Z21" s="6"/>
      <c r="AA21" s="6"/>
      <c r="AB21" s="6"/>
    </row>
    <row r="22">
      <c r="A22" s="31">
        <v>2.0</v>
      </c>
      <c r="B22" s="36">
        <v>7.0</v>
      </c>
      <c r="C22" s="47">
        <v>2.4</v>
      </c>
      <c r="D22" s="36"/>
      <c r="E22" s="48">
        <f t="shared" si="8"/>
        <v>0</v>
      </c>
      <c r="F22" s="22"/>
      <c r="G22" s="30"/>
      <c r="H22" s="36"/>
      <c r="I22" s="46"/>
      <c r="J22" s="26">
        <f t="shared" si="9"/>
        <v>0</v>
      </c>
      <c r="K22" s="30">
        <v>1.0</v>
      </c>
      <c r="L22" s="26">
        <f t="shared" si="10"/>
        <v>1.1</v>
      </c>
      <c r="M22" s="26">
        <f>E26</f>
        <v>0.02202643172</v>
      </c>
      <c r="N22" s="26">
        <f t="shared" si="11"/>
        <v>20.02402883</v>
      </c>
      <c r="O22" s="26">
        <f t="shared" si="12"/>
        <v>0.00002422907489</v>
      </c>
      <c r="P22" s="26">
        <f t="shared" si="13"/>
        <v>16548784.16</v>
      </c>
      <c r="Q22" s="22"/>
      <c r="R22" s="24" t="s">
        <v>25</v>
      </c>
      <c r="S22" s="26">
        <f>O28*1000</f>
        <v>0.7198237885</v>
      </c>
      <c r="T22" s="6"/>
      <c r="U22" s="49" t="s">
        <v>26</v>
      </c>
      <c r="V22" s="26">
        <f>0.1/0.454/(1/S21*1000-1/S9*1000)</f>
        <v>0.0001343137046</v>
      </c>
      <c r="W22" s="6"/>
      <c r="X22" s="6"/>
      <c r="Y22" s="6"/>
      <c r="Z22" s="6"/>
      <c r="AA22" s="6"/>
      <c r="AB22" s="6"/>
    </row>
    <row r="23">
      <c r="A23" s="31">
        <v>3.0</v>
      </c>
      <c r="B23" s="36">
        <v>8.0</v>
      </c>
      <c r="C23" s="47">
        <v>2.0</v>
      </c>
      <c r="D23" s="36">
        <v>26.0</v>
      </c>
      <c r="E23" s="48">
        <f t="shared" si="8"/>
        <v>0.05726872247</v>
      </c>
      <c r="F23" s="22"/>
      <c r="G23" s="50">
        <v>2.0</v>
      </c>
      <c r="H23" s="36">
        <v>26.0</v>
      </c>
      <c r="I23" s="26">
        <f>1-E23</f>
        <v>0.9427312775</v>
      </c>
      <c r="J23" s="26">
        <f t="shared" si="9"/>
        <v>0.05726872247</v>
      </c>
      <c r="K23" s="30">
        <v>1.2</v>
      </c>
      <c r="L23" s="26">
        <f t="shared" si="10"/>
        <v>1.3</v>
      </c>
      <c r="M23" s="26">
        <f>E25</f>
        <v>0.03083700441</v>
      </c>
      <c r="N23" s="26">
        <f t="shared" si="11"/>
        <v>23.72077262</v>
      </c>
      <c r="O23" s="26">
        <f t="shared" si="12"/>
        <v>0.00004008810573</v>
      </c>
      <c r="P23" s="26">
        <f t="shared" si="13"/>
        <v>14035960.13</v>
      </c>
      <c r="Q23" s="22"/>
      <c r="R23" s="24" t="s">
        <v>27</v>
      </c>
      <c r="S23" s="26">
        <f>(1/(P28))^(1/3)*1000</f>
        <v>0.53296762</v>
      </c>
      <c r="T23" s="22"/>
      <c r="U23" s="24" t="s">
        <v>28</v>
      </c>
      <c r="V23" s="26">
        <f>0.1/0.454/0.3162/(1/sqrt(S21*10^-3)-1/sqrt(S9*10^-3))</f>
        <v>0.02222630057</v>
      </c>
      <c r="W23" s="6"/>
      <c r="X23" s="6"/>
      <c r="Y23" s="6"/>
      <c r="Z23" s="6"/>
      <c r="AA23" s="6"/>
      <c r="AB23" s="6"/>
    </row>
    <row r="24">
      <c r="A24" s="31">
        <v>4.0</v>
      </c>
      <c r="B24" s="36">
        <v>12.0</v>
      </c>
      <c r="C24" s="47">
        <v>1.4</v>
      </c>
      <c r="D24" s="36">
        <v>32.0</v>
      </c>
      <c r="E24" s="48">
        <f t="shared" si="8"/>
        <v>0.0704845815</v>
      </c>
      <c r="F24" s="22"/>
      <c r="G24" s="30">
        <v>1.4</v>
      </c>
      <c r="H24" s="36">
        <v>32.0</v>
      </c>
      <c r="I24" s="26">
        <f t="shared" ref="I24:I27" si="14">I23-E24</f>
        <v>0.872246696</v>
      </c>
      <c r="J24" s="26">
        <f t="shared" si="9"/>
        <v>0.0704845815</v>
      </c>
      <c r="K24" s="30">
        <v>1.4</v>
      </c>
      <c r="L24" s="26">
        <f t="shared" si="10"/>
        <v>1.7</v>
      </c>
      <c r="M24" s="26">
        <f>E24</f>
        <v>0.0704845815</v>
      </c>
      <c r="N24" s="26">
        <f t="shared" si="11"/>
        <v>41.46151853</v>
      </c>
      <c r="O24" s="26">
        <f t="shared" si="12"/>
        <v>0.0001198237885</v>
      </c>
      <c r="P24" s="26">
        <f t="shared" si="13"/>
        <v>14346546.2</v>
      </c>
      <c r="Q24" s="22"/>
      <c r="R24" s="24" t="s">
        <v>43</v>
      </c>
      <c r="S24" s="26">
        <f>Roundup(1/2/2660/(S23*10^-3)^3)</f>
        <v>1241612</v>
      </c>
      <c r="T24" s="6"/>
      <c r="U24" s="6"/>
      <c r="V24" s="6"/>
      <c r="W24" s="6"/>
      <c r="X24" s="6"/>
      <c r="Y24" s="6"/>
      <c r="Z24" s="6"/>
      <c r="AA24" s="6"/>
      <c r="AB24" s="6"/>
    </row>
    <row r="25">
      <c r="A25" s="31">
        <v>5.0</v>
      </c>
      <c r="B25" s="36">
        <v>14.0</v>
      </c>
      <c r="C25" s="47">
        <v>1.2</v>
      </c>
      <c r="D25" s="36">
        <v>14.0</v>
      </c>
      <c r="E25" s="48">
        <f t="shared" si="8"/>
        <v>0.03083700441</v>
      </c>
      <c r="F25" s="22"/>
      <c r="G25" s="30">
        <v>1.2</v>
      </c>
      <c r="H25" s="36">
        <v>14.0</v>
      </c>
      <c r="I25" s="26">
        <f t="shared" si="14"/>
        <v>0.8414096916</v>
      </c>
      <c r="J25" s="26">
        <f t="shared" si="9"/>
        <v>0.03083700441</v>
      </c>
      <c r="K25" s="50">
        <v>2.0</v>
      </c>
      <c r="L25" s="26">
        <f t="shared" si="10"/>
        <v>2.2</v>
      </c>
      <c r="M25" s="26">
        <f>E23</f>
        <v>0.05726872247</v>
      </c>
      <c r="N25" s="26">
        <f t="shared" si="11"/>
        <v>26.03123748</v>
      </c>
      <c r="O25" s="26">
        <f t="shared" si="12"/>
        <v>0.0001259911894</v>
      </c>
      <c r="P25" s="26">
        <f t="shared" si="13"/>
        <v>5378354.852</v>
      </c>
      <c r="Q25" s="22"/>
      <c r="R25" s="24" t="s">
        <v>30</v>
      </c>
      <c r="S25" s="26">
        <f>6/0.7/2660*N28</f>
        <v>5.639110883</v>
      </c>
      <c r="T25" s="6"/>
      <c r="U25" s="6"/>
      <c r="V25" s="6"/>
      <c r="W25" s="6"/>
      <c r="X25" s="6"/>
      <c r="Y25" s="6"/>
      <c r="Z25" s="6"/>
      <c r="AA25" s="6"/>
      <c r="AB25" s="6"/>
    </row>
    <row r="26">
      <c r="A26" s="31">
        <v>6.0</v>
      </c>
      <c r="B26" s="36">
        <v>16.0</v>
      </c>
      <c r="C26" s="47">
        <v>1.0</v>
      </c>
      <c r="D26" s="36">
        <v>10.0</v>
      </c>
      <c r="E26" s="48">
        <f t="shared" si="8"/>
        <v>0.02202643172</v>
      </c>
      <c r="F26" s="22"/>
      <c r="G26" s="30">
        <v>1.0</v>
      </c>
      <c r="H26" s="36">
        <v>10.0</v>
      </c>
      <c r="I26" s="26">
        <f t="shared" si="14"/>
        <v>0.8193832599</v>
      </c>
      <c r="J26" s="26">
        <f t="shared" si="9"/>
        <v>0.02202643172</v>
      </c>
      <c r="K26" s="30">
        <v>2.4</v>
      </c>
      <c r="L26" s="26">
        <f t="shared" si="10"/>
        <v>2.875</v>
      </c>
      <c r="M26" s="26">
        <f>E22</f>
        <v>0</v>
      </c>
      <c r="N26" s="26">
        <f t="shared" si="11"/>
        <v>0</v>
      </c>
      <c r="O26" s="26">
        <f t="shared" si="12"/>
        <v>0</v>
      </c>
      <c r="P26" s="26">
        <f t="shared" si="13"/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51">
        <v>7.0</v>
      </c>
      <c r="B27" s="36" t="s">
        <v>44</v>
      </c>
      <c r="C27" s="52">
        <v>0.0</v>
      </c>
      <c r="D27" s="36">
        <f>454 - (D23+D24+D25+D26)</f>
        <v>372</v>
      </c>
      <c r="E27" s="48">
        <f t="shared" si="8"/>
        <v>0.8193832599</v>
      </c>
      <c r="F27" s="22"/>
      <c r="G27" s="30">
        <v>0.0</v>
      </c>
      <c r="H27" s="36">
        <v>911.0</v>
      </c>
      <c r="I27" s="26">
        <f t="shared" si="14"/>
        <v>0</v>
      </c>
      <c r="J27" s="26">
        <f t="shared" si="9"/>
        <v>0.8193832599</v>
      </c>
      <c r="K27" s="30">
        <v>3.35</v>
      </c>
      <c r="L27" s="26">
        <f>3.35</f>
        <v>3.35</v>
      </c>
      <c r="M27" s="26">
        <f>E21</f>
        <v>0</v>
      </c>
      <c r="N27" s="26">
        <f t="shared" si="11"/>
        <v>0</v>
      </c>
      <c r="O27" s="26">
        <f t="shared" si="12"/>
        <v>0</v>
      </c>
      <c r="P27" s="26">
        <f t="shared" si="13"/>
        <v>0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7"/>
      <c r="B28" s="12"/>
      <c r="C28" s="17" t="s">
        <v>45</v>
      </c>
      <c r="D28" s="48">
        <f t="shared" ref="D28:E28" si="15">SUM(D21:D27)</f>
        <v>454</v>
      </c>
      <c r="E28" s="48">
        <f t="shared" si="15"/>
        <v>1</v>
      </c>
      <c r="F28" s="6"/>
      <c r="G28" s="6"/>
      <c r="H28" s="6"/>
      <c r="I28" s="6"/>
      <c r="J28" s="6"/>
      <c r="K28" s="22"/>
      <c r="L28" s="24" t="s">
        <v>32</v>
      </c>
      <c r="M28" s="38">
        <f t="shared" ref="M28:P28" si="16">SUM(M21:M27)</f>
        <v>1</v>
      </c>
      <c r="N28" s="38">
        <f t="shared" si="16"/>
        <v>1750.004077</v>
      </c>
      <c r="O28" s="38">
        <f t="shared" si="16"/>
        <v>0.0007198237885</v>
      </c>
      <c r="P28" s="38">
        <f t="shared" si="16"/>
        <v>6605375725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/>
      <c r="B29" s="11" t="s">
        <v>46</v>
      </c>
      <c r="C29" s="10"/>
      <c r="D29" s="40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7"/>
      <c r="B30" s="11" t="s">
        <v>3</v>
      </c>
      <c r="C30" s="10"/>
      <c r="D30" s="40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7"/>
      <c r="B31" s="42" t="s">
        <v>47</v>
      </c>
      <c r="C31" s="10"/>
      <c r="D31" s="40"/>
      <c r="E31" s="12"/>
      <c r="F31" s="6"/>
      <c r="G31" s="5"/>
      <c r="H31" s="5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43" t="s">
        <v>9</v>
      </c>
      <c r="B32" s="44" t="s">
        <v>35</v>
      </c>
      <c r="C32" s="44" t="s">
        <v>36</v>
      </c>
      <c r="D32" s="44" t="s">
        <v>12</v>
      </c>
      <c r="E32" s="12"/>
      <c r="F32" s="22"/>
      <c r="G32" s="23" t="s">
        <v>18</v>
      </c>
      <c r="H32" s="23" t="s">
        <v>15</v>
      </c>
      <c r="I32" s="23" t="s">
        <v>16</v>
      </c>
      <c r="J32" s="23" t="s">
        <v>17</v>
      </c>
      <c r="K32" s="5"/>
      <c r="L32" s="5"/>
      <c r="M32" s="5"/>
      <c r="N32" s="5"/>
      <c r="O32" s="5"/>
      <c r="P32" s="5"/>
      <c r="Q32" s="6"/>
      <c r="R32" s="5"/>
      <c r="S32" s="5"/>
      <c r="T32" s="6"/>
      <c r="U32" s="5"/>
      <c r="V32" s="5"/>
      <c r="W32" s="6"/>
      <c r="X32" s="6"/>
      <c r="Y32" s="6"/>
      <c r="Z32" s="6"/>
      <c r="AA32" s="6"/>
      <c r="AB32" s="6"/>
    </row>
    <row r="33">
      <c r="A33" s="29"/>
      <c r="B33" s="10"/>
      <c r="C33" s="10"/>
      <c r="D33" s="10"/>
      <c r="E33" s="17" t="s">
        <v>13</v>
      </c>
      <c r="F33" s="22"/>
      <c r="G33" s="10"/>
      <c r="H33" s="10"/>
      <c r="I33" s="10"/>
      <c r="J33" s="10"/>
      <c r="K33" s="24" t="s">
        <v>18</v>
      </c>
      <c r="L33" s="24" t="s">
        <v>19</v>
      </c>
      <c r="M33" s="24" t="s">
        <v>13</v>
      </c>
      <c r="N33" s="24" t="s">
        <v>40</v>
      </c>
      <c r="O33" s="24" t="s">
        <v>48</v>
      </c>
      <c r="P33" s="24" t="s">
        <v>49</v>
      </c>
      <c r="Q33" s="22"/>
      <c r="R33" s="24" t="s">
        <v>23</v>
      </c>
      <c r="S33" s="30">
        <f>1/N38*1000</f>
        <v>0.10370144</v>
      </c>
      <c r="T33" s="6"/>
      <c r="U33" s="49" t="s">
        <v>24</v>
      </c>
      <c r="V33" s="26">
        <f>0.1/(0.028)/ln(S21/S33)</f>
        <v>2.092689728</v>
      </c>
      <c r="W33" s="6"/>
      <c r="X33" s="6"/>
      <c r="Y33" s="6"/>
      <c r="Z33" s="6"/>
      <c r="AA33" s="6"/>
      <c r="AB33" s="6"/>
    </row>
    <row r="34">
      <c r="A34" s="31">
        <v>1.0</v>
      </c>
      <c r="B34" s="36">
        <v>85.0</v>
      </c>
      <c r="C34" s="36">
        <f>180*10^-3</f>
        <v>0.18</v>
      </c>
      <c r="D34" s="36">
        <v>18.0</v>
      </c>
      <c r="E34" s="48">
        <f t="shared" ref="E34:E37" si="17">D34/$D$38</f>
        <v>0.6428571429</v>
      </c>
      <c r="F34" s="22"/>
      <c r="G34" s="36">
        <f>180*10^-3</f>
        <v>0.18</v>
      </c>
      <c r="H34" s="36">
        <v>18.0</v>
      </c>
      <c r="I34" s="28">
        <f>1-E34</f>
        <v>0.3571428571</v>
      </c>
      <c r="J34" s="28">
        <f t="shared" ref="J34:J37" si="18">E34</f>
        <v>0.6428571429</v>
      </c>
      <c r="K34" s="30">
        <v>0.0</v>
      </c>
      <c r="L34" s="26">
        <f t="shared" ref="L34:L36" si="19">(K34+K35)/2</f>
        <v>0.0315</v>
      </c>
      <c r="M34" s="26">
        <f>E37</f>
        <v>0.1428571429</v>
      </c>
      <c r="N34" s="26">
        <f t="shared" ref="N34:N37" si="20">M34/L34*1000</f>
        <v>4535.147392</v>
      </c>
      <c r="O34" s="26">
        <f t="shared" ref="O34:O37" si="21">M34*L34*10^-3</f>
        <v>0.0000045</v>
      </c>
      <c r="P34" s="26">
        <f t="shared" ref="P34:P37" si="22">M34/(L34*10^-3)^3</f>
        <v>4570569304399</v>
      </c>
      <c r="Q34" s="22"/>
      <c r="R34" s="24" t="s">
        <v>25</v>
      </c>
      <c r="S34" s="26">
        <f>O38*1000</f>
        <v>0.1513928571</v>
      </c>
      <c r="T34" s="6"/>
      <c r="U34" s="49" t="s">
        <v>26</v>
      </c>
      <c r="V34" s="53">
        <f>0.1/(0.028)/(1/S33*1000-1/S21*1000)</f>
        <v>0.0004524768542</v>
      </c>
      <c r="W34" s="6"/>
      <c r="X34" s="6"/>
      <c r="Y34" s="6"/>
      <c r="Z34" s="6"/>
      <c r="AA34" s="6"/>
      <c r="AB34" s="6"/>
    </row>
    <row r="35">
      <c r="A35" s="31">
        <v>2.0</v>
      </c>
      <c r="B35" s="36">
        <v>100.0</v>
      </c>
      <c r="C35" s="36">
        <f>150*10^-3</f>
        <v>0.15</v>
      </c>
      <c r="D35" s="36">
        <v>4.0</v>
      </c>
      <c r="E35" s="48">
        <f t="shared" si="17"/>
        <v>0.1428571429</v>
      </c>
      <c r="F35" s="22"/>
      <c r="G35" s="36">
        <f>150*10^-3</f>
        <v>0.15</v>
      </c>
      <c r="H35" s="36">
        <v>4.0</v>
      </c>
      <c r="I35" s="28">
        <f t="shared" ref="I35:I37" si="23">I34-E35</f>
        <v>0.2142857143</v>
      </c>
      <c r="J35" s="28">
        <f t="shared" si="18"/>
        <v>0.1428571429</v>
      </c>
      <c r="K35" s="30">
        <v>0.063</v>
      </c>
      <c r="L35" s="26">
        <f t="shared" si="19"/>
        <v>0.1065</v>
      </c>
      <c r="M35" s="26">
        <f>E36</f>
        <v>0.07142857143</v>
      </c>
      <c r="N35" s="26">
        <f t="shared" si="20"/>
        <v>670.6908115</v>
      </c>
      <c r="O35" s="26">
        <f t="shared" si="21"/>
        <v>0.000007607142857</v>
      </c>
      <c r="P35" s="26">
        <f t="shared" si="22"/>
        <v>59132077986</v>
      </c>
      <c r="Q35" s="22"/>
      <c r="R35" s="24" t="s">
        <v>27</v>
      </c>
      <c r="S35" s="26">
        <f>(1/P38)^(1/3)*1000</f>
        <v>0.05939838563</v>
      </c>
      <c r="T35" s="22"/>
      <c r="U35" s="24" t="s">
        <v>28</v>
      </c>
      <c r="V35" s="26">
        <f>0.1/(0.028)/0.3162/(1/sqrt(S33*10^-3) - 1/sqrt(S21*10^-3))</f>
        <v>0.2003836714</v>
      </c>
      <c r="W35" s="6"/>
      <c r="X35" s="6"/>
      <c r="Y35" s="6"/>
      <c r="Z35" s="6"/>
      <c r="AA35" s="6"/>
      <c r="AB35" s="6"/>
    </row>
    <row r="36">
      <c r="A36" s="31">
        <v>3.0</v>
      </c>
      <c r="B36" s="36">
        <v>240.0</v>
      </c>
      <c r="C36" s="36">
        <v>0.063</v>
      </c>
      <c r="D36" s="36">
        <v>2.0</v>
      </c>
      <c r="E36" s="48">
        <f t="shared" si="17"/>
        <v>0.07142857143</v>
      </c>
      <c r="F36" s="22"/>
      <c r="G36" s="36">
        <v>0.063</v>
      </c>
      <c r="H36" s="36">
        <v>2.0</v>
      </c>
      <c r="I36" s="28">
        <f t="shared" si="23"/>
        <v>0.1428571429</v>
      </c>
      <c r="J36" s="28">
        <f t="shared" si="18"/>
        <v>0.07142857143</v>
      </c>
      <c r="K36" s="30">
        <v>0.15</v>
      </c>
      <c r="L36" s="26">
        <f t="shared" si="19"/>
        <v>0.165</v>
      </c>
      <c r="M36" s="26">
        <f>E35</f>
        <v>0.1428571429</v>
      </c>
      <c r="N36" s="26">
        <f t="shared" si="20"/>
        <v>865.8008658</v>
      </c>
      <c r="O36" s="26">
        <f t="shared" si="21"/>
        <v>0.00002357142857</v>
      </c>
      <c r="P36" s="26">
        <f t="shared" si="22"/>
        <v>31801684694</v>
      </c>
      <c r="Q36" s="22"/>
      <c r="R36" s="24" t="s">
        <v>43</v>
      </c>
      <c r="S36" s="53">
        <f>1/2/2660/(S35*10^-3)^3</f>
        <v>896942169.9</v>
      </c>
      <c r="T36" s="6"/>
      <c r="U36" s="6"/>
      <c r="V36" s="6"/>
      <c r="W36" s="6"/>
      <c r="X36" s="6"/>
      <c r="Y36" s="6"/>
      <c r="Z36" s="6"/>
      <c r="AA36" s="6"/>
      <c r="AB36" s="6"/>
    </row>
    <row r="37">
      <c r="A37" s="31">
        <v>4.0</v>
      </c>
      <c r="B37" s="36" t="s">
        <v>44</v>
      </c>
      <c r="C37" s="36">
        <f>0</f>
        <v>0</v>
      </c>
      <c r="D37" s="36">
        <f>28-(D34+D35+D36)</f>
        <v>4</v>
      </c>
      <c r="E37" s="48">
        <f t="shared" si="17"/>
        <v>0.1428571429</v>
      </c>
      <c r="F37" s="22"/>
      <c r="G37" s="36">
        <f>0</f>
        <v>0</v>
      </c>
      <c r="H37" s="36">
        <v>969.0</v>
      </c>
      <c r="I37" s="28">
        <f t="shared" si="23"/>
        <v>0</v>
      </c>
      <c r="J37" s="28">
        <f t="shared" si="18"/>
        <v>0.1428571429</v>
      </c>
      <c r="K37" s="30">
        <v>0.18</v>
      </c>
      <c r="L37" s="26">
        <f>0.18</f>
        <v>0.18</v>
      </c>
      <c r="M37" s="26">
        <f>E34</f>
        <v>0.6428571429</v>
      </c>
      <c r="N37" s="26">
        <f t="shared" si="20"/>
        <v>3571.428571</v>
      </c>
      <c r="O37" s="26">
        <f t="shared" si="21"/>
        <v>0.0001157142857</v>
      </c>
      <c r="P37" s="26">
        <f t="shared" si="22"/>
        <v>110229276896</v>
      </c>
      <c r="Q37" s="22"/>
      <c r="R37" s="24" t="s">
        <v>30</v>
      </c>
      <c r="S37" s="26">
        <f>6/0.7/2660*N38</f>
        <v>31.0732577</v>
      </c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54" t="s">
        <v>45</v>
      </c>
      <c r="D38" s="55">
        <f>sum(D34:D37)</f>
        <v>28</v>
      </c>
      <c r="E38" s="6"/>
      <c r="F38" s="6"/>
      <c r="G38" s="6"/>
      <c r="H38" s="6"/>
      <c r="I38" s="6"/>
      <c r="J38" s="6"/>
      <c r="K38" s="22"/>
      <c r="L38" s="24" t="s">
        <v>45</v>
      </c>
      <c r="M38" s="38">
        <f t="shared" ref="M38:P38" si="24">SUM(M34:M37)</f>
        <v>1</v>
      </c>
      <c r="N38" s="38">
        <f t="shared" si="24"/>
        <v>9643.067641</v>
      </c>
      <c r="O38" s="38">
        <f t="shared" si="24"/>
        <v>0.0001513928571</v>
      </c>
      <c r="P38" s="56">
        <f t="shared" si="24"/>
        <v>4771732343975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mergeCells count="37">
    <mergeCell ref="I9:I10"/>
    <mergeCell ref="J9:J10"/>
    <mergeCell ref="A9:A10"/>
    <mergeCell ref="B9:B10"/>
    <mergeCell ref="C9:C10"/>
    <mergeCell ref="D9:D10"/>
    <mergeCell ref="E9:E10"/>
    <mergeCell ref="G9:G10"/>
    <mergeCell ref="H9:H10"/>
    <mergeCell ref="B1:D1"/>
    <mergeCell ref="B2:E2"/>
    <mergeCell ref="B3:C3"/>
    <mergeCell ref="A4:C4"/>
    <mergeCell ref="B5:D5"/>
    <mergeCell ref="B6:C6"/>
    <mergeCell ref="B7:C7"/>
    <mergeCell ref="H19:H20"/>
    <mergeCell ref="I19:I20"/>
    <mergeCell ref="J19:J20"/>
    <mergeCell ref="B16:C16"/>
    <mergeCell ref="B17:C17"/>
    <mergeCell ref="B18:C18"/>
    <mergeCell ref="A19:A20"/>
    <mergeCell ref="B19:B20"/>
    <mergeCell ref="D19:D20"/>
    <mergeCell ref="G19:G20"/>
    <mergeCell ref="G32:G33"/>
    <mergeCell ref="H32:H33"/>
    <mergeCell ref="I32:I33"/>
    <mergeCell ref="J32:J33"/>
    <mergeCell ref="B29:C29"/>
    <mergeCell ref="B30:C30"/>
    <mergeCell ref="B31:C31"/>
    <mergeCell ref="A32:A33"/>
    <mergeCell ref="B32:B33"/>
    <mergeCell ref="C32:C33"/>
    <mergeCell ref="D32:D33"/>
  </mergeCells>
  <hyperlinks>
    <hyperlink r:id="rId1" ref="A9"/>
    <hyperlink r:id="rId2" ref="A19"/>
    <hyperlink r:id="rId3" ref="A32"/>
  </hyperlinks>
  <drawing r:id="rId4"/>
</worksheet>
</file>