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Baumgartner\_GitHub\LLP\"/>
    </mc:Choice>
  </mc:AlternateContent>
  <xr:revisionPtr revIDLastSave="0" documentId="13_ncr:1_{1C70467C-61DA-48C6-8CCF-1D02C3B0A30D}" xr6:coauthVersionLast="47" xr6:coauthVersionMax="47" xr10:uidLastSave="{00000000-0000-0000-0000-000000000000}"/>
  <bookViews>
    <workbookView xWindow="-120" yWindow="-120" windowWidth="29040" windowHeight="17520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r:id="rId5"/>
  </sheets>
  <definedNames>
    <definedName name="Status_Fach">Admin!$A$2:$A$4</definedName>
    <definedName name="Uebersicht_Grundstudium">Übersicht_Fächer!$A$2:$E$14</definedName>
    <definedName name="Uebersicht_Kommunikation">Übersicht_Fächer!$A$17:$E$22</definedName>
    <definedName name="Uebersicht_Softwareentwicklung">Übersicht_Fächer!$A$35:$E$43</definedName>
    <definedName name="Uebersicht_Systemtechnik">Übersicht_Fächer!$A$25:$E$32</definedName>
    <definedName name="Vertiefungsrichtung">Admin!$A$7:$A$8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3" l="1"/>
  <c r="G9" i="3" s="1"/>
  <c r="G61" i="3"/>
  <c r="G10" i="3" s="1"/>
  <c r="G62" i="3"/>
  <c r="G11" i="3" s="1"/>
  <c r="G63" i="3"/>
  <c r="G12" i="3" s="1"/>
  <c r="F60" i="3"/>
  <c r="F9" i="3" s="1"/>
  <c r="F61" i="3"/>
  <c r="F10" i="3" s="1"/>
  <c r="F62" i="3"/>
  <c r="F11" i="3" s="1"/>
  <c r="F63" i="3"/>
  <c r="F12" i="3" s="1"/>
  <c r="G49" i="3"/>
  <c r="G50" i="3"/>
  <c r="G51" i="3"/>
  <c r="G52" i="3"/>
  <c r="G53" i="3"/>
  <c r="G54" i="3"/>
  <c r="G55" i="3"/>
  <c r="G56" i="3"/>
  <c r="G57" i="3"/>
  <c r="F49" i="3"/>
  <c r="F50" i="3"/>
  <c r="F51" i="3"/>
  <c r="F52" i="3"/>
  <c r="F53" i="3"/>
  <c r="F54" i="3"/>
  <c r="F55" i="3"/>
  <c r="F56" i="3"/>
  <c r="F57" i="3"/>
  <c r="D18" i="3"/>
  <c r="B69" i="3"/>
  <c r="B68" i="3"/>
  <c r="C49" i="3"/>
  <c r="C50" i="3"/>
  <c r="C51" i="3"/>
  <c r="C52" i="3"/>
  <c r="C53" i="3"/>
  <c r="C54" i="3"/>
  <c r="C55" i="3"/>
  <c r="C56" i="3"/>
  <c r="C57" i="3"/>
  <c r="C39" i="3"/>
  <c r="C40" i="3"/>
  <c r="C41" i="3"/>
  <c r="C42" i="3"/>
  <c r="C43" i="3"/>
  <c r="C44" i="3"/>
  <c r="C45" i="3"/>
  <c r="C46" i="3"/>
  <c r="C31" i="3"/>
  <c r="C32" i="3"/>
  <c r="C33" i="3"/>
  <c r="C34" i="3"/>
  <c r="C35" i="3"/>
  <c r="C36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K50" i="3"/>
  <c r="K51" i="3"/>
  <c r="K52" i="3"/>
  <c r="J49" i="3"/>
  <c r="J50" i="3"/>
  <c r="J51" i="3"/>
  <c r="J52" i="3"/>
  <c r="J53" i="3"/>
  <c r="J54" i="3"/>
  <c r="J55" i="3"/>
  <c r="J56" i="3"/>
  <c r="J57" i="3"/>
  <c r="I49" i="3"/>
  <c r="I50" i="3"/>
  <c r="I51" i="3"/>
  <c r="I52" i="3"/>
  <c r="I53" i="3"/>
  <c r="I54" i="3"/>
  <c r="I55" i="3"/>
  <c r="I56" i="3"/>
  <c r="I57" i="3"/>
  <c r="E54" i="3"/>
  <c r="E55" i="3"/>
  <c r="J39" i="3"/>
  <c r="J40" i="3"/>
  <c r="J41" i="3"/>
  <c r="J42" i="3"/>
  <c r="J43" i="3"/>
  <c r="J44" i="3"/>
  <c r="J45" i="3"/>
  <c r="J46" i="3"/>
  <c r="I39" i="3"/>
  <c r="I40" i="3"/>
  <c r="I41" i="3"/>
  <c r="I42" i="3"/>
  <c r="I43" i="3"/>
  <c r="I44" i="3"/>
  <c r="I45" i="3"/>
  <c r="I46" i="3"/>
  <c r="J33" i="3"/>
  <c r="J34" i="3"/>
  <c r="J35" i="3"/>
  <c r="J36" i="3"/>
  <c r="I33" i="3"/>
  <c r="I35" i="3"/>
  <c r="I36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D49" i="3"/>
  <c r="D50" i="3"/>
  <c r="D51" i="3"/>
  <c r="D52" i="3"/>
  <c r="D53" i="3"/>
  <c r="D54" i="3"/>
  <c r="D55" i="3"/>
  <c r="D56" i="3"/>
  <c r="D57" i="3"/>
  <c r="D39" i="3"/>
  <c r="D40" i="3"/>
  <c r="D41" i="3"/>
  <c r="D42" i="3"/>
  <c r="D43" i="3"/>
  <c r="D44" i="3"/>
  <c r="D45" i="3"/>
  <c r="D46" i="3"/>
  <c r="D31" i="3"/>
  <c r="D32" i="3"/>
  <c r="D33" i="3"/>
  <c r="D34" i="3"/>
  <c r="D35" i="3"/>
  <c r="D36" i="3"/>
  <c r="D16" i="3"/>
  <c r="D17" i="3"/>
  <c r="D19" i="3"/>
  <c r="D20" i="3"/>
  <c r="D21" i="3"/>
  <c r="D22" i="3"/>
  <c r="D23" i="3"/>
  <c r="D24" i="3"/>
  <c r="D25" i="3"/>
  <c r="D26" i="3"/>
  <c r="D27" i="3"/>
  <c r="D28" i="3"/>
  <c r="I31" i="3"/>
  <c r="N20" i="4"/>
  <c r="K31" i="3" s="1"/>
  <c r="N21" i="4"/>
  <c r="K32" i="3" s="1"/>
  <c r="N22" i="4"/>
  <c r="K34" i="3" s="1"/>
  <c r="N23" i="4"/>
  <c r="H23" i="4" s="1"/>
  <c r="F33" i="3" s="1"/>
  <c r="N24" i="4"/>
  <c r="H24" i="4" s="1"/>
  <c r="F35" i="3" s="1"/>
  <c r="N25" i="4"/>
  <c r="H25" i="4" s="1"/>
  <c r="F36" i="3" s="1"/>
  <c r="J31" i="3"/>
  <c r="I34" i="3"/>
  <c r="I32" i="3"/>
  <c r="J32" i="3"/>
  <c r="E50" i="4"/>
  <c r="E51" i="4"/>
  <c r="E52" i="4"/>
  <c r="E53" i="4"/>
  <c r="N39" i="4"/>
  <c r="N40" i="4"/>
  <c r="N41" i="4"/>
  <c r="H41" i="4" s="1"/>
  <c r="N42" i="4"/>
  <c r="H42" i="4" s="1"/>
  <c r="N43" i="4"/>
  <c r="H43" i="4" s="1"/>
  <c r="N44" i="4"/>
  <c r="K55" i="3" s="1"/>
  <c r="N45" i="4"/>
  <c r="K56" i="3" s="1"/>
  <c r="N46" i="4"/>
  <c r="K57" i="3" s="1"/>
  <c r="N38" i="4"/>
  <c r="K49" i="3" s="1"/>
  <c r="N29" i="4"/>
  <c r="H29" i="4" s="1"/>
  <c r="F40" i="3" s="1"/>
  <c r="N30" i="4"/>
  <c r="K41" i="3" s="1"/>
  <c r="N31" i="4"/>
  <c r="H31" i="4" s="1"/>
  <c r="F42" i="3" s="1"/>
  <c r="N32" i="4"/>
  <c r="K43" i="3" s="1"/>
  <c r="N33" i="4"/>
  <c r="K44" i="3" s="1"/>
  <c r="N34" i="4"/>
  <c r="H34" i="4" s="1"/>
  <c r="F45" i="3" s="1"/>
  <c r="N35" i="4"/>
  <c r="K46" i="3" s="1"/>
  <c r="N28" i="4"/>
  <c r="K39" i="3" s="1"/>
  <c r="N6" i="4"/>
  <c r="K17" i="3" s="1"/>
  <c r="N7" i="4"/>
  <c r="K18" i="3" s="1"/>
  <c r="N8" i="4"/>
  <c r="K19" i="3" s="1"/>
  <c r="N9" i="4"/>
  <c r="H9" i="4" s="1"/>
  <c r="F20" i="3" s="1"/>
  <c r="N10" i="4"/>
  <c r="K21" i="3" s="1"/>
  <c r="N11" i="4"/>
  <c r="H11" i="4" s="1"/>
  <c r="F22" i="3" s="1"/>
  <c r="N12" i="4"/>
  <c r="H12" i="4" s="1"/>
  <c r="F23" i="3" s="1"/>
  <c r="N13" i="4"/>
  <c r="H13" i="4" s="1"/>
  <c r="F24" i="3" s="1"/>
  <c r="N14" i="4"/>
  <c r="K25" i="3" s="1"/>
  <c r="N15" i="4"/>
  <c r="H15" i="4" s="1"/>
  <c r="F26" i="3" s="1"/>
  <c r="N16" i="4"/>
  <c r="H16" i="4" s="1"/>
  <c r="F27" i="3" s="1"/>
  <c r="N17" i="4"/>
  <c r="H17" i="4" s="1"/>
  <c r="F28" i="3" s="1"/>
  <c r="N5" i="4"/>
  <c r="H5" i="4" s="1"/>
  <c r="F16" i="3" s="1"/>
  <c r="E60" i="3"/>
  <c r="E9" i="3" s="1"/>
  <c r="E61" i="3"/>
  <c r="E10" i="3" s="1"/>
  <c r="E62" i="3"/>
  <c r="E11" i="3" s="1"/>
  <c r="E63" i="3"/>
  <c r="E12" i="3" s="1"/>
  <c r="D60" i="3"/>
  <c r="D61" i="3"/>
  <c r="D62" i="3"/>
  <c r="D63" i="3"/>
  <c r="M38" i="4"/>
  <c r="F38" i="4" s="1"/>
  <c r="M39" i="4"/>
  <c r="F39" i="4" s="1"/>
  <c r="M40" i="4"/>
  <c r="F40" i="4" s="1"/>
  <c r="M41" i="4"/>
  <c r="F41" i="4" s="1"/>
  <c r="M42" i="4"/>
  <c r="F42" i="4" s="1"/>
  <c r="M43" i="4"/>
  <c r="F43" i="4" s="1"/>
  <c r="M44" i="4"/>
  <c r="F44" i="4" s="1"/>
  <c r="M45" i="4"/>
  <c r="F45" i="4" s="1"/>
  <c r="M46" i="4"/>
  <c r="F46" i="4" s="1"/>
  <c r="E38" i="4"/>
  <c r="E49" i="3" s="1"/>
  <c r="E39" i="4"/>
  <c r="E50" i="3" s="1"/>
  <c r="E40" i="4"/>
  <c r="E51" i="3" s="1"/>
  <c r="H51" i="3" s="1"/>
  <c r="E41" i="4"/>
  <c r="E52" i="3" s="1"/>
  <c r="H52" i="3" s="1"/>
  <c r="E42" i="4"/>
  <c r="E53" i="3" s="1"/>
  <c r="E43" i="4"/>
  <c r="E44" i="4"/>
  <c r="E45" i="4"/>
  <c r="E56" i="3" s="1"/>
  <c r="H56" i="3" s="1"/>
  <c r="E46" i="4"/>
  <c r="E57" i="3" s="1"/>
  <c r="D36" i="2"/>
  <c r="D43" i="2"/>
  <c r="D42" i="2"/>
  <c r="D41" i="2"/>
  <c r="D40" i="2"/>
  <c r="D39" i="2"/>
  <c r="D38" i="2"/>
  <c r="D37" i="2"/>
  <c r="D35" i="2"/>
  <c r="E28" i="4"/>
  <c r="E39" i="3" s="1"/>
  <c r="E29" i="4"/>
  <c r="E40" i="3" s="1"/>
  <c r="E30" i="4"/>
  <c r="E41" i="3" s="1"/>
  <c r="E31" i="4"/>
  <c r="E42" i="3" s="1"/>
  <c r="E32" i="4"/>
  <c r="E43" i="3" s="1"/>
  <c r="E33" i="4"/>
  <c r="E44" i="3" s="1"/>
  <c r="E34" i="4"/>
  <c r="E45" i="3" s="1"/>
  <c r="E35" i="4"/>
  <c r="E46" i="3" s="1"/>
  <c r="E20" i="4"/>
  <c r="E31" i="3" s="1"/>
  <c r="E21" i="4"/>
  <c r="E32" i="3" s="1"/>
  <c r="E22" i="4"/>
  <c r="E34" i="3" s="1"/>
  <c r="E23" i="4"/>
  <c r="E33" i="3" s="1"/>
  <c r="E24" i="4"/>
  <c r="E35" i="3" s="1"/>
  <c r="E25" i="4"/>
  <c r="E36" i="3" s="1"/>
  <c r="E5" i="4"/>
  <c r="E16" i="3" s="1"/>
  <c r="E6" i="4"/>
  <c r="E17" i="3" s="1"/>
  <c r="E7" i="4"/>
  <c r="E18" i="3" s="1"/>
  <c r="E8" i="4"/>
  <c r="E19" i="3" s="1"/>
  <c r="E9" i="4"/>
  <c r="E20" i="3" s="1"/>
  <c r="E10" i="4"/>
  <c r="E21" i="3" s="1"/>
  <c r="E11" i="4"/>
  <c r="E22" i="3" s="1"/>
  <c r="E12" i="4"/>
  <c r="E23" i="3" s="1"/>
  <c r="E13" i="4"/>
  <c r="E24" i="3" s="1"/>
  <c r="E14" i="4"/>
  <c r="E25" i="3" s="1"/>
  <c r="E15" i="4"/>
  <c r="E26" i="3" s="1"/>
  <c r="E16" i="4"/>
  <c r="E27" i="3" s="1"/>
  <c r="E17" i="4"/>
  <c r="E28" i="3" s="1"/>
  <c r="M32" i="4"/>
  <c r="F32" i="4" s="1"/>
  <c r="M24" i="4"/>
  <c r="F24" i="4" s="1"/>
  <c r="M9" i="4"/>
  <c r="F9" i="4" s="1"/>
  <c r="M10" i="4"/>
  <c r="F10" i="4" s="1"/>
  <c r="M11" i="4"/>
  <c r="F11" i="4" s="1"/>
  <c r="M13" i="4"/>
  <c r="F13" i="4" s="1"/>
  <c r="M16" i="4"/>
  <c r="F16" i="4" s="1"/>
  <c r="M17" i="4"/>
  <c r="F17" i="4" s="1"/>
  <c r="M5" i="4"/>
  <c r="D2" i="2"/>
  <c r="D26" i="2"/>
  <c r="D27" i="2"/>
  <c r="M30" i="4"/>
  <c r="F30" i="4" s="1"/>
  <c r="D28" i="2"/>
  <c r="M31" i="4"/>
  <c r="F31" i="4" s="1"/>
  <c r="D29" i="2"/>
  <c r="D30" i="2"/>
  <c r="M33" i="4"/>
  <c r="F33" i="4" s="1"/>
  <c r="D31" i="2"/>
  <c r="M34" i="4"/>
  <c r="F34" i="4" s="1"/>
  <c r="D32" i="2"/>
  <c r="M35" i="4"/>
  <c r="F35" i="4" s="1"/>
  <c r="D25" i="2"/>
  <c r="M28" i="4"/>
  <c r="F28" i="4" s="1"/>
  <c r="D18" i="2"/>
  <c r="M21" i="4"/>
  <c r="D19" i="2"/>
  <c r="M23" i="4"/>
  <c r="F23" i="4" s="1"/>
  <c r="D20" i="2"/>
  <c r="M22" i="4"/>
  <c r="F22" i="4" s="1"/>
  <c r="D21" i="2"/>
  <c r="D22" i="2"/>
  <c r="M25" i="4"/>
  <c r="F25" i="4" s="1"/>
  <c r="D17" i="2"/>
  <c r="M20" i="4"/>
  <c r="D4" i="2"/>
  <c r="M7" i="4"/>
  <c r="F7" i="4" s="1"/>
  <c r="D5" i="2"/>
  <c r="M8" i="4"/>
  <c r="F8" i="4" s="1"/>
  <c r="D6" i="2"/>
  <c r="D7" i="2"/>
  <c r="D8" i="2"/>
  <c r="D9" i="2"/>
  <c r="M12" i="4"/>
  <c r="F12" i="4" s="1"/>
  <c r="D10" i="2"/>
  <c r="D11" i="2"/>
  <c r="M14" i="4"/>
  <c r="F14" i="4" s="1"/>
  <c r="D12" i="2"/>
  <c r="M15" i="4"/>
  <c r="F15" i="4" s="1"/>
  <c r="D13" i="2"/>
  <c r="D14" i="2"/>
  <c r="D3" i="2"/>
  <c r="M6" i="4"/>
  <c r="F6" i="4" s="1"/>
  <c r="C9" i="5"/>
  <c r="M29" i="4"/>
  <c r="F29" i="4" s="1"/>
  <c r="H45" i="3" l="1"/>
  <c r="H42" i="3"/>
  <c r="H55" i="3"/>
  <c r="H27" i="3"/>
  <c r="H23" i="3"/>
  <c r="H26" i="3"/>
  <c r="H22" i="3"/>
  <c r="H35" i="3"/>
  <c r="H33" i="3"/>
  <c r="H36" i="3"/>
  <c r="H12" i="3"/>
  <c r="H63" i="3"/>
  <c r="H54" i="3"/>
  <c r="H62" i="3"/>
  <c r="H50" i="3"/>
  <c r="H61" i="3"/>
  <c r="H57" i="3"/>
  <c r="H53" i="3"/>
  <c r="H49" i="3"/>
  <c r="H28" i="3"/>
  <c r="H24" i="3"/>
  <c r="H20" i="3"/>
  <c r="H16" i="3"/>
  <c r="H40" i="3"/>
  <c r="H60" i="3"/>
  <c r="H7" i="4"/>
  <c r="F18" i="3" s="1"/>
  <c r="H18" i="3" s="1"/>
  <c r="H10" i="3"/>
  <c r="K42" i="3"/>
  <c r="K54" i="3"/>
  <c r="H11" i="3"/>
  <c r="K53" i="3"/>
  <c r="K24" i="3"/>
  <c r="K22" i="3"/>
  <c r="H9" i="3"/>
  <c r="K16" i="3"/>
  <c r="K40" i="3"/>
  <c r="K45" i="3"/>
  <c r="K23" i="3"/>
  <c r="K28" i="3"/>
  <c r="K20" i="3"/>
  <c r="K27" i="3"/>
  <c r="K26" i="3"/>
  <c r="K36" i="3"/>
  <c r="K35" i="3"/>
  <c r="K33" i="3"/>
  <c r="E8" i="3"/>
  <c r="E7" i="3"/>
  <c r="H22" i="4"/>
  <c r="F34" i="3" s="1"/>
  <c r="H34" i="3" s="1"/>
  <c r="G31" i="4"/>
  <c r="G42" i="3" s="1"/>
  <c r="H20" i="4"/>
  <c r="F31" i="3" s="1"/>
  <c r="H31" i="3" s="1"/>
  <c r="H21" i="4"/>
  <c r="F32" i="3" s="1"/>
  <c r="H32" i="3" s="1"/>
  <c r="G42" i="4"/>
  <c r="G29" i="4"/>
  <c r="G40" i="3" s="1"/>
  <c r="G34" i="4"/>
  <c r="G45" i="3" s="1"/>
  <c r="G43" i="4"/>
  <c r="G13" i="4"/>
  <c r="G24" i="3" s="1"/>
  <c r="G12" i="4"/>
  <c r="G23" i="3" s="1"/>
  <c r="G5" i="4"/>
  <c r="G16" i="3" s="1"/>
  <c r="G17" i="4"/>
  <c r="G28" i="3" s="1"/>
  <c r="G16" i="4"/>
  <c r="G27" i="3" s="1"/>
  <c r="G9" i="4"/>
  <c r="G20" i="3" s="1"/>
  <c r="G24" i="4"/>
  <c r="G35" i="3" s="1"/>
  <c r="G23" i="4"/>
  <c r="G33" i="3" s="1"/>
  <c r="G41" i="4"/>
  <c r="G11" i="4"/>
  <c r="G22" i="3" s="1"/>
  <c r="G15" i="4"/>
  <c r="G26" i="3" s="1"/>
  <c r="H32" i="4"/>
  <c r="F43" i="3" s="1"/>
  <c r="H43" i="3" s="1"/>
  <c r="G25" i="4"/>
  <c r="G36" i="3" s="1"/>
  <c r="H33" i="4"/>
  <c r="F44" i="3" s="1"/>
  <c r="H44" i="3" s="1"/>
  <c r="H38" i="4"/>
  <c r="H46" i="4"/>
  <c r="H28" i="4"/>
  <c r="F39" i="3" s="1"/>
  <c r="H39" i="3" s="1"/>
  <c r="H30" i="4"/>
  <c r="F41" i="3" s="1"/>
  <c r="H41" i="3" s="1"/>
  <c r="H44" i="4"/>
  <c r="F21" i="4"/>
  <c r="F5" i="4"/>
  <c r="H14" i="4"/>
  <c r="F25" i="3" s="1"/>
  <c r="H25" i="3" s="1"/>
  <c r="F20" i="4"/>
  <c r="H8" i="4"/>
  <c r="F19" i="3" s="1"/>
  <c r="H19" i="3" s="1"/>
  <c r="H10" i="4"/>
  <c r="F21" i="3" s="1"/>
  <c r="H21" i="3" s="1"/>
  <c r="H39" i="4"/>
  <c r="H35" i="4"/>
  <c r="F46" i="3" s="1"/>
  <c r="H46" i="3" s="1"/>
  <c r="H40" i="4"/>
  <c r="H45" i="4"/>
  <c r="D55" i="4"/>
  <c r="H6" i="4"/>
  <c r="F17" i="3" s="1"/>
  <c r="H17" i="3" s="1"/>
  <c r="F8" i="3" l="1"/>
  <c r="F7" i="3"/>
  <c r="H7" i="3" s="1"/>
  <c r="G39" i="4"/>
  <c r="G46" i="4"/>
  <c r="G44" i="4"/>
  <c r="G45" i="4"/>
  <c r="G38" i="4"/>
  <c r="G40" i="4"/>
  <c r="G6" i="4"/>
  <c r="G17" i="3" s="1"/>
  <c r="G28" i="4"/>
  <c r="G39" i="3" s="1"/>
  <c r="G35" i="4"/>
  <c r="G46" i="3" s="1"/>
  <c r="G30" i="4"/>
  <c r="G41" i="3" s="1"/>
  <c r="G33" i="4"/>
  <c r="G44" i="3" s="1"/>
  <c r="G32" i="4"/>
  <c r="G43" i="3" s="1"/>
  <c r="G14" i="4"/>
  <c r="G25" i="3" s="1"/>
  <c r="G10" i="4"/>
  <c r="G21" i="3" s="1"/>
  <c r="G8" i="4"/>
  <c r="G19" i="3" s="1"/>
  <c r="G22" i="4"/>
  <c r="G34" i="3" s="1"/>
  <c r="G21" i="4"/>
  <c r="G32" i="3" s="1"/>
  <c r="G20" i="4"/>
  <c r="G31" i="3" s="1"/>
  <c r="G7" i="4"/>
  <c r="G18" i="3" s="1"/>
  <c r="E13" i="3"/>
  <c r="G7" i="3" l="1"/>
  <c r="H8" i="3" l="1"/>
  <c r="G8" i="3"/>
  <c r="G13" i="3" s="1"/>
  <c r="F13" i="3"/>
  <c r="H13" i="3" s="1"/>
</calcChain>
</file>

<file path=xl/sharedStrings.xml><?xml version="1.0" encoding="utf-8"?>
<sst xmlns="http://schemas.openxmlformats.org/spreadsheetml/2006/main" count="3468" uniqueCount="391">
  <si>
    <t>Hauptübersicht LLPs</t>
  </si>
  <si>
    <t>Gesamtübersicht</t>
  </si>
  <si>
    <t>Fach</t>
  </si>
  <si>
    <t>Status</t>
  </si>
  <si>
    <t>LLP max</t>
  </si>
  <si>
    <t>LLP total</t>
  </si>
  <si>
    <t>Note</t>
  </si>
  <si>
    <t>%-Erreicht</t>
  </si>
  <si>
    <t>Individuelle Notenberechnung</t>
  </si>
  <si>
    <t>Punkte / Note</t>
  </si>
  <si>
    <t>Grundstudium</t>
  </si>
  <si>
    <t>Hauptstudium</t>
  </si>
  <si>
    <t>LLP total (erreicht)</t>
  </si>
  <si>
    <t>Abschlussprüfung Grundstudium</t>
  </si>
  <si>
    <t>Projektwoche</t>
  </si>
  <si>
    <t>erreicht %</t>
  </si>
  <si>
    <t>Diplomarbeit schriftlich</t>
  </si>
  <si>
    <t>Kolloquium</t>
  </si>
  <si>
    <t>Gesamtotal</t>
  </si>
  <si>
    <t>-</t>
  </si>
  <si>
    <t>Grundfächer</t>
  </si>
  <si>
    <t>Studium</t>
  </si>
  <si>
    <t>LLP Mastery</t>
  </si>
  <si>
    <t>LLP ATL</t>
  </si>
  <si>
    <t>LLP Präsenz</t>
  </si>
  <si>
    <t>Status Zeus</t>
  </si>
  <si>
    <t>Bemerkungen</t>
  </si>
  <si>
    <t>IF</t>
  </si>
  <si>
    <t>Informatik Fundamentals</t>
  </si>
  <si>
    <t>ü</t>
  </si>
  <si>
    <t>MA</t>
  </si>
  <si>
    <t>Mathematik</t>
  </si>
  <si>
    <t>û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</si>
  <si>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</si>
  <si>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</si>
  <si>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</si>
  <si>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</si>
  <si>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</si>
  <si>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</si>
  <si>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</si>
  <si>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</si>
  <si>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</si>
  <si>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</si>
  <si>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</si>
  <si>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</si>
  <si>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WT F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</si>
  <si>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</si>
  <si>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</si>
  <si>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</si>
  <si>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</si>
  <si>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</si>
  <si>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</si>
  <si>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</si>
  <si>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</si>
  <si>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</si>
  <si>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</si>
  <si>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</si>
  <si>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</si>
  <si>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</si>
  <si>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</si>
  <si>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</si>
  <si>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</si>
  <si>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</si>
  <si>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</si>
  <si>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</si>
  <si>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</si>
  <si>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</si>
  <si>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</si>
  <si>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</si>
  <si>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</si>
  <si>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</si>
  <si>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</si>
  <si>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</si>
  <si>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</si>
  <si>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</si>
  <si>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VIRT</t>
  </si>
  <si>
    <t>Virtualisierung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</si>
  <si>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</si>
  <si>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</si>
  <si>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</si>
  <si>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</si>
  <si>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</si>
  <si>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</si>
  <si>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</si>
  <si>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</si>
  <si>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Schwerpunkt Softwareentwicklung</t>
  </si>
  <si>
    <t>SE</t>
  </si>
  <si>
    <t>Software-Engineering</t>
  </si>
  <si>
    <t>AD</t>
  </si>
  <si>
    <t xml:space="preserve">Algorithmen und Datenstrukturen </t>
  </si>
  <si>
    <t>SWT</t>
  </si>
  <si>
    <t>Software-Testing</t>
  </si>
  <si>
    <t>PE</t>
  </si>
  <si>
    <t>Programmentwicklung Advanced</t>
  </si>
  <si>
    <t>ASE</t>
  </si>
  <si>
    <t>Agile Software Entwicklung</t>
  </si>
  <si>
    <t>SA</t>
  </si>
  <si>
    <t>Software-Architektur und Design</t>
  </si>
  <si>
    <t>WT</t>
  </si>
  <si>
    <t>Web-Technologien Vertiefung</t>
  </si>
  <si>
    <t>XML</t>
  </si>
  <si>
    <t>XML-Technologien</t>
  </si>
  <si>
    <t>PN</t>
  </si>
  <si>
    <t>Parallel- und Netzwerkprogrammierung</t>
  </si>
  <si>
    <t>Allgemeines</t>
  </si>
  <si>
    <t>ABGS</t>
  </si>
  <si>
    <t>PW</t>
  </si>
  <si>
    <t>DIPS</t>
  </si>
  <si>
    <t>KOLL</t>
  </si>
  <si>
    <t>Übersicht HF-ICT</t>
  </si>
  <si>
    <t>Semester 1</t>
  </si>
  <si>
    <t>Semester 2</t>
  </si>
  <si>
    <t>Semester 3</t>
  </si>
  <si>
    <t>Semester 4</t>
  </si>
  <si>
    <t>Semester 5</t>
  </si>
  <si>
    <t>Semester 6</t>
  </si>
  <si>
    <t>Kontrolle LLP max</t>
  </si>
  <si>
    <t>LLP Total</t>
  </si>
  <si>
    <t>Mastery Max</t>
  </si>
  <si>
    <t>Mastery</t>
  </si>
  <si>
    <t>ATL Max</t>
  </si>
  <si>
    <t>ATL</t>
  </si>
  <si>
    <t>Präsenz Max</t>
  </si>
  <si>
    <t>Präsenz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</si>
  <si>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</si>
  <si>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</si>
  <si>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</si>
  <si>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</si>
  <si>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</si>
  <si>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</si>
  <si>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</si>
  <si>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</si>
  <si>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</si>
  <si>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</si>
  <si>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</si>
  <si>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</si>
  <si>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</si>
  <si>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</si>
  <si>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</si>
  <si>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</si>
  <si>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</si>
  <si>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</si>
  <si>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</si>
  <si>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</si>
  <si>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</si>
  <si>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</si>
  <si>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</si>
  <si>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</si>
  <si>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</si>
  <si>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</si>
  <si>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02.06.2022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</si>
  <si>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</si>
  <si>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</si>
  <si>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</si>
  <si>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</si>
  <si>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</si>
  <si>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</si>
  <si>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</si>
  <si>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</si>
  <si>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24.11.2022</t>
  </si>
  <si>
    <t>29.11.2022</t>
  </si>
  <si>
    <t>01.12.2022</t>
  </si>
  <si>
    <t>06.12.2022</t>
  </si>
  <si>
    <t>08.12.2022</t>
  </si>
  <si>
    <t>13.12.2022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</si>
  <si>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</si>
  <si>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</si>
  <si>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</si>
  <si>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</si>
  <si>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</si>
  <si>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</si>
  <si>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</si>
  <si>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24.01.2023</t>
  </si>
  <si>
    <t>26.01.2023</t>
  </si>
  <si>
    <t>31.01.2023</t>
  </si>
  <si>
    <t>02.02.2023</t>
  </si>
  <si>
    <t>07.02.2023</t>
  </si>
  <si>
    <t>09.02.2023</t>
  </si>
  <si>
    <t>14.02.2023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</si>
  <si>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</si>
  <si>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</si>
  <si>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</si>
  <si>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</si>
  <si>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</si>
  <si>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</si>
  <si>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</si>
  <si>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</si>
  <si>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</si>
  <si>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</si>
  <si>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</si>
  <si>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</si>
  <si>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</si>
  <si>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</si>
  <si>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</si>
  <si>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08.05.2023</t>
  </si>
  <si>
    <t>09.05.2023</t>
  </si>
  <si>
    <t>11.05.2023</t>
  </si>
  <si>
    <t>15.05.2023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</si>
  <si>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</si>
  <si>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</si>
  <si>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</si>
  <si>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</si>
  <si>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</si>
  <si>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</si>
  <si>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</si>
  <si>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</si>
  <si>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</si>
  <si>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</si>
  <si>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</si>
  <si>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</si>
  <si>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</si>
  <si>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</si>
  <si>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</si>
  <si>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</si>
  <si>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</si>
  <si>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</si>
  <si>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</si>
  <si>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</si>
  <si>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</si>
  <si>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</si>
  <si>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</si>
  <si>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</si>
  <si>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</si>
  <si>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</si>
  <si>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</si>
  <si>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</si>
  <si>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</si>
  <si>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</si>
  <si>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</si>
  <si>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</si>
  <si>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</si>
  <si>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</si>
  <si>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</si>
  <si>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</si>
  <si>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</si>
  <si>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</si>
  <si>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</si>
  <si>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</si>
  <si>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</si>
  <si>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</si>
  <si>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</si>
  <si>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</si>
  <si>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</si>
  <si>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</si>
  <si>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</si>
  <si>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</si>
  <si>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</si>
  <si>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</si>
  <si>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</si>
  <si>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</si>
  <si>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</si>
  <si>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</si>
  <si>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</si>
  <si>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</si>
  <si>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</si>
  <si>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</si>
  <si>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27.02.2024</t>
  </si>
  <si>
    <t>29.02.2024</t>
  </si>
  <si>
    <t>05.03.2024</t>
  </si>
  <si>
    <t>07.03.2024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</si>
  <si>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</si>
  <si>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</si>
  <si>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</si>
  <si>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</si>
  <si>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</si>
  <si>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</si>
  <si>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</si>
  <si>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18.04.2024</t>
  </si>
  <si>
    <t>23.04.2024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</si>
  <si>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</si>
  <si>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</si>
  <si>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</si>
  <si>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</si>
  <si>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</si>
  <si>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</si>
  <si>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</si>
  <si>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</si>
  <si>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</si>
  <si>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</si>
  <si>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</si>
  <si>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</si>
  <si>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</si>
  <si>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</si>
  <si>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</si>
  <si>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</si>
  <si>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</si>
  <si>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</si>
  <si>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</si>
  <si>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</si>
  <si>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</si>
  <si>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</si>
  <si>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</si>
  <si>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</si>
  <si>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</si>
  <si>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</si>
  <si>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</si>
  <si>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</si>
  <si>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</si>
  <si>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</si>
  <si>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</si>
  <si>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</si>
  <si>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</si>
  <si>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</si>
  <si>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</si>
  <si>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</si>
  <si>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</si>
  <si>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</si>
  <si>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</si>
  <si>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</si>
  <si>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</si>
  <si>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</si>
  <si>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</si>
  <si>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</si>
  <si>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</si>
  <si>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</si>
  <si>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</si>
  <si>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</si>
  <si>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</si>
  <si>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</si>
  <si>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</si>
  <si>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</si>
  <si>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</si>
  <si>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</si>
  <si>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</si>
  <si>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</si>
  <si>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</si>
  <si>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</si>
  <si>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</si>
  <si>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</si>
  <si>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</si>
  <si>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</si>
  <si>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</si>
  <si>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</si>
  <si>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</si>
  <si>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</si>
  <si>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</si>
  <si>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</si>
  <si>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</si>
  <si>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</si>
  <si>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</si>
  <si>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</si>
  <si>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</si>
  <si>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</si>
  <si>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</si>
  <si>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</si>
  <si>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</si>
  <si>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</si>
  <si>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</si>
  <si>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</si>
  <si>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</si>
  <si>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</si>
  <si>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</si>
  <si>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</si>
  <si>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</si>
  <si>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</si>
  <si>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</si>
  <si>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</si>
  <si>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</si>
  <si>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</si>
  <si>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</si>
  <si>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</si>
  <si>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</si>
  <si>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</si>
  <si>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</si>
  <si>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GS</t>
  </si>
  <si>
    <t>Abgeschlossen</t>
  </si>
  <si>
    <t>Offen</t>
  </si>
  <si>
    <t>in Bearbeitung</t>
  </si>
  <si>
    <t>HS</t>
  </si>
  <si>
    <t>Englisch</t>
  </si>
  <si>
    <t>Business Communication</t>
  </si>
  <si>
    <t>11.05.20232</t>
  </si>
  <si>
    <t>Summe Gesamt</t>
  </si>
  <si>
    <t>Anzahl Abende
à 4 Lektionen</t>
  </si>
  <si>
    <t>Leistungsart</t>
  </si>
  <si>
    <t>Beschreibung</t>
  </si>
  <si>
    <t>LLP</t>
  </si>
  <si>
    <t>Präsenzzeit</t>
  </si>
  <si>
    <t>Zusammenarbeit und
Einbringen von Praxiserfahrung</t>
  </si>
  <si>
    <t>Mastery Test</t>
  </si>
  <si>
    <t>Bewertung der erarbeiteten Wissensinhalte</t>
  </si>
  <si>
    <t>Anwendungs- und
Transferleistungen</t>
  </si>
  <si>
    <t>Praxisbezogene Arbeiten</t>
  </si>
  <si>
    <t>Interdisziplinäre Prüfung
im Rahmen einer Projektwoche</t>
  </si>
  <si>
    <t>Diploarbeit schriftlich</t>
  </si>
  <si>
    <t>Arbeit mit Bezug zur eigenen beruflichen
Geschäftstätigkeit/Unternehmung etc.</t>
  </si>
  <si>
    <t>Kurzpräsentation der Diplomarbeit mit
anschliessendem Fachgespräch</t>
  </si>
  <si>
    <t>Total Lernleistungspunkte</t>
  </si>
  <si>
    <t>Vertiefungsrichtung</t>
  </si>
  <si>
    <t>Systemtechnik</t>
  </si>
  <si>
    <t>Softwareentwicklung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</si>
</sst>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Offen&quot;"/>
    <numFmt numFmtId="165" formatCode="&quot;in Bearbeitung&quot;"/>
    <numFmt numFmtId="166" formatCode="&quot;Abgeschlossen&quot;"/>
    <numFmt numFmtId="167" formatCode="0.0%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7" fillId="0" borderId="0" applyFont="0" applyFill="0" applyBorder="0" applyAlignment="0" applyProtection="0"/>
  </cellStyleXfs>
  <cellXfs count="83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right" vertical="top" textRotation="90"/>
    </xf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14" fontId="0" fillId="0" borderId="6" xfId="0" applyNumberFormat="1" applyBorder="1" applyAlignment="1">
      <alignment horizontal="center" vertical="top" textRotation="90"/>
    </xf>
    <xf numFmtId="14" fontId="0" fillId="0" borderId="3" xfId="0" applyNumberFormat="1" applyBorder="1" applyAlignment="1">
      <alignment horizontal="center" vertical="top" textRotation="90"/>
    </xf>
    <xf numFmtId="14" fontId="0" fillId="0" borderId="4" xfId="0" applyNumberFormat="1" applyBorder="1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4" fontId="0" fillId="0" borderId="0" xfId="0" applyNumberFormat="1" applyAlignment="1">
      <alignment horizontal="center" vertical="top" textRotation="90"/>
    </xf>
    <xf numFmtId="2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2" applyNumberFormat="1" applyFont="1" applyAlignment="1">
      <alignment horizontal="center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right" vertical="top" textRotation="90"/>
      <protection locked="0"/>
    </xf>
    <xf numFmtId="14" fontId="0" fillId="0" borderId="0" xfId="0" applyNumberFormat="1" applyAlignment="1" applyProtection="1">
      <alignment horizontal="right" vertical="top" textRotation="90"/>
      <protection locked="0"/>
    </xf>
    <xf numFmtId="14" fontId="0" fillId="0" borderId="7" xfId="0" applyNumberFormat="1" applyBorder="1" applyAlignment="1" applyProtection="1">
      <alignment horizontal="right" vertical="top" textRotation="90"/>
      <protection locked="0"/>
    </xf>
    <xf numFmtId="14" fontId="0" fillId="0" borderId="3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horizontal="right" vertical="top" textRotation="90"/>
      <protection locked="0"/>
    </xf>
    <xf numFmtId="14" fontId="0" fillId="0" borderId="5" xfId="0" applyNumberFormat="1" applyBorder="1" applyAlignment="1" applyProtection="1">
      <alignment horizontal="right" vertical="top" textRotation="90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167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Prozent" xfId="2" builtinId="5"/>
    <cellStyle name="Standard" xfId="0" builtinId="0"/>
    <cellStyle name="Überschrift 1" xfId="1" builtinId="16"/>
  </cellStyles>
  <dxfs count="1067"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protection locked="0" hidden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</border>
      <protection locked="0" hidden="0"/>
    </dxf>
    <dxf>
      <alignment horizontal="center" vertical="center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</dxf>
    <dxf>
      <numFmt numFmtId="168" formatCode="0.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5:M28" totalsRowShown="0">
  <autoFilter ref="A15:M28" xr:uid="{3B6417C9-6B84-43EC-8BC6-8A9B7B5F2F54}"/>
  <tableColumns count="13">
    <tableColumn id="1" xr3:uid="{D0539999-87A2-4B20-A306-854AC7C85AED}" name="Grundfächer"/>
    <tableColumn id="2" xr3:uid="{D513B648-DB90-4A5C-8BF8-1FB40E6D1A1A}" name="Fach"/>
    <tableColumn id="13" xr3:uid="{18A28371-431C-4E37-8D2C-40749FA84A21}" name="Studium" dataDxfId="1066">
      <calculatedColumnFormula>VLOOKUP(TBL_Ü_Grund[[#This Row],[Grundfächer]],TBL_Grundstudium[#All],3,FALSE)</calculatedColumnFormula>
    </tableColumn>
    <tableColumn id="3" xr3:uid="{36A1A2C1-E2E2-4120-95CE-910C293513EB}" name="Status" dataDxfId="1065">
      <calculatedColumnFormula>VLOOKUP(TBL_Ü_Grund[[#This Row],[Grundfächer]],TBL_Grundstudium[#All],4,FALSE)</calculatedColumnFormula>
    </tableColumn>
    <tableColumn id="4" xr3:uid="{39412DA4-D197-450D-B698-4D86311A41DF}" name="LLP max" dataDxfId="1064">
      <calculatedColumnFormula>VLOOKUP(TBL_Ü_Grund[[#This Row],[Grundfächer]],TBL_Grundstudium[#All],5,FALSE)</calculatedColumnFormula>
    </tableColumn>
    <tableColumn id="5" xr3:uid="{B21EDCE2-1C66-498A-85BC-505EA816500F}" name="LLP total" dataDxfId="1063">
      <calculatedColumnFormula>VLOOKUP(TBL_Ü_Grund[[#This Row],[Grundfächer]],TBL_Grundstudium[#All],8,FALSE)</calculatedColumnFormula>
    </tableColumn>
    <tableColumn id="6" xr3:uid="{44AD8217-AEC6-49B9-8342-6E0D9E4D68CD}" name="Note" dataDxfId="1062">
      <calculatedColumnFormula>VLOOKUP(TBL_Ü_Grund[[#This Row],[Grundfächer]],TBL_Grundstudium[#All],7,FALSE)</calculatedColumnFormula>
    </tableColumn>
    <tableColumn id="11" xr3:uid="{F5E18D1F-9092-44B9-9CA0-DD6850FBB73C}" name="%-Erreicht" dataDxfId="1061" dataCellStyle="Prozent">
      <calculatedColumnFormula>100/TBL_Ü_Grund[[#This Row],[LLP max]]*TBL_Ü_Grund[[#This Row],[LLP total]]/100</calculatedColumnFormula>
    </tableColumn>
    <tableColumn id="7" xr3:uid="{61DC2B72-BBE9-417A-82AE-9FF2D2E13A96}" name="LLP Mastery" dataDxfId="1060">
      <calculatedColumnFormula>VLOOKUP(TBL_Ü_Grund[[#This Row],[Grundfächer]],TBL_Grundstudium[#All],10,FALSE)</calculatedColumnFormula>
    </tableColumn>
    <tableColumn id="8" xr3:uid="{378A4B99-AA26-400F-917D-4EE5F4E26926}" name="LLP ATL" dataDxfId="1059">
      <calculatedColumnFormula>VLOOKUP(TBL_Ü_Grund[[#This Row],[Grundfächer]],TBL_Grundstudium[#All],12,FALSE)</calculatedColumnFormula>
    </tableColumn>
    <tableColumn id="9" xr3:uid="{893EF4BC-7EE5-44B1-AB30-2E5AC4D350EB}" name="LLP Präsenz" dataDxfId="1058">
      <calculatedColumnFormula>VLOOKUP(TBL_Ü_Grund[[#This Row],[Grundfächer]],TBL_Grundstudium[#All],14,FALSE)</calculatedColumnFormula>
    </tableColumn>
    <tableColumn id="12" xr3:uid="{6BDAD771-F048-4E69-AA5C-41A62F870EF9}" name="Status Zeus" dataDxfId="1057"/>
    <tableColumn id="10" xr3:uid="{09E40637-EDEA-4B47-BB9F-BA5606187D83}" name="Bemerkungen" dataDxfId="10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T35" totalsRowShown="0">
  <tableColumns count="254">
    <tableColumn id="1" xr3:uid="{0C5015E0-08BA-48E2-9F7F-736A1B3102DA}" name="Schwerpunkt Systemtechnik"/>
    <tableColumn id="2" xr3:uid="{31916DC7-3025-411E-B8AB-CD4963424EAB}" name="Fach"/>
    <tableColumn id="254" xr3:uid="{F6BCAB18-CB73-4459-83D6-A8B6FDCC0B71}" name="Studium" dataDxfId="506"/>
    <tableColumn id="67" xr3:uid="{4E1449EB-E0ED-4182-90E5-DD575BCEE7C0}" name="Status" dataDxfId="505"/>
    <tableColumn id="3" xr3:uid="{B69D1F1D-3F2B-4A98-B688-94E84AA1F186}" name="LLP max" dataDxfId="504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503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502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calculatedColumnFormula>
    </tableColumn>
    <tableColumn id="23" xr3:uid="{54181AB0-5314-4A6D-A364-D83146CB91F9}" name="LLP Total" dataDxfId="501">
      <calculatedColumnFormula>TBL_S_System[[#This Row],[Mastery]]+TBL_S_System[[#This Row],[ATL]]+TBL_S_System[[#This Row],[Präsenz]]</calculatedColumnFormula>
    </tableColumn>
    <tableColumn id="45" xr3:uid="{37BADAAF-9EBC-40C7-A0B4-BDDB45854846}" name="Mastery Max" dataDxfId="500"/>
    <tableColumn id="22" xr3:uid="{0CCF1C43-D66C-41C9-B3CA-11FE6904B27C}" name="Mastery" dataDxfId="499"/>
    <tableColumn id="44" xr3:uid="{6922F1C1-41C6-43CF-9B0D-17920D54A958}" name="ATL Max" dataDxfId="498"/>
    <tableColumn id="24" xr3:uid="{F5392DEF-7F98-43A8-8BDC-566158108D44}" name="ATL" dataDxfId="497"/>
    <tableColumn id="43" xr3:uid="{6B5AC86D-6A7A-4F3C-B401-51CF4899C78C}" name="Präsenz Max" dataDxfId="496">
      <calculatedColumnFormula>VLOOKUP(TBL_S_System[[#This Row],[Schwerpunkt Systemtechnik]],Übersicht_Fächer!$A$2:$D$32,4,0)</calculatedColumnFormula>
    </tableColumn>
    <tableColumn id="5" xr3:uid="{DBD3C8FD-394B-4CAF-BFA9-FADD6A27B431}" name="Präsenz" dataDxfId="495">
      <calculatedColumnFormula>SUM(TBL_S_System[[#This Row],[01.02.2022]:[26.06.2025]])</calculatedColumnFormula>
    </tableColumn>
    <tableColumn id="6" xr3:uid="{3971D41D-AF8D-4CE2-B451-9804386E9F2F}" name="01.02.2022" dataDxfId="494"/>
    <tableColumn id="7" xr3:uid="{ADFB47AE-1F5E-4AA6-9BAC-3CCB64A52A1A}" name="03.02.2022" dataDxfId="493"/>
    <tableColumn id="8" xr3:uid="{92075445-9C62-477E-8AA3-C18039C29C0C}" name="08.02.2022" dataDxfId="492"/>
    <tableColumn id="9" xr3:uid="{C5C9D01E-A2A2-4AE1-BD9A-7DB501016213}" name="10.02.2022" dataDxfId="491"/>
    <tableColumn id="10" xr3:uid="{12E92D91-5194-4A61-A0C7-734B1CEB1827}" name="15.02.2022" dataDxfId="490"/>
    <tableColumn id="11" xr3:uid="{326EA9A0-CCEF-4675-ACFA-BE557145A052}" name="17.02.2022" dataDxfId="489"/>
    <tableColumn id="12" xr3:uid="{70051B49-ADE7-4415-BA5C-B4B9B244465F}" name="22.02.2022" dataDxfId="488"/>
    <tableColumn id="13" xr3:uid="{72EDBA7A-1BCB-4DAB-AEBE-CBC72D7C846C}" name="24.02.2022" dataDxfId="487"/>
    <tableColumn id="14" xr3:uid="{5DF03228-D270-461E-AC26-9BBC3C1A443A}" name="15.03.2022" dataDxfId="486"/>
    <tableColumn id="15" xr3:uid="{EC49DD7A-E7D0-4AF4-8B36-2D43B83995FD}" name="17.03.2022" dataDxfId="485"/>
    <tableColumn id="16" xr3:uid="{84C1810E-0EC9-4B70-8CCC-B3F99250BB6B}" name="22.03.2022" dataDxfId="484"/>
    <tableColumn id="17" xr3:uid="{3721D1BA-40E1-4A37-8F44-4B331CE08424}" name="24.03.2022" dataDxfId="483"/>
    <tableColumn id="18" xr3:uid="{4D1E173E-78D7-466C-BC94-69666538710B}" name="29.03.2022" dataDxfId="482"/>
    <tableColumn id="19" xr3:uid="{E6807B64-4F51-4A2E-9A23-A8BF34F49FE8}" name="31.03.2022" dataDxfId="481"/>
    <tableColumn id="20" xr3:uid="{06FB2A6B-55F4-4388-98C7-4D300D2FD331}" name="05.04.2022" dataDxfId="480"/>
    <tableColumn id="21" xr3:uid="{118D3944-E24D-4526-B728-5A1F8A8F523C}" name="07.04.2022" dataDxfId="479"/>
    <tableColumn id="25" xr3:uid="{4CA52520-EC9E-46CD-98D3-B06B648A49E0}" name="26.04.2022" dataDxfId="478"/>
    <tableColumn id="26" xr3:uid="{7D1103DE-2923-45F4-AAD1-68125C06D3EA}" name="28.04.2022" dataDxfId="477"/>
    <tableColumn id="27" xr3:uid="{A419A624-6900-49C6-88E7-A3E17E9A5690}" name="03.05.2022" dataDxfId="476"/>
    <tableColumn id="28" xr3:uid="{02B24341-C560-4970-9366-349B152D7A65}" name="05.05.2022" dataDxfId="475"/>
    <tableColumn id="29" xr3:uid="{1B033E7B-4122-4D3A-9ADD-0BD2FA6C0F9B}" name="10.05.2022" dataDxfId="474"/>
    <tableColumn id="30" xr3:uid="{2FA4C84B-2BC4-4198-BE43-6DDC193492A5}" name="12.05.2022" dataDxfId="473"/>
    <tableColumn id="31" xr3:uid="{0634BAA8-5802-4737-85E0-DCF37F547A1C}" name="17.05.2022" dataDxfId="472"/>
    <tableColumn id="32" xr3:uid="{7817926A-C84F-4E9F-B737-1092BC51E402}" name="19.05.2022" dataDxfId="471"/>
    <tableColumn id="33" xr3:uid="{34F650A0-F2BB-403C-8221-2A03E6274D4E}" name="24.05.2022" dataDxfId="470"/>
    <tableColumn id="34" xr3:uid="{C2DE8334-FE4C-4446-9CB5-8A354A993CDD}" name="31.05.2022" dataDxfId="469"/>
    <tableColumn id="46" xr3:uid="{736E6C26-6966-41AE-BE2C-543EB8DA5B14}" name="02.06.2022" dataDxfId="468"/>
    <tableColumn id="35" xr3:uid="{B6804615-9D4B-4AF0-990F-D985D293CCC2}" name="07.06.2022" dataDxfId="467"/>
    <tableColumn id="36" xr3:uid="{719A2328-2D50-4393-ACEB-C8F7F5A5EF95}" name="09.06.2022" dataDxfId="466"/>
    <tableColumn id="37" xr3:uid="{AF333D4A-1D53-45FB-B6D3-80B451BE8732}" name="14.06.2022" dataDxfId="465"/>
    <tableColumn id="38" xr3:uid="{B26434A4-916E-4577-BEBB-3EDEFE08A970}" name="16.06.2022" dataDxfId="464"/>
    <tableColumn id="39" xr3:uid="{0D04D5D7-5A89-4273-9645-BAB7D48F9A35}" name="21.06.2022" dataDxfId="463"/>
    <tableColumn id="40" xr3:uid="{564934B3-152F-45A9-979C-4D97C435D78E}" name="23.06.2022" dataDxfId="462"/>
    <tableColumn id="41" xr3:uid="{91E5C59A-18D5-4911-94F2-95540B702F18}" name="28.06.2022" dataDxfId="461"/>
    <tableColumn id="42" xr3:uid="{7A49E1DD-BCD3-4BED-8FF9-E1AB02411840}" name="30.06.2022" dataDxfId="460"/>
    <tableColumn id="48" xr3:uid="{9D583E66-B045-4D18-A6F6-AC3EFC511DE1}" name="24.11.2022" dataDxfId="459"/>
    <tableColumn id="49" xr3:uid="{5DD99C4A-411F-493D-BE2A-44D47937FE2F}" name="29.11.2022" dataDxfId="458"/>
    <tableColumn id="50" xr3:uid="{5F4F8D6B-2C84-4CB8-A89B-E98E77D22E56}" name="01.12.2022" dataDxfId="457"/>
    <tableColumn id="51" xr3:uid="{E55C986E-29B0-4296-88D6-6290D8759E25}" name="06.12.2022" dataDxfId="456"/>
    <tableColumn id="52" xr3:uid="{50221E0B-559E-4CAB-98BD-5E2E8CAE5B7E}" name="08.12.2022" dataDxfId="455"/>
    <tableColumn id="53" xr3:uid="{3C785C7A-DF3F-4A30-AC6C-7BEB37CC4E0B}" name="13.12.2022" dataDxfId="454"/>
    <tableColumn id="54" xr3:uid="{F74E0F82-72CD-41EC-B35F-89CD15E466EF}" name="15.12.2022" dataDxfId="453"/>
    <tableColumn id="55" xr3:uid="{0DD6FB92-69FB-4AC4-AC03-486EFB16DE50}" name="20.12.2022" dataDxfId="452"/>
    <tableColumn id="56" xr3:uid="{CDD335DD-9D11-4A25-9C53-9F85385F6099}" name="22.12.2022" dataDxfId="451"/>
    <tableColumn id="57" xr3:uid="{FE7EB227-ECFB-4463-BA7A-6BB3804F3824}" name="10.01.2023" dataDxfId="450"/>
    <tableColumn id="58" xr3:uid="{56CF28B7-5959-4232-BA3B-8A8963195C74}" name="12.01.2023" dataDxfId="449"/>
    <tableColumn id="59" xr3:uid="{E4BE00E0-FE31-46E0-A83A-22C710C2D2DC}" name="17.01.2023" dataDxfId="448"/>
    <tableColumn id="60" xr3:uid="{AB75361B-60A5-4BAA-91F7-2F3E4C552E46}" name="19.01.2023" dataDxfId="447"/>
    <tableColumn id="61" xr3:uid="{D59E21D6-8715-4C52-BBE3-1A0455084D4E}" name="24.01.2023" dataDxfId="446"/>
    <tableColumn id="62" xr3:uid="{CA097E5D-825D-4B8D-B242-9DFE1166D9A5}" name="26.01.2023" dataDxfId="445"/>
    <tableColumn id="63" xr3:uid="{64BA73B2-80F4-496C-A7E2-76F93B397994}" name="31.01.2023" dataDxfId="444"/>
    <tableColumn id="64" xr3:uid="{02408FE0-CFB0-49D6-9B28-B7183DA1CB28}" name="02.02.2023" dataDxfId="443"/>
    <tableColumn id="65" xr3:uid="{B5C69E25-AEB3-49D7-BB2A-3C80A09F9BB5}" name="07.02.2023" dataDxfId="442"/>
    <tableColumn id="66" xr3:uid="{0BAA01CC-0F19-48B7-8797-C906D750DE6D}" name="09.02.2023" dataDxfId="441"/>
    <tableColumn id="68" xr3:uid="{7BD6581F-D9D7-4A44-A2FF-92B6A7F57B20}" name="14.02.2023" dataDxfId="440"/>
    <tableColumn id="69" xr3:uid="{631C2994-5F9B-4E74-8315-A64091B9EC58}" name="16.02.2023" dataDxfId="439"/>
    <tableColumn id="70" xr3:uid="{7E78DB90-3BE4-4237-89FD-0DE33FBBAA2D}" name="07.03.2023" dataDxfId="438"/>
    <tableColumn id="71" xr3:uid="{D1BABBC9-4436-4CB5-9DA9-931518D4477F}" name="09.03.2023" dataDxfId="437"/>
    <tableColumn id="72" xr3:uid="{EE50F8AF-20D0-444A-9FC3-4A0C0FAB236D}" name="14.03.2023" dataDxfId="436"/>
    <tableColumn id="73" xr3:uid="{C129444F-194E-4C4D-87B1-897C68D93225}" name="16.03.2023" dataDxfId="435"/>
    <tableColumn id="74" xr3:uid="{CC147DC6-FB68-4BB4-AB72-292F3464FA74}" name="21.03.2023" dataDxfId="434"/>
    <tableColumn id="75" xr3:uid="{CBF01CBC-574A-4B3A-A3D7-91A50ECE4D14}" name="23.03.2023" dataDxfId="433"/>
    <tableColumn id="76" xr3:uid="{8BF761E6-DAE2-4D90-A1DB-E281C3E76C58}" name="28.03.2023" dataDxfId="432"/>
    <tableColumn id="77" xr3:uid="{1CAA8995-CAE9-4EEC-B48F-EDBFB1BE2234}" name="30.03.2023" dataDxfId="431"/>
    <tableColumn id="78" xr3:uid="{A0918C19-234B-44AB-A682-150038C18F93}" name="18.04.2023" dataDxfId="430"/>
    <tableColumn id="79" xr3:uid="{71851EDA-A12C-4B3D-AEB0-B1C048605D98}" name="20.04.2023" dataDxfId="429"/>
    <tableColumn id="80" xr3:uid="{8DDA5016-24D3-4D0B-994D-FD5B539D43A0}" name="25.04.2023" dataDxfId="428"/>
    <tableColumn id="81" xr3:uid="{EAC5AB71-F055-4335-AF57-0D90A7EF066B}" name="27.04.2023" dataDxfId="427"/>
    <tableColumn id="82" xr3:uid="{7157846B-CD67-4792-A719-4169BBCF203F}" name="02.05.2023" dataDxfId="426"/>
    <tableColumn id="83" xr3:uid="{C88F3304-5C6A-4ED4-B8FA-519E2991DAAF}" name="04.05.2023" dataDxfId="425"/>
    <tableColumn id="252" xr3:uid="{6A750C0D-2F7D-4C98-930E-0C48B5765E0B}" name="08.05.2023" dataDxfId="424"/>
    <tableColumn id="84" xr3:uid="{C34C4079-7618-45E7-A6FE-34D8288C05BC}" name="09.05.2023" dataDxfId="423"/>
    <tableColumn id="253" xr3:uid="{F0572281-71BA-432E-B777-B28EF2FB014F}" name="11.05.20232" dataDxfId="422"/>
    <tableColumn id="85" xr3:uid="{2A52CB17-615C-4F13-8393-C00E7387F503}" name="15.05.2023" dataDxfId="421"/>
    <tableColumn id="86" xr3:uid="{61A574C6-6B3F-45F7-9DA5-D450302A3537}" name="16.05.2023" dataDxfId="420"/>
    <tableColumn id="87" xr3:uid="{CE77517C-430F-40A1-B08F-7E0A8EEA84E0}" name="18.05.2023" dataDxfId="419"/>
    <tableColumn id="88" xr3:uid="{D4642F41-160D-4F0C-B378-68C6BE818973}" name="23.05.2023" dataDxfId="418"/>
    <tableColumn id="89" xr3:uid="{A392DB55-BE77-450B-BEDC-790D39E2111D}" name="25.05.2023" dataDxfId="417"/>
    <tableColumn id="90" xr3:uid="{8517A317-9CF3-4999-AA1B-F63065A77848}" name="30.05.2023" dataDxfId="416"/>
    <tableColumn id="91" xr3:uid="{6F66F87D-B889-4518-8051-B33BDFDF8D2A}" name="01.06.2023" dataDxfId="415"/>
    <tableColumn id="92" xr3:uid="{B2CC9105-5DF9-4742-A7EE-D82CED31BAF9}" name="06.06.2023" dataDxfId="414"/>
    <tableColumn id="93" xr3:uid="{984EC7DF-5FA9-4569-B31C-1FA478E8CE86}" name="08.06.2023" dataDxfId="413"/>
    <tableColumn id="94" xr3:uid="{D1642AD3-6714-4503-A753-B4B6B41479E1}" name="13.06.2023" dataDxfId="412"/>
    <tableColumn id="95" xr3:uid="{0BCF3910-8112-4DF4-BB92-9ECE876B82C8}" name="15.06.2023" dataDxfId="411"/>
    <tableColumn id="96" xr3:uid="{13DAC057-11FF-4609-8A32-04B2ADE8EE62}" name="20.06.2023" dataDxfId="410"/>
    <tableColumn id="97" xr3:uid="{6D48F509-B30A-4B54-A7BC-B0739DA41AC4}" name="22.06.2023" dataDxfId="409"/>
    <tableColumn id="98" xr3:uid="{06BF5951-6895-472C-AB62-D4DFB87FE21F}" name="27.06.2023" dataDxfId="408"/>
    <tableColumn id="99" xr3:uid="{EC52FBA0-5796-4842-AF48-6AC1C91D733B}" name="29.06.2023" dataDxfId="407"/>
    <tableColumn id="100" xr3:uid="{E34E4266-B5C1-4720-B6B3-B5440DC271EB}" name="15.08.2023" dataDxfId="406"/>
    <tableColumn id="101" xr3:uid="{05C67583-F09D-4552-B65A-CC32413F550A}" name="17.08.2023" dataDxfId="405"/>
    <tableColumn id="102" xr3:uid="{69AA440C-9AE6-4C34-800F-FBEA2BBFD29D}" name="22.08.2023" dataDxfId="404"/>
    <tableColumn id="103" xr3:uid="{4A1B5CE0-E5CC-4C14-A4DC-508B6DA953B0}" name="24.08.2023" dataDxfId="403"/>
    <tableColumn id="104" xr3:uid="{09CB9D7A-D5BF-4BF6-BF0E-AD8EA891A8F2}" name="29.08.2023" dataDxfId="402"/>
    <tableColumn id="105" xr3:uid="{8916E2B1-D381-4546-8D94-40E55BA79E9E}" name="31.08.2023" dataDxfId="401"/>
    <tableColumn id="106" xr3:uid="{61D94AC3-CF39-4A06-9E10-41A0E709FC7C}" name="05.09.2023" dataDxfId="400"/>
    <tableColumn id="107" xr3:uid="{AA9A879E-E6C3-4D25-87AD-18012A29A87E}" name="07.09.2023" dataDxfId="399"/>
    <tableColumn id="108" xr3:uid="{CCF01BDC-DD93-4A31-881A-F766869DFDAE}" name="12.09.2023" dataDxfId="398"/>
    <tableColumn id="109" xr3:uid="{F1F003EB-6FAD-459F-91B4-E1CC291F2ECD}" name="14.09.2023" dataDxfId="397"/>
    <tableColumn id="110" xr3:uid="{CDFBF64D-2DEA-43F9-93B6-096658B80ADF}" name="19.09.2023" dataDxfId="396"/>
    <tableColumn id="111" xr3:uid="{1C083AE5-A78A-4887-BD90-799BCEC734BD}" name="21.09.2023" dataDxfId="395"/>
    <tableColumn id="112" xr3:uid="{74EEB31F-837D-4BA5-8236-469B4A238E7D}" name="26.09.2029" dataDxfId="394"/>
    <tableColumn id="113" xr3:uid="{81167406-4294-4750-9C97-7D4E5506D5E6}" name="28.09.2023" dataDxfId="393"/>
    <tableColumn id="114" xr3:uid="{674604B8-851F-49B6-B3E6-A29385DBBCCA}" name="17.10.2023" dataDxfId="392"/>
    <tableColumn id="115" xr3:uid="{FECF63D9-EFED-4EA3-850D-949157B42A57}" name="19.10.2023" dataDxfId="391"/>
    <tableColumn id="116" xr3:uid="{8C72DB4B-A908-403B-A13B-7189221C59D4}" name="24.10.2023" dataDxfId="390"/>
    <tableColumn id="117" xr3:uid="{5C69A9D1-301A-43CB-901F-3AB195D22070}" name="26.10.2023" dataDxfId="389"/>
    <tableColumn id="118" xr3:uid="{1D33BCC4-FE4D-4CC6-9D9D-560B738C0126}" name="31.10.2023" dataDxfId="388"/>
    <tableColumn id="119" xr3:uid="{2F8FC6F8-C102-4AD6-9967-00E694422C63}" name="02.11.2023" dataDxfId="387"/>
    <tableColumn id="120" xr3:uid="{795262F8-E307-46C8-82F1-7436377225A5}" name="07.11.2023" dataDxfId="386"/>
    <tableColumn id="121" xr3:uid="{941A64EF-6ACC-4F63-A342-6A2D353BDFA5}" name="09.11.2023" dataDxfId="385"/>
    <tableColumn id="122" xr3:uid="{1C029046-A909-41AB-BF80-B1DAA7DF4A83}" name="14.11.2023" dataDxfId="384"/>
    <tableColumn id="123" xr3:uid="{84DDA6C4-D81C-4338-AF5A-848E1935F59F}" name="16.11.2023" dataDxfId="383"/>
    <tableColumn id="124" xr3:uid="{B2C940D9-9B3D-4D18-B304-66ABBCF36522}" name="21.11.2023" dataDxfId="382"/>
    <tableColumn id="125" xr3:uid="{0495502B-AC5C-4E3F-8260-26E8BD3FCB71}" name="23.11.2023" dataDxfId="381"/>
    <tableColumn id="126" xr3:uid="{5FFC3BAC-C229-4EBD-96F5-B29FB1CD7292}" name="28.11.2023" dataDxfId="380"/>
    <tableColumn id="127" xr3:uid="{36B631E8-7812-4B68-9F73-5010B8A6B88B}" name="30.11.2023" dataDxfId="379"/>
    <tableColumn id="128" xr3:uid="{592D1074-81EE-4945-85D7-F83C535F8F4F}" name="05.12.2023" dataDxfId="378"/>
    <tableColumn id="129" xr3:uid="{B8A45D76-49B3-49A5-965F-D18B95DA5D54}" name="07.12.2023" dataDxfId="377"/>
    <tableColumn id="130" xr3:uid="{6EDB7CF4-86C3-41D9-B791-B70CB9328EB0}" name="12.12.2023" dataDxfId="376"/>
    <tableColumn id="131" xr3:uid="{B18C4BB6-1A70-466F-857E-93C29EC88BE1}" name="14.12.2023" dataDxfId="375"/>
    <tableColumn id="132" xr3:uid="{42B68ECE-E90F-4EED-B77E-5DB3784603A0}" name="19.12.2023" dataDxfId="374"/>
    <tableColumn id="133" xr3:uid="{25125EBF-AA70-40D9-8BAC-249B23DC0DFA}" name="21.12.2023" dataDxfId="373"/>
    <tableColumn id="134" xr3:uid="{8B4A9914-2D08-4212-8EE3-B12636F089A1}" name="09.01.2024" dataDxfId="372"/>
    <tableColumn id="135" xr3:uid="{447F037D-4E54-4EA1-ADDF-22DDEBAFA2D4}" name="11.01.2024" dataDxfId="371"/>
    <tableColumn id="136" xr3:uid="{1DB57EAD-E976-4DB3-A536-73199C79AEAA}" name="16.01.2024" dataDxfId="370"/>
    <tableColumn id="137" xr3:uid="{F83A14D7-F4D1-4196-B6A9-C2FFD8D94188}" name="18.01.2024" dataDxfId="369"/>
    <tableColumn id="138" xr3:uid="{F9CB5C53-4348-4972-BE11-0380D585441E}" name="23.01.2024" dataDxfId="368"/>
    <tableColumn id="139" xr3:uid="{70F742DF-B571-4815-9B24-4367B4B16167}" name="25.01.2024" dataDxfId="367"/>
    <tableColumn id="140" xr3:uid="{A5B15207-4611-4618-9D33-EDB6F327F3C7}" name="30.01.2024" dataDxfId="366"/>
    <tableColumn id="141" xr3:uid="{D7B7675B-A9BF-4D13-9A57-0C5045E21909}" name="01.02.2024" dataDxfId="365"/>
    <tableColumn id="142" xr3:uid="{16AAE7FD-27AA-4E5A-BB65-3348D9A6433C}" name="06.02.2024" dataDxfId="364"/>
    <tableColumn id="143" xr3:uid="{EAC02807-3875-4504-BC7F-E17A2C7A59B0}" name="08.02.2024" dataDxfId="363"/>
    <tableColumn id="144" xr3:uid="{F937D59D-9918-4AC2-BBFF-1A18AAFF91E9}" name="27.02.2024" dataDxfId="362"/>
    <tableColumn id="145" xr3:uid="{E9E6B348-B715-4159-A9DB-88913B73EAA0}" name="29.02.2024" dataDxfId="361"/>
    <tableColumn id="146" xr3:uid="{731B09A4-BDBA-4623-B43C-132FFFA673ED}" name="05.03.2024" dataDxfId="360"/>
    <tableColumn id="147" xr3:uid="{7CCD75AC-9F40-40F2-BEC6-F0101B7E438A}" name="07.03.2024" dataDxfId="359"/>
    <tableColumn id="148" xr3:uid="{DE37F828-D7F6-4929-8848-1D83AE421FAA}" name="12.03.2024" dataDxfId="358"/>
    <tableColumn id="149" xr3:uid="{A2EB0979-F902-4A52-80D5-C44ACBC1B3B3}" name="14.03.2024" dataDxfId="357"/>
    <tableColumn id="150" xr3:uid="{596A631B-3D72-48D0-B16F-02046ED49CAC}" name="19.03.2024" dataDxfId="356"/>
    <tableColumn id="151" xr3:uid="{1009C50E-62E3-44B4-A238-250787C5E750}" name="21.03.2024" dataDxfId="355"/>
    <tableColumn id="152" xr3:uid="{9DDB732C-1A78-4AC9-91F7-B1550ECB18ED}" name="09.04.2024" dataDxfId="354"/>
    <tableColumn id="153" xr3:uid="{99DC3729-1DC1-48B7-974E-8A204F51CDB4}" name="11.04.2024" dataDxfId="353"/>
    <tableColumn id="154" xr3:uid="{A343F0D6-2241-4C86-8C86-4B99EDAACC45}" name="16.04.2024" dataDxfId="352"/>
    <tableColumn id="155" xr3:uid="{77474363-B046-4BEB-8CA9-1E6E77325125}" name="18.04.2024" dataDxfId="351"/>
    <tableColumn id="156" xr3:uid="{CD91276F-2838-4A5B-A14C-51AB60599045}" name="23.04.2024" dataDxfId="350"/>
    <tableColumn id="157" xr3:uid="{B2275306-EB34-49BB-BF55-701087FB5F1F}" name="25.04.2024" dataDxfId="349"/>
    <tableColumn id="158" xr3:uid="{03F7A2B5-E9DC-4EF4-8184-28E1258172BB}" name="30.04.2024" dataDxfId="348"/>
    <tableColumn id="159" xr3:uid="{6812C73C-7D67-444B-8BE6-6CCB8A5AF014}" name="02.05.2024" dataDxfId="347"/>
    <tableColumn id="160" xr3:uid="{E1198EA5-FFAE-4BEF-801C-3F9EC927618E}" name="07.05.2024" dataDxfId="346"/>
    <tableColumn id="161" xr3:uid="{C04FBA33-8B29-4B7D-9DB8-23AED32EDD8D}" name="09.05.2024" dataDxfId="345"/>
    <tableColumn id="162" xr3:uid="{F3B27B2D-737E-445E-B2CD-AE733D17D0F1}" name="14.05.2024" dataDxfId="344"/>
    <tableColumn id="163" xr3:uid="{8FE8AAF6-B697-49A9-86D1-206015809535}" name="16.05.2024" dataDxfId="343"/>
    <tableColumn id="164" xr3:uid="{F4382FD8-77FB-4701-9E3F-1A5BA1E83E00}" name="21.05.2024" dataDxfId="342"/>
    <tableColumn id="165" xr3:uid="{26C5BF8D-3E33-459A-8C0A-545529BC28A4}" name="24.05.2024" dataDxfId="341"/>
    <tableColumn id="166" xr3:uid="{3E9BFAC0-0CC6-4A26-9AD9-76B0C1073C30}" name="28.05.2024" dataDxfId="340"/>
    <tableColumn id="167" xr3:uid="{D836DBBA-4119-4C40-A5F7-5734FC203471}" name="30.05.2024" dataDxfId="339"/>
    <tableColumn id="168" xr3:uid="{85F6CC7E-69A0-4F9C-B136-405BC40C2232}" name="04.06.2024" dataDxfId="338"/>
    <tableColumn id="169" xr3:uid="{A1B20A58-4E9D-4061-9DF7-52614A29543A}" name="06.06.2024" dataDxfId="337"/>
    <tableColumn id="170" xr3:uid="{95A4FA61-924B-445D-9666-78B69CEC703E}" name="11.06.2024" dataDxfId="336"/>
    <tableColumn id="171" xr3:uid="{119A5F0F-82AC-495D-807B-2DDA927289C3}" name="13.06.2024" dataDxfId="335"/>
    <tableColumn id="172" xr3:uid="{D3E3B9D0-9531-441C-B789-8B95EC1D5D1F}" name="18.06.2024" dataDxfId="334"/>
    <tableColumn id="173" xr3:uid="{7599230C-1E7B-471D-B2F3-ADD32796AFED}" name="20.06.2024" dataDxfId="333"/>
    <tableColumn id="174" xr3:uid="{47235ADD-54AC-4C6F-B2FC-12D8C3365DA2}" name="25.06.2024" dataDxfId="332"/>
    <tableColumn id="175" xr3:uid="{2D1306F7-F20C-4BBF-8883-F9F634FF652A}" name="27.06.2024" dataDxfId="331"/>
    <tableColumn id="176" xr3:uid="{2B60B4FE-77E7-408B-B6D1-F3B6C22E228D}" name="13.08.2024" dataDxfId="330"/>
    <tableColumn id="177" xr3:uid="{04AD8E41-6FAD-4EC2-AC34-6AC049A6AE28}" name="15.08.2024" dataDxfId="329"/>
    <tableColumn id="178" xr3:uid="{E55B0E9F-F236-45FE-9820-E252277431D6}" name="20.08.2024" dataDxfId="328"/>
    <tableColumn id="179" xr3:uid="{E2759FF8-BE24-4888-BF01-F2D768DC0D75}" name="22.08.2024" dataDxfId="327"/>
    <tableColumn id="180" xr3:uid="{9F0B78CA-57E7-4ECE-AB2A-91D1696496EF}" name="27.08.2024" dataDxfId="326"/>
    <tableColumn id="181" xr3:uid="{58FDB5E4-DD1A-46EF-AC68-7B3B1A7909B2}" name="29.08.2024" dataDxfId="325"/>
    <tableColumn id="182" xr3:uid="{B4EA5BD1-60FF-4839-88BA-AACAA3E7AED0}" name="03.09.2024" dataDxfId="324"/>
    <tableColumn id="183" xr3:uid="{B04DF0EE-F975-4151-BA47-BF7971FB37E4}" name="05.09.2024" dataDxfId="323"/>
    <tableColumn id="184" xr3:uid="{E6A34748-E64C-48DB-A2D7-8115C67B1C18}" name="10.09.2024" dataDxfId="322"/>
    <tableColumn id="185" xr3:uid="{0C3CF23D-5F39-45D7-BFD7-CE8F9D7CE4F8}" name="12.09.2024" dataDxfId="321"/>
    <tableColumn id="186" xr3:uid="{CDCA0C56-7EC5-4457-A6FD-30A3655F2A8C}" name="17.09.2024" dataDxfId="320"/>
    <tableColumn id="187" xr3:uid="{F4BDCE77-C697-40F4-BDBF-10A71DBFFDAC}" name="19.09.2024" dataDxfId="319"/>
    <tableColumn id="188" xr3:uid="{53C56261-9C7D-4713-BBCD-A2A72A1012ED}" name="24.09.2024" dataDxfId="318"/>
    <tableColumn id="189" xr3:uid="{EC3352D6-360F-461F-AA76-CB5F982AC633}" name="26.09.2024" dataDxfId="317"/>
    <tableColumn id="190" xr3:uid="{9317C616-8E50-45FC-804B-D00F28A94EE3}" name="15.10.2024" dataDxfId="316"/>
    <tableColumn id="191" xr3:uid="{BE69C4D9-752B-4DE5-BFA4-58BA84E62B19}" name="17.10.2024" dataDxfId="315"/>
    <tableColumn id="192" xr3:uid="{9A975650-B8F5-47EE-A7C3-655EAF6C6221}" name="22.10.2024" dataDxfId="314"/>
    <tableColumn id="193" xr3:uid="{01C0953F-4E3D-44AC-B456-6F45F6B2BA12}" name="24.10.2024" dataDxfId="313"/>
    <tableColumn id="194" xr3:uid="{6C742D88-1730-4509-9A68-BB3CE209ECF0}" name="29.10.2024" dataDxfId="312"/>
    <tableColumn id="195" xr3:uid="{E173161E-AD4B-4AB4-BC05-CE697FF8830F}" name="31.10.2024" dataDxfId="311"/>
    <tableColumn id="196" xr3:uid="{953CD933-2052-4576-BAC9-7754EDAF1C9A}" name="05.11.2024" dataDxfId="310"/>
    <tableColumn id="197" xr3:uid="{A9A5C38A-570F-4322-9D05-B40064DC713A}" name="07.11.2024" dataDxfId="309"/>
    <tableColumn id="198" xr3:uid="{C95CEA9B-CB17-4D48-BDA4-2B092140A168}" name="12.11.2024" dataDxfId="308"/>
    <tableColumn id="199" xr3:uid="{6ED867C2-AD9F-4452-851A-171911E35B5E}" name="14.11.2024" dataDxfId="307"/>
    <tableColumn id="200" xr3:uid="{B261EDAB-2A43-4BAD-A3DB-3150DDDE38AB}" name="19.11.2024" dataDxfId="306"/>
    <tableColumn id="201" xr3:uid="{797B9272-96A4-4926-B0DF-FC5B5ED68D72}" name="21.11.2024" dataDxfId="305"/>
    <tableColumn id="202" xr3:uid="{83E44366-F2BC-4718-ADFA-E960634C5C35}" name="26.11.2024" dataDxfId="304"/>
    <tableColumn id="203" xr3:uid="{387F35E5-1D96-46B9-B157-8C858A00E5E4}" name="28.11.2024" dataDxfId="303"/>
    <tableColumn id="204" xr3:uid="{198B04DE-E448-41FB-920D-CD41EB399E8A}" name="03.12.2024" dataDxfId="302"/>
    <tableColumn id="205" xr3:uid="{37404986-A348-4586-A853-2D0623F1C647}" name="05.12.2024" dataDxfId="301"/>
    <tableColumn id="206" xr3:uid="{0EE22700-C0FB-46A0-9ECB-E78DDD377207}" name="10.12.2024" dataDxfId="300"/>
    <tableColumn id="207" xr3:uid="{8F222198-187C-49B9-A38D-E74E06D0FE27}" name="12.12.2024" dataDxfId="299"/>
    <tableColumn id="208" xr3:uid="{E7351733-679F-4A6D-9726-CED5A0377FE0}" name="17.12.2024" dataDxfId="298"/>
    <tableColumn id="209" xr3:uid="{C73F1A3D-16AB-491A-8B35-910A07D74B88}" name="19.12.2024" dataDxfId="297"/>
    <tableColumn id="210" xr3:uid="{F5B368A0-0717-4893-A834-00CA79B46A4B}" name="07.01.2025" dataDxfId="296"/>
    <tableColumn id="211" xr3:uid="{2A26CFD5-72FE-4073-8F57-485B3DEE220E}" name="09.01.2025" dataDxfId="295"/>
    <tableColumn id="212" xr3:uid="{801FD813-181B-4151-9802-6D518F913C82}" name="14.01.2025" dataDxfId="294"/>
    <tableColumn id="213" xr3:uid="{3594DAD5-3E67-41D1-AE6B-5C42B6F58CAA}" name="16.01.2025" dataDxfId="293"/>
    <tableColumn id="214" xr3:uid="{FCB68AAE-1A2C-4FB5-AD02-5F04FA6672FE}" name="21.01.2025" dataDxfId="292"/>
    <tableColumn id="215" xr3:uid="{6A60BB04-6A53-45C0-82D6-42F5E0B3F347}" name="23.01.2025" dataDxfId="291"/>
    <tableColumn id="216" xr3:uid="{E63CD5C7-C77B-40B6-AB75-8842CBC914DD}" name="28.01.2025" dataDxfId="290"/>
    <tableColumn id="217" xr3:uid="{AA5D73CC-8929-4E5D-A37D-47C6AC77E542}" name="30.01.2025" dataDxfId="289"/>
    <tableColumn id="218" xr3:uid="{CE2A4749-3DF9-41A3-B3C1-B80E0DB0C07C}" name="04.02.2025" dataDxfId="288"/>
    <tableColumn id="219" xr3:uid="{07A6E0FD-FC3E-4AB1-A374-7A87E578680A}" name="06.02.2025" dataDxfId="287"/>
    <tableColumn id="220" xr3:uid="{3AC4B7CB-D890-458D-BF19-517066F1AF3A}" name="11.02.2025" dataDxfId="286"/>
    <tableColumn id="221" xr3:uid="{40643767-A50F-49C1-B860-33F4D4EE76DF}" name="13.02.2025" dataDxfId="285"/>
    <tableColumn id="222" xr3:uid="{6C299A64-EB04-4D1B-ACB0-544ABAE4630F}" name="18.02.2025" dataDxfId="284"/>
    <tableColumn id="223" xr3:uid="{F430DA91-CB5A-4B7F-B240-B8BF6C543B0A}" name="20.02.2025" dataDxfId="283"/>
    <tableColumn id="224" xr3:uid="{530AC21E-88A2-47D9-9222-C46E4E05A40E}" name="25.02.2025" dataDxfId="282"/>
    <tableColumn id="225" xr3:uid="{DF832DCC-D7A5-4480-B6C2-51367F9B872C}" name="27.02.2025" dataDxfId="281"/>
    <tableColumn id="226" xr3:uid="{F8ECB8D6-0ACF-40A5-9D0C-51A75973AEEA}" name="18.03.2025" dataDxfId="280"/>
    <tableColumn id="227" xr3:uid="{18781543-C496-4010-B3ED-3E729041B63A}" name="20.03.2025" dataDxfId="279"/>
    <tableColumn id="228" xr3:uid="{B764B4F1-2F6D-4036-987B-A79EE4CEA040}" name="25.03.2025" dataDxfId="278"/>
    <tableColumn id="229" xr3:uid="{DDB54751-BC0A-4E56-9CEE-A10F51CFB56F}" name="27.03.2025" dataDxfId="277"/>
    <tableColumn id="230" xr3:uid="{E685244D-1246-426E-8D54-5F66A27074A5}" name="01.04.2025" dataDxfId="276"/>
    <tableColumn id="231" xr3:uid="{DB58DA34-0DAB-4ABA-B452-86A1ECFA521D}" name="03.04.2025" dataDxfId="275"/>
    <tableColumn id="232" xr3:uid="{EBD7EBF4-3A5F-4776-AF76-C3A2817B788A}" name="08.04.2025" dataDxfId="274"/>
    <tableColumn id="233" xr3:uid="{CED6A69B-A978-4D0F-B7C2-C198BC9E33E8}" name="10.04.2025" dataDxfId="273"/>
    <tableColumn id="234" xr3:uid="{88BDEB1C-4B78-4C49-ABDA-70C1CEEE693A}" name="29.04.2025" dataDxfId="272"/>
    <tableColumn id="235" xr3:uid="{4EE5BF4D-8C3F-4985-B0F9-B169C6498B7D}" name="01.05.2025" dataDxfId="271"/>
    <tableColumn id="236" xr3:uid="{A7386340-D7A4-40D5-9FFE-FB3B0050572D}" name="06.05.2025" dataDxfId="270"/>
    <tableColumn id="237" xr3:uid="{11CBA917-08F6-41EC-8135-E8CE4C019777}" name="08.05.2025" dataDxfId="269"/>
    <tableColumn id="238" xr3:uid="{2EB4911B-B554-4DE5-A8E7-3EC96D455DAD}" name="13.05.2025" dataDxfId="268"/>
    <tableColumn id="239" xr3:uid="{D75A8DE2-B6F4-4B05-B542-FDEC9D574BF1}" name="15.05.2025" dataDxfId="267"/>
    <tableColumn id="240" xr3:uid="{B8E93BDA-50BC-43F0-AEE0-F221BB21051B}" name="20.05.2025" dataDxfId="266"/>
    <tableColumn id="241" xr3:uid="{63B26B4B-CF52-4B35-B85A-504117092756}" name="22.05.2025" dataDxfId="265"/>
    <tableColumn id="242" xr3:uid="{A2E4EF15-F888-4559-A776-20991E3BF557}" name="27.05.2025" dataDxfId="264"/>
    <tableColumn id="243" xr3:uid="{F1B19C2D-5C16-4317-A9BD-0C13E88B885E}" name="29.05.2025" dataDxfId="263"/>
    <tableColumn id="244" xr3:uid="{DBABE0B9-5286-4A76-B707-70E2A2C207BC}" name="03.06.2025" dataDxfId="262"/>
    <tableColumn id="245" xr3:uid="{D7B6BEC3-1DC5-4976-B68B-441765995ACC}" name="05.06.2025" dataDxfId="261"/>
    <tableColumn id="246" xr3:uid="{E96F916B-C213-4852-8DB4-FAADEAEF29FA}" name="10.06.2025" dataDxfId="260"/>
    <tableColumn id="247" xr3:uid="{587A288D-149F-41F0-8DBC-41AA8F13513E}" name="12.06.2025" dataDxfId="259"/>
    <tableColumn id="248" xr3:uid="{EE896401-1954-4435-9777-46881B9C7514}" name="17.06.2025" dataDxfId="258"/>
    <tableColumn id="249" xr3:uid="{4A824428-B19A-403C-B00B-0656FC532685}" name="19.06.2025" dataDxfId="257"/>
    <tableColumn id="250" xr3:uid="{C41D1C95-21CA-47EB-8B9C-307B71CF430C}" name="24.06.2025" dataDxfId="256"/>
    <tableColumn id="251" xr3:uid="{7F91390F-518E-4F0E-9D78-A597B8AB0503}" name="26.06.2025" dataDxfId="255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254"/>
    <tableColumn id="4" xr3:uid="{4A77C64F-316A-4D24-9F63-6BD4F2EA8963}" name="LLP max"/>
    <tableColumn id="5" xr3:uid="{BE713E1B-AE97-4051-A260-5B90326948E1}" name="Note" dataDxfId="253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calculatedColumnFormula>
    </tableColumn>
    <tableColumn id="6" xr3:uid="{E357EBB0-CCB5-4DE1-BB3B-4382AD9C871D}" name="LLP Total" dataDxfId="2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T46" totalsRowShown="0">
  <tableColumns count="254">
    <tableColumn id="1" xr3:uid="{89E93B22-973E-4333-9CBE-00278C4A57EE}" name="Schwerpunkt Softwareentwicklung"/>
    <tableColumn id="2" xr3:uid="{DA66D9D3-ADEF-403B-B1DD-B2B38430E08C}" name="Fach"/>
    <tableColumn id="254" xr3:uid="{4E46E97D-889A-4FE4-8A4F-1CCB39F9F052}" name="Studium" dataDxfId="251"/>
    <tableColumn id="67" xr3:uid="{56DDF1FC-4004-4B95-B3DC-A1D43FD1305E}" name="Status" dataDxfId="250"/>
    <tableColumn id="3" xr3:uid="{547BBAFA-B951-4B8A-B093-D6658A5800A6}" name="LLP max" dataDxfId="249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248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247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calculatedColumnFormula>
    </tableColumn>
    <tableColumn id="23" xr3:uid="{D4002414-1F10-4958-BAAE-615B24C98835}" name="LLP Total" dataDxfId="246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 dataDxfId="245"/>
    <tableColumn id="22" xr3:uid="{CA54A5DB-9122-491B-91E6-3A0E2B5AB402}" name="Mastery" dataDxfId="244"/>
    <tableColumn id="44" xr3:uid="{1681684C-779F-4005-BD82-D2A7A66DF5A3}" name="ATL Max" dataDxfId="243"/>
    <tableColumn id="24" xr3:uid="{95B1017A-B935-4695-A420-B6BAC359CAC4}" name="ATL" dataDxfId="242"/>
    <tableColumn id="43" xr3:uid="{E2ED21C2-B7A2-44BF-9FEE-2A2BE7528ED3}" name="Präsenz Max" dataDxfId="241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240">
      <calculatedColumnFormula>SUM(TBL_S_Software[[#This Row],[01.02.2022]:[26.06.2025]])</calculatedColumnFormula>
    </tableColumn>
    <tableColumn id="6" xr3:uid="{3AEB9746-ED19-48C5-8ED8-5656E9DDD8CB}" name="01.02.2022" dataDxfId="239"/>
    <tableColumn id="7" xr3:uid="{DEBFDFA4-786E-434F-A3DE-01F5191C86AB}" name="03.02.2022" dataDxfId="238"/>
    <tableColumn id="8" xr3:uid="{2179D8F5-C2D1-4718-9ACC-892F7F1513FA}" name="08.02.2022" dataDxfId="237"/>
    <tableColumn id="9" xr3:uid="{BC6CB5BE-4858-40BF-953F-1920C7CF64EE}" name="10.02.2022" dataDxfId="236"/>
    <tableColumn id="10" xr3:uid="{F42E08E6-0980-4395-8157-9D04DD0247F4}" name="15.02.2022" dataDxfId="235"/>
    <tableColumn id="11" xr3:uid="{74E25E36-9CC7-436B-B547-4298370C973C}" name="17.02.2022" dataDxfId="234"/>
    <tableColumn id="12" xr3:uid="{B35471CE-2FAD-4476-9F86-A4608447FBFE}" name="22.02.2022" dataDxfId="233"/>
    <tableColumn id="13" xr3:uid="{820E5EBC-169A-4C16-9E85-F6E4C125780C}" name="24.02.2022" dataDxfId="232"/>
    <tableColumn id="14" xr3:uid="{90070927-C597-48B6-ADC3-7F623CB74092}" name="15.03.2022" dataDxfId="231"/>
    <tableColumn id="15" xr3:uid="{382D2B1A-3A36-42E3-BD9E-33840FC8914F}" name="17.03.2022" dataDxfId="230"/>
    <tableColumn id="16" xr3:uid="{9A01A00C-DA8F-42E0-8EF3-0F05C0FA32C4}" name="22.03.2022" dataDxfId="229"/>
    <tableColumn id="17" xr3:uid="{4FF1B8D2-D881-4841-9F79-88310AE2C4F5}" name="24.03.2022" dataDxfId="228"/>
    <tableColumn id="18" xr3:uid="{C977FBB8-92E5-4D44-82B2-DD5F24C036D1}" name="29.03.2022" dataDxfId="227"/>
    <tableColumn id="19" xr3:uid="{FCDAD0FB-A83A-4F6B-96AC-D30C64C49D8B}" name="31.03.2022" dataDxfId="226"/>
    <tableColumn id="20" xr3:uid="{27F6B444-6496-4100-84C2-F1B4A337C554}" name="05.04.2022" dataDxfId="225"/>
    <tableColumn id="21" xr3:uid="{C8836342-4E6E-4B56-8E32-4F310AEE01A1}" name="07.04.2022" dataDxfId="224"/>
    <tableColumn id="25" xr3:uid="{847979CA-D5A6-4D09-B810-60EAB59F9243}" name="26.04.2022" dataDxfId="223"/>
    <tableColumn id="26" xr3:uid="{EC2E521A-A2B5-44C5-8829-0E0887D74DF8}" name="28.04.2022" dataDxfId="222"/>
    <tableColumn id="27" xr3:uid="{D3A22A6A-50E0-47D9-A40F-8566A2913CD2}" name="03.05.2022" dataDxfId="221"/>
    <tableColumn id="28" xr3:uid="{892C8255-6A25-48D2-BFE8-28C3C1B39AE9}" name="05.05.2022" dataDxfId="220"/>
    <tableColumn id="29" xr3:uid="{2CFCB50E-C822-4384-903A-D397B8DB2FC5}" name="10.05.2022" dataDxfId="219"/>
    <tableColumn id="30" xr3:uid="{9E8A83B7-FB0B-4D75-969C-98761C95089D}" name="12.05.2022" dataDxfId="218"/>
    <tableColumn id="31" xr3:uid="{04A1432D-EFF4-4336-A2E3-9975223C04EB}" name="17.05.2022" dataDxfId="217"/>
    <tableColumn id="32" xr3:uid="{F63466B0-555C-42AA-BDB6-C01E671EDEC9}" name="19.05.2022" dataDxfId="216"/>
    <tableColumn id="33" xr3:uid="{53BCFFEF-E936-46B3-89F8-405F2D9EEEE8}" name="24.05.2022" dataDxfId="215"/>
    <tableColumn id="34" xr3:uid="{2028B84E-0F46-47F5-976F-A0135F4F10EB}" name="31.05.2022" dataDxfId="214"/>
    <tableColumn id="46" xr3:uid="{022D9AB1-E59C-410A-ACF7-BCEA208A027E}" name="02.06.2022" dataDxfId="213"/>
    <tableColumn id="35" xr3:uid="{0EB88F30-71E1-4E54-8AB6-5C32B0546B17}" name="07.06.2022" dataDxfId="212"/>
    <tableColumn id="36" xr3:uid="{1BFEE1A0-7DF2-42BB-9DEA-92B22ED75596}" name="09.06.2022" dataDxfId="211"/>
    <tableColumn id="37" xr3:uid="{CB1A53C2-25A1-42A7-B0B1-E06B9F63478A}" name="14.06.2022" dataDxfId="210"/>
    <tableColumn id="38" xr3:uid="{85E1DA10-D58B-4ABD-9E40-6C85F6329220}" name="16.06.2022" dataDxfId="209"/>
    <tableColumn id="39" xr3:uid="{84C8AB75-121E-40BA-8329-01838D1B9DF4}" name="21.06.2022" dataDxfId="208"/>
    <tableColumn id="40" xr3:uid="{3B259F81-57F8-4BA5-9C51-15EDA8743A20}" name="23.06.2022" dataDxfId="207"/>
    <tableColumn id="41" xr3:uid="{4E259056-1F6D-41AE-894B-638703D2FC25}" name="28.06.2022" dataDxfId="206"/>
    <tableColumn id="42" xr3:uid="{2F6737AB-94D0-4020-9D92-B501C99818D1}" name="30.06.2022" dataDxfId="205"/>
    <tableColumn id="48" xr3:uid="{3D3F08F8-761E-45CE-BBA0-9F4C1725CAEE}" name="24.11.2022" dataDxfId="204"/>
    <tableColumn id="49" xr3:uid="{1411FB2F-5C63-4A82-8841-E982E2DE4B42}" name="29.11.2022" dataDxfId="203"/>
    <tableColumn id="50" xr3:uid="{AE9E7AE6-4120-49A7-ACF4-6E0ECD351C55}" name="01.12.2022" dataDxfId="202"/>
    <tableColumn id="51" xr3:uid="{E0DB4549-8D0F-407F-B9C0-F1BC3451203E}" name="06.12.2022" dataDxfId="201"/>
    <tableColumn id="52" xr3:uid="{769D7785-F85A-41B0-8460-906B0E81B407}" name="08.12.2022" dataDxfId="200"/>
    <tableColumn id="53" xr3:uid="{661B6D02-2523-4E98-B08D-09C19E321861}" name="13.12.2022" dataDxfId="199"/>
    <tableColumn id="54" xr3:uid="{E2D7E704-7615-4756-9981-8B7553E361DE}" name="15.12.2022" dataDxfId="198"/>
    <tableColumn id="55" xr3:uid="{922184E1-8BE7-4E8C-A000-95AB0D215055}" name="20.12.2022" dataDxfId="197"/>
    <tableColumn id="56" xr3:uid="{0F9721DE-D52E-4173-AABE-A4EAEB26AF76}" name="22.12.2022" dataDxfId="196"/>
    <tableColumn id="57" xr3:uid="{46267134-67F9-4998-B689-2DB6A06BEA1F}" name="10.01.2023" dataDxfId="195"/>
    <tableColumn id="58" xr3:uid="{935543E6-F282-4F95-9BA7-03BB44BE9AB6}" name="12.01.2023" dataDxfId="194"/>
    <tableColumn id="59" xr3:uid="{8D9A52DE-AAC4-4CA6-A061-6AAE718C9E82}" name="17.01.2023" dataDxfId="193"/>
    <tableColumn id="60" xr3:uid="{BE003BD5-0B89-497F-BC0F-67C59EABF23E}" name="19.01.2023" dataDxfId="192"/>
    <tableColumn id="61" xr3:uid="{05454EA3-4F8A-4512-8417-1A188E0986D1}" name="24.01.2023" dataDxfId="191"/>
    <tableColumn id="62" xr3:uid="{CA61AC3D-00D8-44D8-B235-02E6B4BA2E6E}" name="26.01.2023" dataDxfId="190"/>
    <tableColumn id="63" xr3:uid="{7B240D45-196D-4225-9632-811F0A528441}" name="31.01.2023" dataDxfId="189"/>
    <tableColumn id="64" xr3:uid="{73F05805-6384-4018-AB2C-1EE8A6C0AC78}" name="02.02.2023" dataDxfId="188"/>
    <tableColumn id="65" xr3:uid="{68A7B40A-E3B4-4B1F-A0D3-154C48820AB4}" name="07.02.2023" dataDxfId="187"/>
    <tableColumn id="66" xr3:uid="{695722DC-DBBC-4418-99E7-B295325111AD}" name="09.02.2023" dataDxfId="186"/>
    <tableColumn id="68" xr3:uid="{00877C36-BE99-4D2D-85B8-517A0D1E0D30}" name="14.02.2023" dataDxfId="185"/>
    <tableColumn id="69" xr3:uid="{A37AD6C5-ED46-4E42-84A0-62220578A358}" name="16.02.2023" dataDxfId="184"/>
    <tableColumn id="70" xr3:uid="{D4C24B66-89A0-4EAD-912B-B607B3FD37E7}" name="07.03.2023" dataDxfId="183"/>
    <tableColumn id="71" xr3:uid="{00FE9734-51D6-459A-954A-203C5B00DCF0}" name="09.03.2023" dataDxfId="182"/>
    <tableColumn id="72" xr3:uid="{7721CCA0-65B5-43E7-9B2D-225453D5475E}" name="14.03.2023" dataDxfId="181"/>
    <tableColumn id="73" xr3:uid="{8621B95C-DEC5-43E9-9141-6DAC548EB2EB}" name="16.03.2023" dataDxfId="180"/>
    <tableColumn id="74" xr3:uid="{E96CCFF7-C3C0-4F9A-9F25-E1233DC84B44}" name="21.03.2023" dataDxfId="179"/>
    <tableColumn id="75" xr3:uid="{3B0C227A-1CFB-4A69-ABEE-B627309C9B3B}" name="23.03.2023" dataDxfId="178"/>
    <tableColumn id="76" xr3:uid="{171E37B3-4A17-490F-9CC3-5EBA7605BC1B}" name="28.03.2023" dataDxfId="177"/>
    <tableColumn id="77" xr3:uid="{E1A1F34A-60A8-4AB7-B1CB-4CFE6D04114D}" name="30.03.2023" dataDxfId="176"/>
    <tableColumn id="78" xr3:uid="{4E793260-719B-4682-B4E6-8EDEB0C3B089}" name="18.04.2023" dataDxfId="175"/>
    <tableColumn id="79" xr3:uid="{BF273DB7-CC09-4B7E-A4DF-04C9931B45C1}" name="20.04.2023" dataDxfId="174"/>
    <tableColumn id="80" xr3:uid="{A992BFFC-4693-457C-8FB4-1E5E15919789}" name="25.04.2023" dataDxfId="173"/>
    <tableColumn id="81" xr3:uid="{B0BABDF3-FDDA-414A-9669-9EC162E72E76}" name="27.04.2023" dataDxfId="172"/>
    <tableColumn id="82" xr3:uid="{19CC67B1-882A-4C89-8010-5D0A7AEF36C5}" name="02.05.2023" dataDxfId="171"/>
    <tableColumn id="83" xr3:uid="{5D23765D-65A7-45AB-9DC8-FFCEB2E97F1A}" name="04.05.2023" dataDxfId="170"/>
    <tableColumn id="252" xr3:uid="{44BE46ED-7270-4F36-BB43-01F5DF600233}" name="08.05.2023" dataDxfId="169"/>
    <tableColumn id="84" xr3:uid="{4C466B4F-D68F-4928-A12C-26065FDA0274}" name="09.05.2023" dataDxfId="168"/>
    <tableColumn id="85" xr3:uid="{D83624C3-D697-4C0E-A88B-CA8785046F64}" name="11.05.2023" dataDxfId="167"/>
    <tableColumn id="253" xr3:uid="{8321E0A0-2103-4E8E-8290-D01F572A6683}" name="15.05.2023" dataDxfId="166"/>
    <tableColumn id="86" xr3:uid="{79C91C3A-F928-4E38-93ED-1F51914FDED0}" name="16.05.2023" dataDxfId="165"/>
    <tableColumn id="87" xr3:uid="{2DD30036-DAAE-4CE8-A90B-1782801552A7}" name="18.05.2023" dataDxfId="164"/>
    <tableColumn id="88" xr3:uid="{489FC99C-481D-487D-8173-AEC59FE54D5B}" name="23.05.2023" dataDxfId="163"/>
    <tableColumn id="89" xr3:uid="{F70C6D24-0E90-4686-B016-7B820D142D89}" name="25.05.2023" dataDxfId="162"/>
    <tableColumn id="90" xr3:uid="{76AEDD60-C6A7-46CB-8647-AB143F6AFA1E}" name="30.05.2023" dataDxfId="161"/>
    <tableColumn id="91" xr3:uid="{FBE66BC4-1FEB-4676-A00C-4D74FF28B761}" name="01.06.2023" dataDxfId="160"/>
    <tableColumn id="92" xr3:uid="{D61BAF08-8662-4D05-8EE3-014C807B5050}" name="06.06.2023" dataDxfId="159"/>
    <tableColumn id="93" xr3:uid="{A27BEE71-32C1-4B94-B07F-1F9EFF0C179F}" name="08.06.2023" dataDxfId="158"/>
    <tableColumn id="94" xr3:uid="{263C02A4-9DAA-4B4E-BC17-37B5396D58F3}" name="13.06.2023" dataDxfId="157"/>
    <tableColumn id="95" xr3:uid="{FA7DF7FF-54E6-446A-983B-B3651D5592A4}" name="15.06.2023" dataDxfId="156"/>
    <tableColumn id="96" xr3:uid="{E3F46D1E-BF65-40C2-8495-D4B4D564BA7C}" name="20.06.2023" dataDxfId="155"/>
    <tableColumn id="97" xr3:uid="{680A6F9F-960C-4F5C-9D69-F9292A6D44D1}" name="22.06.2023" dataDxfId="154"/>
    <tableColumn id="98" xr3:uid="{E2FA3ED7-CC17-4FB1-B40E-5327A268F6E5}" name="27.06.2023" dataDxfId="153"/>
    <tableColumn id="99" xr3:uid="{BA7716BD-4259-4934-AB3F-09599A595B88}" name="29.06.2023" dataDxfId="152"/>
    <tableColumn id="100" xr3:uid="{588FF384-94A3-48A9-8307-56E1B1A95ACA}" name="15.08.2023" dataDxfId="151"/>
    <tableColumn id="101" xr3:uid="{5680FFCE-E734-4FCE-8055-E9F762C27B3A}" name="17.08.2023" dataDxfId="150"/>
    <tableColumn id="102" xr3:uid="{2F83767E-15DB-40FF-8BDC-B54AA62C6FF0}" name="22.08.2023" dataDxfId="149"/>
    <tableColumn id="103" xr3:uid="{039B3B17-DEB6-4EAC-933C-CAE77E5CA960}" name="24.08.2023" dataDxfId="148"/>
    <tableColumn id="104" xr3:uid="{423CF50F-9D6C-463F-9012-83E4B0125B4C}" name="29.08.2023" dataDxfId="147"/>
    <tableColumn id="105" xr3:uid="{14CFCF29-6BB0-482C-849A-1E05B477EF64}" name="31.08.2023" dataDxfId="146"/>
    <tableColumn id="106" xr3:uid="{702BB26E-DA51-44B0-86F6-50E1F4B89904}" name="05.09.2023" dataDxfId="145"/>
    <tableColumn id="107" xr3:uid="{E36BE671-BC3C-4D4A-8FE0-B3F9D1C50BA9}" name="07.09.2023" dataDxfId="144"/>
    <tableColumn id="108" xr3:uid="{FE6BEBEB-152E-450F-8198-9449DDD29028}" name="12.09.2023" dataDxfId="143"/>
    <tableColumn id="109" xr3:uid="{43D41D56-23AD-4AE8-8236-A32139F8DC9B}" name="14.09.2023" dataDxfId="142"/>
    <tableColumn id="110" xr3:uid="{285E0C54-3E2E-4CFA-AE00-2B7056C82515}" name="19.09.2023" dataDxfId="141"/>
    <tableColumn id="111" xr3:uid="{C786F911-87FD-4675-A144-DC5720C33409}" name="21.09.2023" dataDxfId="140"/>
    <tableColumn id="112" xr3:uid="{3C1D2811-408D-48E7-9660-0D6C9D41719F}" name="26.09.2029" dataDxfId="139"/>
    <tableColumn id="113" xr3:uid="{5ABE7112-8779-487A-8FA0-1924C5CD9122}" name="28.09.2023" dataDxfId="138"/>
    <tableColumn id="114" xr3:uid="{F44F3F1B-5CFB-4EFF-BEA4-531D8E3E5766}" name="17.10.2023" dataDxfId="137"/>
    <tableColumn id="115" xr3:uid="{1AA50248-D24A-402E-BAAB-87E2E26E0844}" name="19.10.2023" dataDxfId="136"/>
    <tableColumn id="116" xr3:uid="{A9DD1976-2F6A-4C39-81E9-6EB1719FD63B}" name="24.10.2023" dataDxfId="135"/>
    <tableColumn id="117" xr3:uid="{363CB71B-2F05-4057-A9BF-A60D4755542A}" name="26.10.2023" dataDxfId="134"/>
    <tableColumn id="118" xr3:uid="{82DD0DE9-6EA1-4DD9-B8CC-38EC6AD9995D}" name="31.10.2023" dataDxfId="133"/>
    <tableColumn id="119" xr3:uid="{141290F9-F4ED-4CF5-9560-72479D06531C}" name="02.11.2023" dataDxfId="132"/>
    <tableColumn id="120" xr3:uid="{6E5447FD-47B5-4B15-ACA3-3B82065E8108}" name="07.11.2023" dataDxfId="131"/>
    <tableColumn id="121" xr3:uid="{79327793-9EC8-49B9-8C08-0713BDFFFBE1}" name="09.11.2023" dataDxfId="130"/>
    <tableColumn id="122" xr3:uid="{A48ABCEC-EDF4-43E0-B049-B4665CF92270}" name="14.11.2023" dataDxfId="129"/>
    <tableColumn id="123" xr3:uid="{6CBBF58D-07AA-42AC-81EE-B735FD9C1C3D}" name="16.11.2023" dataDxfId="128"/>
    <tableColumn id="124" xr3:uid="{779E082E-260B-4DA0-80BC-88D6ACF5D13D}" name="21.11.2023" dataDxfId="127"/>
    <tableColumn id="125" xr3:uid="{49F18392-0DA5-439C-B3D1-FE5795308C18}" name="23.11.2023" dataDxfId="126"/>
    <tableColumn id="126" xr3:uid="{33D5D21A-A236-4FB8-A943-B9FCFA0B431D}" name="28.11.2023" dataDxfId="125"/>
    <tableColumn id="127" xr3:uid="{30937CBF-D3C5-4AE2-BF2C-A12F9F2E59AF}" name="30.11.2023" dataDxfId="124"/>
    <tableColumn id="128" xr3:uid="{94F8A2A1-42CA-43DA-BB10-3299A004FF1D}" name="05.12.2023" dataDxfId="123"/>
    <tableColumn id="129" xr3:uid="{F3B499C0-EBED-4025-8B70-0612AD4C5BF3}" name="07.12.2023" dataDxfId="122"/>
    <tableColumn id="130" xr3:uid="{0737A259-3970-4FB2-83AE-3254F3924ABD}" name="12.12.2023" dataDxfId="121"/>
    <tableColumn id="131" xr3:uid="{ADB8AA69-434F-4C4D-BDF9-4A9C50B968FF}" name="14.12.2023" dataDxfId="120"/>
    <tableColumn id="132" xr3:uid="{EC77413A-9900-4D21-8B84-32DD48B53FD1}" name="19.12.2023" dataDxfId="119"/>
    <tableColumn id="133" xr3:uid="{DF536CA5-AC92-452C-A630-371F01583F41}" name="21.12.2023" dataDxfId="118"/>
    <tableColumn id="134" xr3:uid="{B8E96AAC-44A8-4DED-8E42-3310FA3213C2}" name="09.01.2024" dataDxfId="117"/>
    <tableColumn id="135" xr3:uid="{0376BE40-B54C-45AE-BB2C-B330D9EFF082}" name="11.01.2024" dataDxfId="116"/>
    <tableColumn id="136" xr3:uid="{1B9B728A-992C-4762-9AB3-D6AB458F603E}" name="16.01.2024" dataDxfId="115"/>
    <tableColumn id="137" xr3:uid="{41369DF5-6A09-4A01-970D-D0402558FC04}" name="18.01.2024" dataDxfId="114"/>
    <tableColumn id="138" xr3:uid="{8AC786F4-DB5A-4232-B7A0-19EC5381586A}" name="23.01.2024" dataDxfId="113"/>
    <tableColumn id="139" xr3:uid="{5948E057-777F-4A07-A21C-B16159F40BA7}" name="25.01.2024" dataDxfId="112"/>
    <tableColumn id="140" xr3:uid="{2DF751F1-5125-4733-A5A3-A91AB915505C}" name="30.01.2024" dataDxfId="111"/>
    <tableColumn id="141" xr3:uid="{291F12C0-FF15-4712-A9C9-3BFFC4A747F6}" name="01.02.2024" dataDxfId="110"/>
    <tableColumn id="142" xr3:uid="{1CC7B6CC-BC05-4427-B636-AD288477340E}" name="06.02.2024" dataDxfId="109"/>
    <tableColumn id="143" xr3:uid="{0F16D397-807E-43F1-9255-AA336D20191F}" name="08.02.2024" dataDxfId="108"/>
    <tableColumn id="144" xr3:uid="{57438E3F-5B67-4E33-BBA2-554788CB9FCE}" name="27.02.2024" dataDxfId="107"/>
    <tableColumn id="145" xr3:uid="{F63D89BE-D00B-4D0E-9B99-3E4856C0CE4B}" name="29.02.2024" dataDxfId="106"/>
    <tableColumn id="146" xr3:uid="{67E4E697-F2FB-4CA0-97A8-7F69B656BF1F}" name="05.03.2024" dataDxfId="105"/>
    <tableColumn id="147" xr3:uid="{3B025BE9-82E8-4DBB-B050-E3683E3D70FF}" name="07.03.2024" dataDxfId="104"/>
    <tableColumn id="148" xr3:uid="{90F6C34E-1D33-4C0D-921A-F253BF028812}" name="12.03.2024" dataDxfId="103"/>
    <tableColumn id="149" xr3:uid="{53C65A3D-EDB9-4F9F-A7B9-E33B26A7FDEA}" name="14.03.2024" dataDxfId="102"/>
    <tableColumn id="150" xr3:uid="{355F04B7-1335-4777-887C-ED6E4B79263A}" name="19.03.2024" dataDxfId="101"/>
    <tableColumn id="151" xr3:uid="{3E7B783B-3F53-4BB9-B122-FFD16FD58E4D}" name="21.03.2024" dataDxfId="100"/>
    <tableColumn id="152" xr3:uid="{E5D47D72-C486-4973-B4A3-74FA5087D08F}" name="09.04.2024" dataDxfId="99"/>
    <tableColumn id="153" xr3:uid="{A21A3ADE-1835-4B7C-A624-EC5403E0ECD0}" name="11.04.2024" dataDxfId="98"/>
    <tableColumn id="154" xr3:uid="{6F88E5F4-D7FE-4194-BE0C-38CB9614460A}" name="16.04.2024" dataDxfId="97"/>
    <tableColumn id="155" xr3:uid="{1638E7C9-B3B2-4A19-953D-E426E082B1B7}" name="18.04.2024" dataDxfId="96"/>
    <tableColumn id="156" xr3:uid="{DF1518BD-E9E2-4B7B-8562-ED6A2D68C849}" name="23.04.2024" dataDxfId="95"/>
    <tableColumn id="157" xr3:uid="{DEEC955C-7FEC-43E1-9758-5A7EBF36199D}" name="25.04.2024" dataDxfId="94"/>
    <tableColumn id="158" xr3:uid="{51CFDFBF-92B9-43AD-8B4E-183D6922F687}" name="30.04.2024" dataDxfId="93"/>
    <tableColumn id="159" xr3:uid="{D04A9C0A-6970-4572-9626-1C6DEEC0704F}" name="02.05.2024" dataDxfId="92"/>
    <tableColumn id="160" xr3:uid="{FA6BFB55-C108-47DD-ABD1-50C1C5696CB1}" name="07.05.2024" dataDxfId="91"/>
    <tableColumn id="161" xr3:uid="{1E9302E8-C374-401D-9982-8357093B5743}" name="09.05.2024" dataDxfId="90"/>
    <tableColumn id="162" xr3:uid="{33DC6F47-4124-4F73-9A82-05CE09B350A7}" name="14.05.2024" dataDxfId="89"/>
    <tableColumn id="163" xr3:uid="{238E63C2-1262-4962-9CD6-811AE14EA1DA}" name="16.05.2024" dataDxfId="88"/>
    <tableColumn id="164" xr3:uid="{14887B6A-E166-41F1-AF00-97F1EC40954B}" name="21.05.2024" dataDxfId="87"/>
    <tableColumn id="165" xr3:uid="{FBB00536-5ED1-484B-830A-82B5B4E77202}" name="24.05.2024" dataDxfId="86"/>
    <tableColumn id="166" xr3:uid="{119619F9-F81D-49FD-B253-326BCB2F5036}" name="28.05.2024" dataDxfId="85"/>
    <tableColumn id="167" xr3:uid="{F3B7FBEF-922A-417B-970C-7F40C7E3268C}" name="30.05.2024" dataDxfId="84"/>
    <tableColumn id="168" xr3:uid="{8E1E990C-B862-48B9-841A-6C628D6D59C0}" name="04.06.2024" dataDxfId="83"/>
    <tableColumn id="169" xr3:uid="{75C51236-AC36-4E2F-99E7-D8CD7B9A6A5F}" name="06.06.2024" dataDxfId="82"/>
    <tableColumn id="170" xr3:uid="{30C4BC88-75C2-4275-9A43-2A6FB3761722}" name="11.06.2024" dataDxfId="81"/>
    <tableColumn id="171" xr3:uid="{71C904E8-92AB-411B-86FF-EC33158EDF97}" name="13.06.2024" dataDxfId="80"/>
    <tableColumn id="172" xr3:uid="{C04C4065-F651-48B8-A1FD-0C3F2319198D}" name="18.06.2024" dataDxfId="79"/>
    <tableColumn id="173" xr3:uid="{499207CD-E56F-42B2-AE26-83B4CE28DE4D}" name="20.06.2024" dataDxfId="78"/>
    <tableColumn id="174" xr3:uid="{A4538A39-8339-47E7-A822-2A15170F0F1B}" name="25.06.2024" dataDxfId="77"/>
    <tableColumn id="175" xr3:uid="{A90CA91D-7085-47B4-B130-CCF4DDC6CE34}" name="27.06.2024" dataDxfId="76"/>
    <tableColumn id="176" xr3:uid="{F900020A-B219-45E4-B5E6-78CAFCC213BE}" name="13.08.2024" dataDxfId="75"/>
    <tableColumn id="177" xr3:uid="{F6F6D3D4-76DD-4AF5-BE9C-5ABD4DB14968}" name="15.08.2024" dataDxfId="74"/>
    <tableColumn id="178" xr3:uid="{AF270655-9049-43AD-B3E4-03050649556C}" name="20.08.2024" dataDxfId="73"/>
    <tableColumn id="179" xr3:uid="{FD48276D-620C-46FF-A56F-A5DC53494BE8}" name="22.08.2024" dataDxfId="72"/>
    <tableColumn id="180" xr3:uid="{4E56FDF1-0DE0-4A6E-B506-79DDA22C242C}" name="27.08.2024" dataDxfId="71"/>
    <tableColumn id="181" xr3:uid="{1B03631B-0541-40C6-AA32-2759628ACD5C}" name="29.08.2024" dataDxfId="70"/>
    <tableColumn id="182" xr3:uid="{AEB0C08D-1B14-4C89-AC52-0BD95019604B}" name="03.09.2024" dataDxfId="69"/>
    <tableColumn id="183" xr3:uid="{E1B13A97-6BFC-406B-89E1-68679987843E}" name="05.09.2024" dataDxfId="68"/>
    <tableColumn id="184" xr3:uid="{2AC8CA33-7D68-4183-8557-B70400F8D4CB}" name="10.09.2024" dataDxfId="67"/>
    <tableColumn id="185" xr3:uid="{9A4A70A5-7B04-4FFB-9DF0-25C046FC43B2}" name="12.09.2024" dataDxfId="66"/>
    <tableColumn id="186" xr3:uid="{129B1E0D-9843-461B-9E22-CEFB73FB121E}" name="17.09.2024" dataDxfId="65"/>
    <tableColumn id="187" xr3:uid="{B90F1BEE-CCD8-457C-940C-1A07022C173F}" name="19.09.2024" dataDxfId="64"/>
    <tableColumn id="188" xr3:uid="{A58F48B4-CE09-46EC-8D65-314ECE6FAE8A}" name="24.09.2024" dataDxfId="63"/>
    <tableColumn id="189" xr3:uid="{DDD14B83-1044-4C99-8BF8-B0C4B484CD77}" name="26.09.2024" dataDxfId="62"/>
    <tableColumn id="190" xr3:uid="{D0B1AB00-D80B-480A-8CB6-26CB020DE65C}" name="15.10.2024" dataDxfId="61"/>
    <tableColumn id="191" xr3:uid="{02523AFB-D029-436F-B23C-18DFEDC7458F}" name="17.10.2024" dataDxfId="60"/>
    <tableColumn id="192" xr3:uid="{E01F845F-F0E2-4D78-B9CB-01DE4D4BAED9}" name="22.10.2024" dataDxfId="59"/>
    <tableColumn id="193" xr3:uid="{72BF3067-F160-43FF-A800-A661AD4E24F3}" name="24.10.2024" dataDxfId="58"/>
    <tableColumn id="194" xr3:uid="{BD04D90D-3B99-4714-A240-11956A4220CF}" name="29.10.2024" dataDxfId="57"/>
    <tableColumn id="195" xr3:uid="{44BACECC-5516-44FC-BB63-379B563ABBDA}" name="31.10.2024" dataDxfId="56"/>
    <tableColumn id="196" xr3:uid="{38F5A972-DDB8-4AE9-95A6-70D2BFF40E6F}" name="05.11.2024" dataDxfId="55"/>
    <tableColumn id="197" xr3:uid="{2DA3B6CD-7E4A-456A-8DE0-3FB69AF6F8F9}" name="07.11.2024" dataDxfId="54"/>
    <tableColumn id="198" xr3:uid="{8E621062-A760-48AC-ADD8-3E5DF59D496A}" name="12.11.2024" dataDxfId="53"/>
    <tableColumn id="199" xr3:uid="{9CC01470-8E21-4466-A27A-4B77B4B7876D}" name="14.11.2024" dataDxfId="52"/>
    <tableColumn id="200" xr3:uid="{8CEF7BCB-AE59-4846-97B4-88338505EDB1}" name="19.11.2024" dataDxfId="51"/>
    <tableColumn id="201" xr3:uid="{1022DABE-21DF-468F-9C64-E56F4F57C5D8}" name="21.11.2024" dataDxfId="50"/>
    <tableColumn id="202" xr3:uid="{0DC7B9DF-65A4-49F9-8B14-7FEE3D2501C9}" name="26.11.2024" dataDxfId="49"/>
    <tableColumn id="203" xr3:uid="{FD320FF7-6C63-41D2-AB98-8199F7E408A3}" name="28.11.2024" dataDxfId="48"/>
    <tableColumn id="204" xr3:uid="{6B8DF092-CAE1-41B2-881C-5B85804028F2}" name="03.12.2024" dataDxfId="47"/>
    <tableColumn id="205" xr3:uid="{316E6C2F-CB16-4EC1-A018-9221F7FE688F}" name="05.12.2024" dataDxfId="46"/>
    <tableColumn id="206" xr3:uid="{9CE54CC9-DBCB-4B59-94BB-111C3A0F7E2D}" name="10.12.2024" dataDxfId="45"/>
    <tableColumn id="207" xr3:uid="{F2047017-4C88-45E2-878A-739BE543FB05}" name="12.12.2024" dataDxfId="44"/>
    <tableColumn id="208" xr3:uid="{AA04C75F-BD05-4C6E-9BFC-6925720564D6}" name="17.12.2024" dataDxfId="43"/>
    <tableColumn id="209" xr3:uid="{8C7129D1-9E1F-472F-95F0-52138AFE463A}" name="19.12.2024" dataDxfId="42"/>
    <tableColumn id="210" xr3:uid="{F0008E19-D153-4DAA-B1EC-E2F000A9EF8E}" name="07.01.2025" dataDxfId="41"/>
    <tableColumn id="211" xr3:uid="{D74D72D4-1406-4C66-85E6-A3BFD7541B83}" name="09.01.2025" dataDxfId="40"/>
    <tableColumn id="212" xr3:uid="{FF105B19-28D8-4B89-BE28-1A7C5487EE39}" name="14.01.2025" dataDxfId="39"/>
    <tableColumn id="213" xr3:uid="{8F23ED60-899B-4518-B170-CE424D41FE6E}" name="16.01.2025" dataDxfId="38"/>
    <tableColumn id="214" xr3:uid="{D2F3594A-D3E4-4068-A74F-46F994D484DA}" name="21.01.2025" dataDxfId="37"/>
    <tableColumn id="215" xr3:uid="{CD40CBC8-7B23-44EC-95F5-2399A56BD388}" name="23.01.2025" dataDxfId="36"/>
    <tableColumn id="216" xr3:uid="{E63CEAAB-19EF-4C33-874D-A4CCA4412E02}" name="28.01.2025" dataDxfId="35"/>
    <tableColumn id="217" xr3:uid="{FF201305-BE29-4D8C-8CDD-3422A9D769A3}" name="30.01.2025" dataDxfId="34"/>
    <tableColumn id="218" xr3:uid="{103F517E-6560-4850-8EE7-24D1FEB57BBA}" name="04.02.2025" dataDxfId="33"/>
    <tableColumn id="219" xr3:uid="{4F8B3E6F-CEF6-4091-813E-B94F27EA3FCD}" name="06.02.2025" dataDxfId="32"/>
    <tableColumn id="220" xr3:uid="{68D82BBC-5E15-46A7-BE2B-1F000F7FFA09}" name="11.02.2025" dataDxfId="31"/>
    <tableColumn id="221" xr3:uid="{34751E7B-1C61-4D5A-BF36-D505E5407EFF}" name="13.02.2025" dataDxfId="30"/>
    <tableColumn id="222" xr3:uid="{68FA7EE7-7BFB-465A-88FD-C04ED88F36D1}" name="18.02.2025" dataDxfId="29"/>
    <tableColumn id="223" xr3:uid="{9A6F9A8E-5858-47FF-A419-99C15F260F05}" name="20.02.2025" dataDxfId="28"/>
    <tableColumn id="224" xr3:uid="{B868B2D3-C5B9-49B8-B38A-D8BE5D9B6853}" name="25.02.2025" dataDxfId="27"/>
    <tableColumn id="225" xr3:uid="{3A8BB422-6BD7-4782-B03D-EE26B409691C}" name="27.02.2025" dataDxfId="26"/>
    <tableColumn id="226" xr3:uid="{563AEC9F-A0CC-47C6-A403-49087F671320}" name="18.03.2025" dataDxfId="25"/>
    <tableColumn id="227" xr3:uid="{23CD3121-4E2B-4F04-84F6-E5095881E8AB}" name="20.03.2025" dataDxfId="24"/>
    <tableColumn id="228" xr3:uid="{D9F0A160-3CD8-4166-A81E-B29C9B7A7714}" name="25.03.2025" dataDxfId="23"/>
    <tableColumn id="229" xr3:uid="{5F8DC074-6FFF-42EA-BEB4-BD105982D781}" name="27.03.2025" dataDxfId="22"/>
    <tableColumn id="230" xr3:uid="{39B02543-0D4D-4B8B-A5DB-D923AAAD1E72}" name="01.04.2025" dataDxfId="21"/>
    <tableColumn id="231" xr3:uid="{86E86B8D-C795-4447-86A1-1C75EA7B6640}" name="03.04.2025" dataDxfId="20"/>
    <tableColumn id="232" xr3:uid="{DFA8D15E-C298-4827-B43C-3AA32C698823}" name="08.04.2025" dataDxfId="19"/>
    <tableColumn id="233" xr3:uid="{FF5BCD2C-A2BB-40A6-888E-A256E7038F3C}" name="10.04.2025" dataDxfId="18"/>
    <tableColumn id="234" xr3:uid="{FFB7F62A-5CB0-48B2-A7B6-ADE937A5E21C}" name="29.04.2025" dataDxfId="17"/>
    <tableColumn id="235" xr3:uid="{A7B9E054-C94C-4857-95FF-162C585FE919}" name="01.05.2025" dataDxfId="16"/>
    <tableColumn id="236" xr3:uid="{7D533BBD-45F1-47CD-A687-F92AB11635D9}" name="06.05.2025" dataDxfId="15"/>
    <tableColumn id="237" xr3:uid="{B67ECC9C-BDCA-4328-A2F6-5D8962A59BBB}" name="08.05.2025" dataDxfId="14"/>
    <tableColumn id="238" xr3:uid="{75848A47-64A4-4AC3-B94B-B80F4E7399AF}" name="13.05.2025" dataDxfId="13"/>
    <tableColumn id="239" xr3:uid="{83887607-4273-4A22-9D4F-7A2F0F69C5A8}" name="15.05.2025" dataDxfId="12"/>
    <tableColumn id="240" xr3:uid="{9AD959FC-0C37-4D45-8C41-96F2F4A7B978}" name="20.05.2025" dataDxfId="11"/>
    <tableColumn id="241" xr3:uid="{D32BB492-A6FD-4412-B25F-690157097300}" name="22.05.2025" dataDxfId="10"/>
    <tableColumn id="242" xr3:uid="{97041BB5-43E4-45F5-9B11-4F320C3E11F0}" name="27.05.2025" dataDxfId="9"/>
    <tableColumn id="243" xr3:uid="{BBCBE7DC-4DCD-4EC1-908E-58A5F687C4F4}" name="29.05.2025" dataDxfId="8"/>
    <tableColumn id="244" xr3:uid="{08783AF8-0F5A-4311-BEEC-2F089C1F1DBE}" name="03.06.2025" dataDxfId="7"/>
    <tableColumn id="245" xr3:uid="{989C0801-2103-4C8F-9792-DFA2E604254F}" name="05.06.2025" dataDxfId="6"/>
    <tableColumn id="246" xr3:uid="{66C2529C-EC0B-490B-A3E7-B7938177DB57}" name="10.06.2025" dataDxfId="5"/>
    <tableColumn id="247" xr3:uid="{87AEEA62-3054-4583-A7A9-7135F4D94D93}" name="12.06.2025" dataDxfId="4"/>
    <tableColumn id="248" xr3:uid="{534C584C-9BEA-40ED-AD6E-D307D4B9F3EA}" name="17.06.2025" dataDxfId="3"/>
    <tableColumn id="249" xr3:uid="{FE531E1F-5BCA-4EBF-AE52-75E095532D88}" name="19.06.2025" dataDxfId="2"/>
    <tableColumn id="250" xr3:uid="{A5F4A3B9-ABBD-447D-B1EE-B51586C2CE25}" name="24.06.2025" dataDxfId="1"/>
    <tableColumn id="251" xr3:uid="{A9303B06-D7CF-4AEE-887B-CA2C7A50BF7C}" name="26.06.2025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30:M36" totalsRowShown="0">
  <autoFilter ref="A30:M36" xr:uid="{761D2189-BAE0-4D75-9911-EEE744562610}"/>
  <tableColumns count="13">
    <tableColumn id="1" xr3:uid="{8AE5E6A2-E7B2-42B3-9E6D-8B029798F731}" name="Kommunikation &amp; Führung"/>
    <tableColumn id="2" xr3:uid="{A3541685-6939-48C9-BDB7-8519573DD03F}" name="Fach"/>
    <tableColumn id="13" xr3:uid="{6256EDE1-972B-43D2-BF51-1BADD0558402}" name="Studium" dataDxfId="1055">
      <calculatedColumnFormula>VLOOKUP(TBL_Ü_Kommunikation[[#This Row],[Kommunikation &amp; Führung]],TBL_Kommunikation[#All],3,FALSE)</calculatedColumnFormula>
    </tableColumn>
    <tableColumn id="3" xr3:uid="{E7195467-4AE3-466E-BCF7-319E53CDB583}" name="Status" dataDxfId="1054">
      <calculatedColumnFormula>VLOOKUP(TBL_Ü_Kommunikation[[#This Row],[Kommunikation &amp; Führung]],TBL_Kommunikation[#All],4,FALSE)</calculatedColumnFormula>
    </tableColumn>
    <tableColumn id="4" xr3:uid="{AA0694FB-3F9B-4DD9-BC24-928397C1A270}" name="LLP max" dataDxfId="1053">
      <calculatedColumnFormula>VLOOKUP(TBL_Ü_Kommunikation[[#This Row],[Kommunikation &amp; Führung]],TBL_Kommunikation[#All],5,FALSE)</calculatedColumnFormula>
    </tableColumn>
    <tableColumn id="5" xr3:uid="{DCC8E097-2FCE-4D3C-ABEB-16511B2ABF93}" name="LLP total" dataDxfId="1052">
      <calculatedColumnFormula>VLOOKUP(TBL_Ü_Kommunikation[[#This Row],[Kommunikation &amp; Führung]],TBL_Kommunikation[#All],8,FALSE)</calculatedColumnFormula>
    </tableColumn>
    <tableColumn id="6" xr3:uid="{16E82AFC-7F61-4272-BA45-3282D18E9D72}" name="Note" dataDxfId="1051">
      <calculatedColumnFormula>VLOOKUP(TBL_Ü_Kommunikation[[#This Row],[Kommunikation &amp; Führung]],TBL_Kommunikation[#All],7,FALSE)</calculatedColumnFormula>
    </tableColumn>
    <tableColumn id="12" xr3:uid="{B81F8DD5-7992-4C12-B5B4-295DAFF43A74}" name="%-Erreicht" dataDxfId="1050" dataCellStyle="Prozent">
      <calculatedColumnFormula>100/TBL_Ü_Kommunikation[[#This Row],[LLP max]]*TBL_Ü_Kommunikation[[#This Row],[LLP total]]/100</calculatedColumnFormula>
    </tableColumn>
    <tableColumn id="7" xr3:uid="{63E6BF4B-CCBB-42AE-B684-63550EA960AC}" name="LLP Mastery" dataDxfId="1049">
      <calculatedColumnFormula>VLOOKUP(TBL_Ü_Kommunikation[[#This Row],[Kommunikation &amp; Führung]],TBL_Kommunikation[#All],10,FALSE)</calculatedColumnFormula>
    </tableColumn>
    <tableColumn id="8" xr3:uid="{67668ED4-613E-4890-B25A-2C2A04150577}" name="LLP ATL" dataDxfId="1048">
      <calculatedColumnFormula>VLOOKUP(TBL_Ü_Kommunikation[[#This Row],[Kommunikation &amp; Führung]],TBL_Kommunikation[#All],12,FALSE)</calculatedColumnFormula>
    </tableColumn>
    <tableColumn id="9" xr3:uid="{F8EBF882-39DF-4060-B20B-9D896E0B681F}" name="LLP Präsenz" dataDxfId="1047">
      <calculatedColumnFormula>VLOOKUP(TBL_Ü_Kommunikation[[#This Row],[Kommunikation &amp; Führung]],TBL_Kommunikation[#All],14,FALSE)</calculatedColumnFormula>
    </tableColumn>
    <tableColumn id="11" xr3:uid="{B947CFBF-E226-42A0-9046-B8556B237716}" name="Status Zeus" dataDxfId="1046"/>
    <tableColumn id="10" xr3:uid="{2943A4E5-6F40-4E9B-9091-736C0FCB6BB6}" name="Bemerkungen" dataDxfId="104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8:M46" totalsRowShown="0">
  <autoFilter ref="A38:M46" xr:uid="{DFE18ED8-76F2-4923-8318-E86C329243DF}"/>
  <tableColumns count="13">
    <tableColumn id="1" xr3:uid="{5BF94641-3DD1-46FF-A290-9B9437383851}" name="Schwerpunkt Systemtechnik"/>
    <tableColumn id="2" xr3:uid="{9F80AADF-E921-44BC-85EB-B3CF6053EE50}" name="Fach"/>
    <tableColumn id="12" xr3:uid="{115A7BA1-DCDF-4314-BE04-1E3C714E855E}" name="Studium" dataDxfId="1044">
      <calculatedColumnFormula>VLOOKUP(TBL_Ü_S_System[[#This Row],[Schwerpunkt Systemtechnik]],TBL_S_System[#All],3,FALSE)</calculatedColumnFormula>
    </tableColumn>
    <tableColumn id="3" xr3:uid="{4E894B35-39BA-49F0-805E-347E795EC41F}" name="Status" dataDxfId="1043">
      <calculatedColumnFormula>VLOOKUP(TBL_Ü_S_System[[#This Row],[Schwerpunkt Systemtechnik]],TBL_S_System[#All],4,FALSE)</calculatedColumnFormula>
    </tableColumn>
    <tableColumn id="4" xr3:uid="{396CA090-33E0-4CBB-81B8-0E3377E5E53C}" name="LLP max" dataDxfId="1042">
      <calculatedColumnFormula>VLOOKUP(TBL_Ü_S_System[[#This Row],[Schwerpunkt Systemtechnik]],TBL_S_System[#All],5,FALSE)</calculatedColumnFormula>
    </tableColumn>
    <tableColumn id="5" xr3:uid="{68612C4F-2E99-4528-9518-9A0EDE000817}" name="LLP total" dataDxfId="1041">
      <calculatedColumnFormula>VLOOKUP(TBL_Ü_S_System[[#This Row],[Schwerpunkt Systemtechnik]],TBL_S_System[#All],8,FALSE)</calculatedColumnFormula>
    </tableColumn>
    <tableColumn id="6" xr3:uid="{154CFDF9-9917-4931-9F0A-2642F8D22408}" name="Note" dataDxfId="1040">
      <calculatedColumnFormula>VLOOKUP(TBL_Ü_S_System[[#This Row],[Schwerpunkt Systemtechnik]],TBL_S_System[#All],7,FALSE)</calculatedColumnFormula>
    </tableColumn>
    <tableColumn id="13" xr3:uid="{17673505-318D-48C2-92CB-EDE0B0D46CDF}" name="%-Erreicht" dataDxfId="1039" dataCellStyle="Prozent">
      <calculatedColumnFormula>100/TBL_Ü_S_System[[#This Row],[LLP max]]*TBL_Ü_S_System[[#This Row],[LLP total]]/100</calculatedColumnFormula>
    </tableColumn>
    <tableColumn id="7" xr3:uid="{18E47653-0877-4787-942A-BE81AFF21473}" name="LLP Mastery" dataDxfId="1038">
      <calculatedColumnFormula>VLOOKUP(TBL_Ü_S_System[[#This Row],[Schwerpunkt Systemtechnik]],TBL_S_System[#All],10,FALSE)</calculatedColumnFormula>
    </tableColumn>
    <tableColumn id="8" xr3:uid="{B96A6531-5374-433A-AC34-99F203766C55}" name="LLP ATL" dataDxfId="1037">
      <calculatedColumnFormula>VLOOKUP(TBL_Ü_S_System[[#This Row],[Schwerpunkt Systemtechnik]],TBL_S_System[#All],12,FALSE)</calculatedColumnFormula>
    </tableColumn>
    <tableColumn id="9" xr3:uid="{4B86659A-908E-45A9-AC67-126769A6E016}" name="LLP Präsenz" dataDxfId="1036">
      <calculatedColumnFormula>VLOOKUP(TBL_Ü_S_System[[#This Row],[Schwerpunkt Systemtechnik]],TBL_S_System[#All],14,FALSE)</calculatedColumnFormula>
    </tableColumn>
    <tableColumn id="11" xr3:uid="{B5235A85-38F6-4B99-97D7-538E292ACF20}" name="Status Zeus" dataDxfId="1035"/>
    <tableColumn id="10" xr3:uid="{16E0E4D8-DE22-4977-9A1A-FFA9612625C3}" name="Bemerkungen" dataDxfId="103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8:M57" totalsRowShown="0">
  <autoFilter ref="A48:M57" xr:uid="{BCA71B5E-3BA0-4876-B291-AE6C2E86443A}"/>
  <tableColumns count="13">
    <tableColumn id="1" xr3:uid="{4E4BB891-86F6-49D2-A36F-C376C52EBB9B}" name="Schwerpunkt Softwareentwicklung"/>
    <tableColumn id="2" xr3:uid="{A89AD6FC-4B06-4FC1-98A2-F21500548AA0}" name="Fach"/>
    <tableColumn id="12" xr3:uid="{585749C6-7A38-4E04-8D33-2FDBA598B3E9}" name="Studium" dataDxfId="1033">
      <calculatedColumnFormula>VLOOKUP(TBL_Ü_S_Software[[#This Row],[Schwerpunkt Softwareentwicklung]],TBL_S_Software[#All],3,FALSE)</calculatedColumnFormula>
    </tableColumn>
    <tableColumn id="3" xr3:uid="{215A847C-564D-4AAA-BB68-15928A3F5469}" name="Status" dataDxfId="1032">
      <calculatedColumnFormula>VLOOKUP(TBL_Ü_S_Software[[#This Row],[Schwerpunkt Softwareentwicklung]],TBL_S_Software[#All],4,FALSE)</calculatedColumnFormula>
    </tableColumn>
    <tableColumn id="4" xr3:uid="{D02C4216-4BF2-4CD7-BAE5-82E750AD47D9}" name="LLP max" dataDxfId="1031">
      <calculatedColumnFormula>VLOOKUP(TBL_Ü_S_Software[[#This Row],[Schwerpunkt Softwareentwicklung]],TBL_S_Software[#All],5,FALSE)</calculatedColumnFormula>
    </tableColumn>
    <tableColumn id="5" xr3:uid="{C82C9D64-86F2-4004-8E0F-A4518D2D84AD}" name="LLP total" dataDxfId="1030">
      <calculatedColumnFormula>VLOOKUP(TBL_Ü_S_Software[[#This Row],[Schwerpunkt Softwareentwicklung]],TBL_S_Software[#All],8,FALSE)</calculatedColumnFormula>
    </tableColumn>
    <tableColumn id="6" xr3:uid="{E44B2C1C-0AD3-48CF-855F-9FEDA2F56AB6}" name="Note" dataDxfId="1029">
      <calculatedColumnFormula>VLOOKUP(TBL_Ü_S_Software[[#This Row],[Schwerpunkt Softwareentwicklung]],TBL_S_Software[#All],7,FALSE)</calculatedColumnFormula>
    </tableColumn>
    <tableColumn id="13" xr3:uid="{47709B5B-5733-4BD1-88F3-A24E27FBE683}" name="%-Erreicht" dataDxfId="1028" dataCellStyle="Prozent">
      <calculatedColumnFormula>100/TBL_Ü_S_Software[[#This Row],[LLP max]]*TBL_Ü_S_Software[[#This Row],[LLP total]]/100</calculatedColumnFormula>
    </tableColumn>
    <tableColumn id="7" xr3:uid="{1BD5F08A-7673-4FD2-B255-C1629F2FABFD}" name="LLP Mastery" dataDxfId="1027">
      <calculatedColumnFormula>VLOOKUP(TBL_Ü_S_Software[[#This Row],[Schwerpunkt Softwareentwicklung]],TBL_S_Software[#All],10,FALSE)</calculatedColumnFormula>
    </tableColumn>
    <tableColumn id="8" xr3:uid="{DB9A46FD-EADC-4F80-82C1-7D70F906A873}" name="LLP ATL" dataDxfId="1026">
      <calculatedColumnFormula>VLOOKUP(TBL_Ü_S_Software[[#This Row],[Schwerpunkt Softwareentwicklung]],TBL_S_Software[#All],12,FALSE)</calculatedColumnFormula>
    </tableColumn>
    <tableColumn id="9" xr3:uid="{9D6DF4F8-95E6-471D-BF84-4820966B5553}" name="LLP Präsenz" dataDxfId="1025">
      <calculatedColumnFormula>VLOOKUP(TBL_Ü_S_Software[[#This Row],[Schwerpunkt Softwareentwicklung]],TBL_S_Software[#All],14,FALSE)</calculatedColumnFormula>
    </tableColumn>
    <tableColumn id="11" xr3:uid="{82769502-A27B-48AB-BBF6-B31E19983A22}" name="Status Zeus" dataDxfId="1024"/>
    <tableColumn id="10" xr3:uid="{785CE0C8-3E56-4570-B084-15F467DD456C}" name="Bemerkungen" dataDxfId="102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9:H63" totalsRowShown="0">
  <autoFilter ref="A59:H63" xr:uid="{6AA08D9A-592A-435C-80AB-3E4853680770}"/>
  <tableColumns count="8">
    <tableColumn id="1" xr3:uid="{7691A7A0-36A6-48D1-B0FA-7F1F8ED6530C}" name="Allgemeines"/>
    <tableColumn id="2" xr3:uid="{84D6401A-647B-4F8B-BE9A-0A576D6132E8}" name="Fach"/>
    <tableColumn id="8" xr3:uid="{7FC69B66-D758-400F-9184-B04380ECF359}" name="Studium" dataDxfId="1022"/>
    <tableColumn id="3" xr3:uid="{4833841C-FDB1-4CD5-B118-9D1685B99200}" name="Status" dataDxfId="1021">
      <calculatedColumnFormula>VLOOKUP(TBL_Ü_Allgemein[[#This Row],[Allgemeines]],TBL_Allgemeines[#All],3,FALSE)</calculatedColumnFormula>
    </tableColumn>
    <tableColumn id="4" xr3:uid="{FFB2DE87-34EA-4D08-B474-2BE25641A5BB}" name="LLP max" dataDxfId="1020">
      <calculatedColumnFormula>VLOOKUP(TBL_Ü_Allgemein[[#This Row],[Allgemeines]],TBL_Allgemeines[#All],4,FALSE)</calculatedColumnFormula>
    </tableColumn>
    <tableColumn id="5" xr3:uid="{A0E0D599-0114-4626-B206-45C4F488222F}" name="LLP total" dataDxfId="1019">
      <calculatedColumnFormula>VLOOKUP(TBL_Ü_Allgemein[[#This Row],[Allgemeines]],TBL_Allgemeines[#All],6,FALSE)</calculatedColumnFormula>
    </tableColumn>
    <tableColumn id="6" xr3:uid="{31484E5F-27B2-42DE-B942-314B0FB1E475}" name="Note" dataDxfId="1018">
      <calculatedColumnFormula>VLOOKUP(TBL_Ü_Allgemein[[#This Row],[Allgemeines]],TBL_Allgemeines[#All],5,FALSE)</calculatedColumnFormula>
    </tableColumn>
    <tableColumn id="7" xr3:uid="{96939D6B-862E-4AA1-B00B-A41CCA0307EC}" name="%-Erreicht" dataDxfId="1017" dataCellStyle="Prozent">
      <calculatedColumnFormula>100/TBL_Ü_Allgemein[[#This Row],[LLP max]]*TBL_Ü_Allgemein[[#This Row],[LLP total]]/100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6:H13" totalsRowShown="0">
  <autoFilter ref="A6:H13" xr:uid="{B29D0323-0041-411D-9E83-4A0E6FEC2E2F}"/>
  <tableColumns count="8">
    <tableColumn id="1" xr3:uid="{450056E9-5A5E-48C8-8CB1-839B96B77192}" name="Gesamtübersicht"/>
    <tableColumn id="2" xr3:uid="{097DABEA-9916-44B4-93DD-0C50EAFF09B2}" name="Fach"/>
    <tableColumn id="8" xr3:uid="{CA1B97E6-C0DE-47C9-8ABF-7DFF9C75CBF0}" name="Studium" dataDxfId="1016"/>
    <tableColumn id="3" xr3:uid="{15919E06-C38E-43C7-B605-342B6658351B}" name="Status" dataDxfId="1015"/>
    <tableColumn id="4" xr3:uid="{97F95347-964B-45B3-93C2-2BFBF7D4BAFB}" name="LLP max" dataDxfId="1014">
      <calculatedColumnFormula>SUM(TBL_Ü_Grund[LLP max])</calculatedColumnFormula>
    </tableColumn>
    <tableColumn id="6" xr3:uid="{8C9F5DD5-684E-473A-BBB5-8A8DA5844AC9}" name="LLP total" dataDxfId="1013">
      <calculatedColumnFormula>SUM(TBL_Ü_Grund[Note])</calculatedColumnFormula>
    </tableColumn>
    <tableColumn id="5" xr3:uid="{F3BEA884-EDB2-45CB-9305-51048D9F8497}" name="Note" dataDxfId="1012">
      <calculatedColumnFormula>IFERROR(IF(((SUM(TBL_Ü_Grund[Note],TBL_Ü_Kommunikation[Note],TBL_Ü_S_System[Note],TBL_Ü_S_Software[Note],TBL_Ü_Allgemein[Note])/(TBL_Gesamt[[#This Row],[LLP max]]*0.9)*5)+1)&gt;=6,6,(SUM(TBL_Ü_Grund[Note],TBL_Ü_Kommunikation[Note],TBL_Ü_S_System[Note],TBL_Ü_S_Software[Note],TBL_Ü_Allgemein[Note])/(TBL_Gesamt[[#This Row],[LLP max]]*0.9)*5)),"")</calculatedColumnFormula>
    </tableColumn>
    <tableColumn id="7" xr3:uid="{D22D2B6E-8893-4BFA-94B9-72AE6F91B750}" name="%-Erreicht" dataDxfId="1011">
      <calculatedColumnFormula>100/TBL_Gesamt[[#This Row],[LLP max]]*TBL_Gesamt[[#This Row],[LLP total]]/100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E9F24-94E5-4FBA-A58B-0E40285E8BA5}" name="TBL_InduNote" displayName="TBL_InduNote" ref="A65:B69" totalsRowShown="0">
  <autoFilter ref="A65:B69" xr:uid="{644E9F24-94E5-4FBA-A58B-0E40285E8BA5}"/>
  <tableColumns count="2">
    <tableColumn id="1" xr3:uid="{04FB5963-377D-409F-9D43-2534598E73CE}" name="Individuelle Notenberechnung"/>
    <tableColumn id="2" xr3:uid="{3B946046-E9E6-4B2A-A316-B7CDB0618EEF}" name="Punkte / 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T17" totalsRowShown="0">
  <tableColumns count="254">
    <tableColumn id="1" xr3:uid="{7210750C-766C-4587-AFBE-7E71C25318BE}" name="Grundfächer"/>
    <tableColumn id="2" xr3:uid="{FDEF4199-A280-48AF-A636-89AC95D6E49F}" name="Fach"/>
    <tableColumn id="116" xr3:uid="{4901349B-74E8-43FF-9B93-7A852FE6A3FA}" name="Studium" dataDxfId="1010"/>
    <tableColumn id="67" xr3:uid="{8C7DD919-8337-4DC3-8B2F-D7CB1BC8DECB}" name="Status" dataDxfId="1009"/>
    <tableColumn id="3" xr3:uid="{4F2745C2-7957-45F5-B71B-722CD5FE6EE5}" name="LLP max" dataDxfId="1008">
      <calculatedColumnFormula>VLOOKUP(TBL_Grundstudium[[#This Row],[Grundfächer]],Übersicht_Fächer!$A$2:$E$32,5,0)</calculatedColumnFormula>
    </tableColumn>
    <tableColumn id="47" xr3:uid="{391F1811-EE0F-884E-8712-9715A5EC4EAF}" name="Kontrolle LLP max" dataDxfId="1007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006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calculatedColumnFormula>
    </tableColumn>
    <tableColumn id="4" xr3:uid="{1C63CD85-FD5E-4C78-B083-4F597A63F5C9}" name="LLP Total" dataDxfId="1005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 dataDxfId="1004"/>
    <tableColumn id="22" xr3:uid="{115AED55-C979-4862-8806-EC840596709A}" name="Mastery" dataDxfId="1003"/>
    <tableColumn id="44" xr3:uid="{E1AD457F-4DB6-4A7D-BF52-4143585C8C21}" name="ATL Max" dataDxfId="1002"/>
    <tableColumn id="23" xr3:uid="{5FCB314C-8652-418C-9442-962EF8547F54}" name="ATL" dataDxfId="1001"/>
    <tableColumn id="43" xr3:uid="{57B56113-072D-4A9B-8B69-02DDC9BDE62C}" name="Präsenz Max" dataDxfId="1000">
      <calculatedColumnFormula>VLOOKUP(TBL_Grundstudium[[#This Row],[Grundfächer]],Übersicht_Fächer!$A$2:$D$32,4,0)</calculatedColumnFormula>
    </tableColumn>
    <tableColumn id="5" xr3:uid="{5DF7B20C-044D-46D5-9165-9BFD9A152792}" name="Präsenz" dataDxfId="999">
      <calculatedColumnFormula>SUM(TBL_Grundstudium[[#This Row],[01.02.2022]:[26.06.2025]])</calculatedColumnFormula>
    </tableColumn>
    <tableColumn id="6" xr3:uid="{118EA096-40EC-4749-A18D-DFD5F1604B81}" name="01.02.2022" dataDxfId="998"/>
    <tableColumn id="7" xr3:uid="{9DB8F85E-3CA4-4D30-BAEA-0095359D48FF}" name="03.02.2022" dataDxfId="997"/>
    <tableColumn id="8" xr3:uid="{4BD112C1-B8AE-4DF8-BA50-37AB82E46667}" name="08.02.2022" dataDxfId="996"/>
    <tableColumn id="9" xr3:uid="{DB1CB921-2663-42B1-843B-F6517F1D8AC1}" name="10.02.2022" dataDxfId="995"/>
    <tableColumn id="10" xr3:uid="{CBDF4C8B-3E06-4697-84B4-FF34DFB55CD5}" name="15.02.2022" dataDxfId="994"/>
    <tableColumn id="11" xr3:uid="{B8033E1D-C14D-4C0D-909D-D77C02570E8F}" name="17.02.2022" dataDxfId="993"/>
    <tableColumn id="12" xr3:uid="{CA1A81FC-9B8F-4B81-83CB-4251AC077B84}" name="22.02.2022" dataDxfId="992"/>
    <tableColumn id="13" xr3:uid="{A84976CE-344E-42AA-A367-4CFD1E1A73BC}" name="24.02.2022" dataDxfId="991"/>
    <tableColumn id="14" xr3:uid="{1610981D-76C2-4B98-9FF2-802E3860C79A}" name="15.03.2022" dataDxfId="990"/>
    <tableColumn id="15" xr3:uid="{8597B6DA-6114-4838-9162-25943786F1EE}" name="17.03.2022" dataDxfId="989"/>
    <tableColumn id="16" xr3:uid="{C1E70D90-09D1-4477-A1D3-4A2AC3AB91E0}" name="22.03.2022" dataDxfId="988"/>
    <tableColumn id="17" xr3:uid="{307A4256-1BB1-443F-A7DA-E46C4B4D4415}" name="24.03.2022" dataDxfId="987"/>
    <tableColumn id="18" xr3:uid="{5AA63F78-6245-41E1-B40D-FBDFE2029C06}" name="29.03.2022" dataDxfId="986"/>
    <tableColumn id="19" xr3:uid="{E579F4BB-9DF6-472E-BE3F-0214ED8BC5B4}" name="31.03.2022" dataDxfId="985"/>
    <tableColumn id="20" xr3:uid="{4B880E57-9A37-447E-AFCF-82A6BF9E6802}" name="05.04.2022" dataDxfId="984"/>
    <tableColumn id="21" xr3:uid="{B226C903-F180-4E77-8AF7-A31025AA12BE}" name="07.04.2022" dataDxfId="983"/>
    <tableColumn id="25" xr3:uid="{DF898180-E858-458E-8C90-1A21C36D86FA}" name="26.04.2022" dataDxfId="982"/>
    <tableColumn id="26" xr3:uid="{021E6FF2-DF66-4425-96F3-887B68683066}" name="28.04.2022" dataDxfId="981"/>
    <tableColumn id="27" xr3:uid="{2121E7B0-76CF-45E3-8F56-E647622D3A9B}" name="03.05.2022" dataDxfId="980"/>
    <tableColumn id="28" xr3:uid="{B434E969-FB03-49B0-B3ED-AA5C51040D18}" name="05.05.2022" dataDxfId="979"/>
    <tableColumn id="29" xr3:uid="{85711966-F3AB-43EE-9744-56E09C6C67BA}" name="10.05.2022" dataDxfId="978"/>
    <tableColumn id="30" xr3:uid="{1184B567-7844-4C2A-AE83-A75489EEE85C}" name="12.05.2022" dataDxfId="977"/>
    <tableColumn id="31" xr3:uid="{B1CA2545-23BB-40EC-97ED-B9DF80630A5A}" name="17.05.2022" dataDxfId="976"/>
    <tableColumn id="32" xr3:uid="{C3E296E7-3B77-41A0-9E6E-EBD4325B4364}" name="19.05.2022" dataDxfId="975"/>
    <tableColumn id="33" xr3:uid="{E81A2DD7-4F44-479D-9F6E-BB8741D81383}" name="24.05.2022" dataDxfId="974"/>
    <tableColumn id="34" xr3:uid="{064B7898-7D90-46B0-A6F3-DF0AFD39455A}" name="31.05.2022" dataDxfId="973"/>
    <tableColumn id="46" xr3:uid="{F071F54A-2511-474E-86B6-7B86D1AE2113}" name="02.06.2022" dataDxfId="972"/>
    <tableColumn id="35" xr3:uid="{AB7C18CD-D23F-420C-907D-2B7327116EA2}" name="07.06.2022" dataDxfId="971"/>
    <tableColumn id="36" xr3:uid="{70B902D8-70A9-4898-9DC7-6A6F82B4784E}" name="09.06.2022" dataDxfId="970"/>
    <tableColumn id="37" xr3:uid="{F5D20EFA-FD84-45B2-A3AD-8EC0408B6C99}" name="14.06.2022" dataDxfId="969"/>
    <tableColumn id="38" xr3:uid="{60830506-0AE5-4025-93D2-9DA588615E3C}" name="16.06.2022" dataDxfId="968"/>
    <tableColumn id="39" xr3:uid="{F4C7F100-EC98-473B-87FC-6EBA68911268}" name="21.06.2022" dataDxfId="967"/>
    <tableColumn id="40" xr3:uid="{2829DEBA-BBF1-4406-A535-105C71A56369}" name="23.06.2022" dataDxfId="966"/>
    <tableColumn id="41" xr3:uid="{10F4FA5E-AC31-4441-9E85-B1C28E8F1971}" name="28.06.2022" dataDxfId="965"/>
    <tableColumn id="42" xr3:uid="{1CB199F4-0C5F-4AB1-B8AF-DB037C61B6E2}" name="30.06.2022" dataDxfId="964"/>
    <tableColumn id="48" xr3:uid="{492B54F3-E28C-42B0-963A-5AE94B56F6EA}" name="24.11.2022" dataDxfId="963"/>
    <tableColumn id="49" xr3:uid="{1157EB07-C326-4901-803F-9D0B6D6EB783}" name="29.11.2022" dataDxfId="962"/>
    <tableColumn id="50" xr3:uid="{F00160C4-51A2-4EBE-B894-5C929A605F48}" name="01.12.2022" dataDxfId="961"/>
    <tableColumn id="51" xr3:uid="{5E2B07C2-5A40-4D0D-AF58-ECADA6DA7BDA}" name="06.12.2022" dataDxfId="960"/>
    <tableColumn id="52" xr3:uid="{7D5D6C9D-C40B-4CA2-86BF-D5FDF4956AF6}" name="08.12.2022" dataDxfId="959"/>
    <tableColumn id="53" xr3:uid="{DC819889-FED9-49A6-BB33-66B09465D361}" name="13.12.2022" dataDxfId="958"/>
    <tableColumn id="54" xr3:uid="{FFFD7ADB-FAA7-4892-879E-ED5C3DAE1850}" name="15.12.2022" dataDxfId="957"/>
    <tableColumn id="55" xr3:uid="{6CB9FC28-CB86-44B1-A373-9211B81C7EE2}" name="20.12.2022" dataDxfId="956"/>
    <tableColumn id="56" xr3:uid="{73AD442E-C5BB-4C93-A606-E220958C18D6}" name="22.12.2022" dataDxfId="955"/>
    <tableColumn id="57" xr3:uid="{425064F7-F414-4292-BB10-3342785BF8F0}" name="10.01.2023" dataDxfId="954"/>
    <tableColumn id="58" xr3:uid="{319DFFB5-34BA-4DA0-A838-08A359AF41B9}" name="12.01.2023" dataDxfId="953"/>
    <tableColumn id="59" xr3:uid="{FABE7E42-4B20-459C-B1DD-806F1DAB30FD}" name="17.01.2023" dataDxfId="952"/>
    <tableColumn id="60" xr3:uid="{0F676B84-5E8F-48B8-BCF1-5CD73C006767}" name="19.01.2023" dataDxfId="951"/>
    <tableColumn id="61" xr3:uid="{A984A99D-0DFC-4300-BBCE-24A4B5300FA5}" name="24.01.2023" dataDxfId="950"/>
    <tableColumn id="62" xr3:uid="{5FB476DA-06AE-4310-9607-88928AA6AD38}" name="26.01.2023" dataDxfId="949"/>
    <tableColumn id="63" xr3:uid="{012BDC2F-17C8-48A7-AE3E-F9A10B37D486}" name="31.01.2023" dataDxfId="948"/>
    <tableColumn id="64" xr3:uid="{97431CD7-F8ED-4184-9A77-A3BE860EFD58}" name="02.02.2023" dataDxfId="947"/>
    <tableColumn id="65" xr3:uid="{00849FDA-B41D-40E0-A710-FD299C60C336}" name="07.02.2023" dataDxfId="946"/>
    <tableColumn id="66" xr3:uid="{635BA456-84CB-4360-9C60-C727B9BFB8DF}" name="09.02.2023" dataDxfId="945"/>
    <tableColumn id="68" xr3:uid="{3366AC27-C24D-498D-AB3B-D4FF5E57407B}" name="14.02.2023" dataDxfId="944"/>
    <tableColumn id="69" xr3:uid="{0750B285-5AE0-4CEE-9568-CBCE1488A2DC}" name="16.02.2023" dataDxfId="943"/>
    <tableColumn id="72" xr3:uid="{46F3A093-04F4-480F-86AB-3AB4A52EC5A3}" name="07.03.2023" dataDxfId="942"/>
    <tableColumn id="73" xr3:uid="{7F5D9381-CD3A-4BC2-B6CD-4A66D5B5A180}" name="09.03.2023" dataDxfId="941"/>
    <tableColumn id="74" xr3:uid="{19BC96B3-DA2E-4E8D-A5B9-45A23A45D632}" name="14.03.2023" dataDxfId="940"/>
    <tableColumn id="75" xr3:uid="{294EB5A3-7541-492B-A0D5-7F6E10B69160}" name="16.03.2023" dataDxfId="939"/>
    <tableColumn id="76" xr3:uid="{21C83945-B20C-4C8F-A39E-50815443A268}" name="21.03.2023" dataDxfId="938"/>
    <tableColumn id="77" xr3:uid="{A03634DA-0A10-4792-B9E7-9EC38438C8C4}" name="23.03.2023" dataDxfId="937"/>
    <tableColumn id="78" xr3:uid="{2D97CB77-B4F4-45E0-9ADE-68E7D73C40AE}" name="28.03.2023" dataDxfId="936"/>
    <tableColumn id="79" xr3:uid="{FCE9864C-2E44-4D41-A69F-1366C803BF5C}" name="30.03.2023" dataDxfId="935"/>
    <tableColumn id="80" xr3:uid="{25A078AC-8A57-4450-9492-2D70521B72FA}" name="18.04.2023" dataDxfId="934"/>
    <tableColumn id="81" xr3:uid="{637B2746-DF3C-4F66-87D6-CEC67D0B59BC}" name="20.04.2023" dataDxfId="933"/>
    <tableColumn id="82" xr3:uid="{111CE8B4-E52F-4FEF-8777-9EA092C8AF1B}" name="25.04.2023" dataDxfId="932"/>
    <tableColumn id="83" xr3:uid="{6496F362-72F2-4CE7-A97E-5EDE41C4B722}" name="27.04.2023" dataDxfId="931"/>
    <tableColumn id="84" xr3:uid="{94E22C37-F113-4C76-B61A-E6B7DE232574}" name="02.05.2023" dataDxfId="930"/>
    <tableColumn id="85" xr3:uid="{F583C779-0939-430D-B2C9-FF850CAF9678}" name="04.05.2023" dataDxfId="929"/>
    <tableColumn id="114" xr3:uid="{B2D974B7-EED4-444B-B047-DE5EB360CDA4}" name="08.05.2023" dataDxfId="928"/>
    <tableColumn id="86" xr3:uid="{4ECC2D2B-4C0C-45F7-B2C9-07836E3FB3D6}" name="09.05.2023" dataDxfId="927"/>
    <tableColumn id="87" xr3:uid="{63FEF9E2-B1A6-4C0E-97F4-D386E6FF1716}" name="11.05.2023" dataDxfId="926"/>
    <tableColumn id="115" xr3:uid="{19491B6E-F3A3-4D03-B178-8E4CEA6B9BA5}" name="15.05.2023" dataDxfId="925"/>
    <tableColumn id="88" xr3:uid="{2F2D7802-495E-44E5-94E5-CB5BDC750C1B}" name="16.05.2023" dataDxfId="924"/>
    <tableColumn id="89" xr3:uid="{F112755C-5335-4FEE-A613-57BAA5AE6E40}" name="18.05.2023" dataDxfId="923"/>
    <tableColumn id="90" xr3:uid="{E6455B24-3C98-4F94-A8E0-80CDA0CCBB55}" name="23.05.2023" dataDxfId="922"/>
    <tableColumn id="91" xr3:uid="{1DC633C2-2A83-4F91-84BC-EF5F243D3D4E}" name="25.05.2023" dataDxfId="921"/>
    <tableColumn id="92" xr3:uid="{F31AC816-8848-4018-B8D0-AD67C6D9CCFE}" name="30.05.2023" dataDxfId="920"/>
    <tableColumn id="93" xr3:uid="{583140B4-3A4E-4028-9BE6-D67FAC9E8FE6}" name="01.06.2023" dataDxfId="919"/>
    <tableColumn id="94" xr3:uid="{A18143CC-E2DB-46D3-9609-99136AD33404}" name="06.06.2023" dataDxfId="918"/>
    <tableColumn id="95" xr3:uid="{1836AB78-5490-4A1F-BCB3-D6093FFFD705}" name="08.06.2023" dataDxfId="917"/>
    <tableColumn id="96" xr3:uid="{74EA4379-CD2A-495A-A32F-7E81BE4C10B3}" name="13.06.2023" dataDxfId="916"/>
    <tableColumn id="97" xr3:uid="{45A06D09-7EC9-404F-ACEA-D3EA931E2972}" name="15.06.2023" dataDxfId="915"/>
    <tableColumn id="98" xr3:uid="{CF203E54-AB2B-4AAA-9082-7D6CC6C632EC}" name="20.06.2023" dataDxfId="914"/>
    <tableColumn id="99" xr3:uid="{13ECD6DE-597A-4AAC-9CCA-E9655CC74609}" name="22.06.2023" dataDxfId="913"/>
    <tableColumn id="100" xr3:uid="{BB8DF66E-85C5-4C61-A9A3-826AF05F0AE6}" name="27.06.2023" dataDxfId="912"/>
    <tableColumn id="101" xr3:uid="{56F85DA1-A04A-45A9-9254-00CE808F05ED}" name="29.06.2023" dataDxfId="911"/>
    <tableColumn id="102" xr3:uid="{B3DE2973-2568-453B-A317-09AA67C7C1DC}" name="15.08.2023" dataDxfId="910"/>
    <tableColumn id="70" xr3:uid="{7B2D4A7D-5050-424C-ACD9-8F16C7147AE4}" name="17.08.2023" dataDxfId="909"/>
    <tableColumn id="71" xr3:uid="{D8361B91-E66E-4F2C-8A3E-C6D3E1B7D6F7}" name="22.08.2023" dataDxfId="908"/>
    <tableColumn id="103" xr3:uid="{7480E393-10EC-4A7E-B4D4-B821D78BD5EC}" name="24.08.2023" dataDxfId="907"/>
    <tableColumn id="104" xr3:uid="{317BDE2A-F7C9-4E63-B569-E80A838D32BB}" name="29.08.2023" dataDxfId="906"/>
    <tableColumn id="105" xr3:uid="{B7051328-BE73-4899-A016-4701C3AF12B4}" name="31.08.2023" dataDxfId="905"/>
    <tableColumn id="106" xr3:uid="{88D257A5-0009-4920-9492-E651D21B7ED2}" name="05.09.2023" dataDxfId="904"/>
    <tableColumn id="107" xr3:uid="{F10D3157-1933-412C-8D05-096437AE4151}" name="07.09.2023" dataDxfId="903"/>
    <tableColumn id="108" xr3:uid="{35F18E43-419C-4E6A-A4B4-16F856D7746E}" name="12.09.2023" dataDxfId="902"/>
    <tableColumn id="109" xr3:uid="{9914DC76-5CE4-4AD8-B421-5A6AD71B837C}" name="14.09.2023" dataDxfId="901"/>
    <tableColumn id="110" xr3:uid="{4605AD6E-79C6-451D-9E62-03E38FA2D477}" name="19.09.2023" dataDxfId="900"/>
    <tableColumn id="111" xr3:uid="{749B712E-67A9-495B-A86E-053E35E41572}" name="21.09.2023" dataDxfId="899"/>
    <tableColumn id="112" xr3:uid="{A913EE8C-7D54-4D03-BFB3-6D40E0F49C2F}" name="26.09.2029" dataDxfId="898"/>
    <tableColumn id="113" xr3:uid="{AE001E63-C191-4696-923C-161CAB7FC4E9}" name="28.09.2023" dataDxfId="897"/>
    <tableColumn id="118" xr3:uid="{E6BA90D2-6DA6-47E1-8992-BC7078CF45A8}" name="17.10.2023" dataDxfId="896"/>
    <tableColumn id="119" xr3:uid="{EC74B4F5-9260-41DB-81D5-F0CACCF9BA38}" name="19.10.2023" dataDxfId="895"/>
    <tableColumn id="120" xr3:uid="{FA2DFEB4-9F52-4DA3-9CF4-1F64A5A8DC6F}" name="24.10.2023" dataDxfId="894"/>
    <tableColumn id="121" xr3:uid="{C00D24F9-45A0-4476-9DA2-1F5EBBA888C3}" name="26.10.2023" dataDxfId="893"/>
    <tableColumn id="122" xr3:uid="{7E002D43-1ECE-4836-AA7E-9E8238AF358D}" name="31.10.2023" dataDxfId="892"/>
    <tableColumn id="123" xr3:uid="{6FD23CA8-165A-4935-8C76-0E9C2FC62CA5}" name="02.11.2023" dataDxfId="891"/>
    <tableColumn id="124" xr3:uid="{8F1F705C-3066-4202-90BB-4448DCAD62A5}" name="07.11.2023" dataDxfId="890"/>
    <tableColumn id="125" xr3:uid="{640025BB-1513-464E-83A1-658478B418E1}" name="09.11.2023" dataDxfId="889"/>
    <tableColumn id="126" xr3:uid="{7954619F-E981-4AC5-A450-E22FBED8A617}" name="14.11.2023" dataDxfId="888"/>
    <tableColumn id="127" xr3:uid="{D59E1453-5680-48C3-ADBF-D1E6EDE1CFCB}" name="16.11.2023" dataDxfId="887"/>
    <tableColumn id="128" xr3:uid="{3EA513EA-1184-4679-97FE-F449A67DD323}" name="21.11.2023" dataDxfId="886"/>
    <tableColumn id="129" xr3:uid="{D42209EB-D35A-4E94-BAFE-AB79A6425F97}" name="23.11.2023" dataDxfId="885"/>
    <tableColumn id="130" xr3:uid="{E6B6EF45-1175-40FC-A235-44A201CF1F24}" name="28.11.2023" dataDxfId="884"/>
    <tableColumn id="131" xr3:uid="{46B3840C-33E2-43C5-829E-640622EED9E8}" name="30.11.2023" dataDxfId="883"/>
    <tableColumn id="132" xr3:uid="{AA24834D-53A5-41EB-9EE1-1F2C020E987C}" name="05.12.2023" dataDxfId="882"/>
    <tableColumn id="133" xr3:uid="{325E8A23-ED6C-4C3E-A9E6-568B93320745}" name="07.12.2023" dataDxfId="881"/>
    <tableColumn id="134" xr3:uid="{A77F9C21-FC87-4CF0-A241-A7C556AA15C1}" name="12.12.2023" dataDxfId="880"/>
    <tableColumn id="135" xr3:uid="{59618638-64E8-42DF-981F-3050A13AACA9}" name="14.12.2023" dataDxfId="879"/>
    <tableColumn id="136" xr3:uid="{63DB9198-362E-4B07-99DF-8FDEB09BEAEB}" name="19.12.2023" dataDxfId="878"/>
    <tableColumn id="137" xr3:uid="{8836E8FF-4631-4293-99B3-99B1AC9F28E6}" name="21.12.2023" dataDxfId="877"/>
    <tableColumn id="140" xr3:uid="{F98AD6DA-4509-4F50-A830-AB384D73BCEC}" name="09.01.2024" dataDxfId="876"/>
    <tableColumn id="141" xr3:uid="{DFFCEF90-7383-401D-939C-60005D5AF91B}" name="11.01.2024" dataDxfId="875"/>
    <tableColumn id="142" xr3:uid="{E3219E17-B345-4953-AB2C-96DA7B5DF9E6}" name="16.01.2024" dataDxfId="874"/>
    <tableColumn id="143" xr3:uid="{A1ECB504-CA15-4F23-B632-1BECEB1A9058}" name="18.01.2024" dataDxfId="873"/>
    <tableColumn id="144" xr3:uid="{9CCFD461-046B-4BA1-B464-13B6BE785411}" name="23.01.2024" dataDxfId="872"/>
    <tableColumn id="145" xr3:uid="{8DA839A1-1BB6-4D84-808A-3840F401517B}" name="25.01.2024" dataDxfId="871"/>
    <tableColumn id="146" xr3:uid="{7F1E8A39-DA0B-439B-BF94-63EFF06F10E4}" name="30.01.2024" dataDxfId="870"/>
    <tableColumn id="147" xr3:uid="{7A18BF0E-0B83-44BB-B3E8-385C1D159E86}" name="01.02.2024" dataDxfId="869"/>
    <tableColumn id="148" xr3:uid="{706489DC-832D-4E18-BAC4-14801E392D4A}" name="06.02.2024" dataDxfId="868"/>
    <tableColumn id="149" xr3:uid="{B37A72DD-92FF-4172-BD6F-73CFAB4AED94}" name="08.02.2024" dataDxfId="867"/>
    <tableColumn id="154" xr3:uid="{987657DB-F048-474D-AC39-19400C697CC6}" name="27.02.2024" dataDxfId="866"/>
    <tableColumn id="155" xr3:uid="{A76430AA-DBE5-4525-9894-93646F77E70F}" name="29.02.2024" dataDxfId="865"/>
    <tableColumn id="156" xr3:uid="{B97C6FF8-3782-43DB-AC74-7F03A2FD173C}" name="05.03.2024" dataDxfId="864"/>
    <tableColumn id="157" xr3:uid="{3CD3429D-2F9C-4D90-B2D9-67210A30E89A}" name="07.03.2024" dataDxfId="863"/>
    <tableColumn id="158" xr3:uid="{BE05C85E-8BCE-4A97-B55C-BF419CB81864}" name="12.03.2024" dataDxfId="862"/>
    <tableColumn id="159" xr3:uid="{0AF280C9-430C-4789-81D6-3465EC61924B}" name="14.03.2024" dataDxfId="861"/>
    <tableColumn id="160" xr3:uid="{47787A7A-8BBE-41DA-BCD8-9ED9B97D38A2}" name="19.03.2024" dataDxfId="860"/>
    <tableColumn id="161" xr3:uid="{90AD739F-A559-4BC8-B450-F60FEE5AC57E}" name="21.03.2024" dataDxfId="859"/>
    <tableColumn id="166" xr3:uid="{7BFAD256-EE0A-40E9-854C-8D626A24BDE6}" name="09.04.2024" dataDxfId="858"/>
    <tableColumn id="167" xr3:uid="{6CB9B6AA-1858-48C2-8F4E-FAF4BD1A8C87}" name="11.04.2024" dataDxfId="857"/>
    <tableColumn id="168" xr3:uid="{D9CB1CCE-F852-4977-8066-5B3996A95903}" name="16.04.2024" dataDxfId="856"/>
    <tableColumn id="169" xr3:uid="{BFAE1556-CDEF-4447-8C13-A9EAB88B4CE2}" name="18.04.2024" dataDxfId="855"/>
    <tableColumn id="170" xr3:uid="{CAAB945F-E0F6-4ADD-A172-DC6D2FAB6F62}" name="23.04.2024" dataDxfId="854"/>
    <tableColumn id="171" xr3:uid="{C55ADE35-A1C9-43C1-B24F-FA17E94BBDF5}" name="25.04.2024" dataDxfId="853"/>
    <tableColumn id="172" xr3:uid="{58DE2313-E48A-41A5-B799-022AC327FF72}" name="30.04.2024" dataDxfId="852"/>
    <tableColumn id="173" xr3:uid="{CAB3138D-4D57-4584-9A18-7F12C26BECBF}" name="02.05.2024" dataDxfId="851"/>
    <tableColumn id="174" xr3:uid="{3C9F55A2-B14F-4F49-9496-82CCA7845BD3}" name="07.05.2024" dataDxfId="850"/>
    <tableColumn id="175" xr3:uid="{512B394F-5B1D-4DC0-8965-D4552E90A7DB}" name="09.05.2024" dataDxfId="849"/>
    <tableColumn id="176" xr3:uid="{D2977456-391E-4F62-B8A3-E9B14CC93B9F}" name="14.05.2024" dataDxfId="848"/>
    <tableColumn id="177" xr3:uid="{1049E816-1FDF-4BD4-A1B8-7C303101CBBA}" name="16.05.2024" dataDxfId="847"/>
    <tableColumn id="178" xr3:uid="{54F28F1D-8D04-4EFD-9FEC-A449D4C2C5DE}" name="21.05.2024" dataDxfId="846"/>
    <tableColumn id="179" xr3:uid="{F3325A39-7C65-462C-8E1B-27CC2F5F1E9A}" name="24.05.2024" dataDxfId="845"/>
    <tableColumn id="180" xr3:uid="{83C166C1-082D-4689-97DF-FCD9D3A7F7CD}" name="28.05.2024" dataDxfId="844"/>
    <tableColumn id="181" xr3:uid="{9B80951C-12F3-4328-B6AF-CC380E6E3BB4}" name="30.05.2024" dataDxfId="843"/>
    <tableColumn id="182" xr3:uid="{D3E303C4-32F9-438E-B951-6993CA0D4A7B}" name="04.06.2024" dataDxfId="842"/>
    <tableColumn id="183" xr3:uid="{ABB10D18-C6E9-4122-9C44-71EBDC4112F1}" name="06.06.2024" dataDxfId="841"/>
    <tableColumn id="184" xr3:uid="{A5815286-E957-4AAA-8A58-89A98FC6CEFB}" name="11.06.2024" dataDxfId="840"/>
    <tableColumn id="185" xr3:uid="{BB5CAEAC-61E9-4E07-8FFB-55808D1A118D}" name="13.06.2024" dataDxfId="839"/>
    <tableColumn id="186" xr3:uid="{71093CD3-0EA3-4F2B-B8CB-DED9ED5CBC4E}" name="18.06.2024" dataDxfId="838"/>
    <tableColumn id="187" xr3:uid="{3F3E4810-1A7E-4A6D-A420-3E9BFA725315}" name="20.06.2024" dataDxfId="837"/>
    <tableColumn id="188" xr3:uid="{0B955507-944D-4623-AEDF-C4C2856AAC6B}" name="25.06.2024" dataDxfId="836"/>
    <tableColumn id="189" xr3:uid="{320CCC08-7243-4A1A-B27C-FFC9B20D443B}" name="27.06.2024" dataDxfId="835"/>
    <tableColumn id="202" xr3:uid="{8E2DB530-0601-4A0D-8A15-4D5F97ECF188}" name="13.08.2024" dataDxfId="834"/>
    <tableColumn id="203" xr3:uid="{B49B718F-ED27-4E1E-AC7B-7D64DF1730A4}" name="15.08.2024" dataDxfId="833"/>
    <tableColumn id="204" xr3:uid="{6B4DEB01-DE24-4BEA-8A8E-001A0C700787}" name="20.08.2024" dataDxfId="832"/>
    <tableColumn id="205" xr3:uid="{2FADE9C1-A280-4F4E-8CF2-A4C10E92A278}" name="22.08.2024" dataDxfId="831"/>
    <tableColumn id="206" xr3:uid="{E0955042-2386-4F29-9558-DE0F6B028602}" name="27.08.2024" dataDxfId="830"/>
    <tableColumn id="207" xr3:uid="{C71F9479-06AF-4398-81EA-3CD51CBD03C9}" name="29.08.2024" dataDxfId="829"/>
    <tableColumn id="208" xr3:uid="{1AA4E6E7-5843-4009-803E-BE54689C6227}" name="03.09.2024" dataDxfId="828"/>
    <tableColumn id="209" xr3:uid="{61286331-266B-421E-AF63-E30C342261E5}" name="05.09.2024" dataDxfId="827"/>
    <tableColumn id="210" xr3:uid="{A344E092-097C-43CD-AB22-6352335997C3}" name="10.09.2024" dataDxfId="826"/>
    <tableColumn id="211" xr3:uid="{FEDACF1A-038F-4A72-AB67-CE99E20D9E59}" name="12.09.2024" dataDxfId="825"/>
    <tableColumn id="212" xr3:uid="{7272C5DC-508B-4359-980F-9986534A2C7B}" name="17.09.2024" dataDxfId="824"/>
    <tableColumn id="213" xr3:uid="{AB4A4777-8B1B-4B66-A515-B3401F628457}" name="19.09.2024" dataDxfId="823"/>
    <tableColumn id="214" xr3:uid="{69B5CFC2-130D-41D2-B44B-B48C12437CC4}" name="24.09.2024" dataDxfId="822"/>
    <tableColumn id="215" xr3:uid="{1A2B02B8-1678-47DD-9401-710FC107CDF7}" name="26.09.2024" dataDxfId="821"/>
    <tableColumn id="220" xr3:uid="{36527EDD-3898-4A75-8616-DD5CDFEFAADA}" name="15.10.2024" dataDxfId="820"/>
    <tableColumn id="221" xr3:uid="{F2C1E1AD-5A8C-4204-A1D0-41C4ECA676F2}" name="17.10.2024" dataDxfId="819"/>
    <tableColumn id="222" xr3:uid="{BF37C82A-28BE-4937-AFF8-2B5B69878CA7}" name="22.10.2024" dataDxfId="818"/>
    <tableColumn id="223" xr3:uid="{C960297E-FE99-4BF1-85DF-A4F17C067445}" name="24.10.2024" dataDxfId="817"/>
    <tableColumn id="224" xr3:uid="{D8FCDE45-CCE0-4D21-B446-A6AA7526481D}" name="29.10.2024" dataDxfId="816"/>
    <tableColumn id="225" xr3:uid="{71F5107A-2498-4C9E-88C7-B9CB44619BE3}" name="31.10.2024" dataDxfId="815"/>
    <tableColumn id="226" xr3:uid="{B3FFD4A7-92D8-4995-B029-6F3832C20E12}" name="05.11.2024" dataDxfId="814"/>
    <tableColumn id="227" xr3:uid="{0B938C74-35AA-47E0-A93D-4ABAB28CFD50}" name="07.11.2024" dataDxfId="813"/>
    <tableColumn id="228" xr3:uid="{A1B225AD-5795-4770-BDBB-96053BC635A1}" name="12.11.2024" dataDxfId="812"/>
    <tableColumn id="229" xr3:uid="{593263B4-F906-4863-88AF-029262EB4C9D}" name="14.11.2024" dataDxfId="811"/>
    <tableColumn id="230" xr3:uid="{7D5D8171-6548-416B-9204-8DCC7E942FB5}" name="19.11.2024" dataDxfId="810"/>
    <tableColumn id="231" xr3:uid="{D3880A95-9967-49B5-A8B1-1DA983AB7F5A}" name="21.11.2024" dataDxfId="809"/>
    <tableColumn id="232" xr3:uid="{FBB7AB15-8A9C-43FA-9994-4D00EB95B140}" name="26.11.2024" dataDxfId="808"/>
    <tableColumn id="233" xr3:uid="{97CF355D-58C7-431B-969D-ED924C85252C}" name="28.11.2024" dataDxfId="807"/>
    <tableColumn id="234" xr3:uid="{4F8E390B-F2AA-4754-A1AD-62A2AA97D98F}" name="03.12.2024" dataDxfId="806"/>
    <tableColumn id="235" xr3:uid="{D6718852-B443-4B66-8A98-C7CE1847AC14}" name="05.12.2024" dataDxfId="805"/>
    <tableColumn id="236" xr3:uid="{B8D26F12-E0E6-492C-B0A7-710A6BBAF787}" name="10.12.2024" dataDxfId="804"/>
    <tableColumn id="237" xr3:uid="{E1EF5394-3D62-41A9-B5E9-CA60352940D0}" name="12.12.2024" dataDxfId="803"/>
    <tableColumn id="238" xr3:uid="{02BBD61D-8C1F-4D39-8B8F-84426BD91256}" name="17.12.2024" dataDxfId="802"/>
    <tableColumn id="239" xr3:uid="{13E03531-5F2D-481B-8C65-3853BA39785B}" name="19.12.2024" dataDxfId="801"/>
    <tableColumn id="244" xr3:uid="{9BE2483F-9D87-4F6F-9DA8-1E7DB7C23A59}" name="07.01.2025" dataDxfId="800"/>
    <tableColumn id="245" xr3:uid="{A0EBF7EF-5526-4B55-9700-8864F779240B}" name="09.01.2025" dataDxfId="799"/>
    <tableColumn id="246" xr3:uid="{E265CAB4-CB67-4B1A-9A75-11C8603FD36A}" name="14.01.2025" dataDxfId="798"/>
    <tableColumn id="247" xr3:uid="{737ADAE0-251D-4180-B6CD-3A06D9C54E43}" name="16.01.2025" dataDxfId="797"/>
    <tableColumn id="248" xr3:uid="{9A9548B2-F951-43C4-BE44-3D8E2A262533}" name="21.01.2025" dataDxfId="796"/>
    <tableColumn id="249" xr3:uid="{B0E3B5BD-224C-4719-9C2D-51F960E31364}" name="23.01.2025" dataDxfId="795"/>
    <tableColumn id="250" xr3:uid="{13324714-8766-4C38-A6B3-95CB6C18F0C0}" name="28.01.2025" dataDxfId="794"/>
    <tableColumn id="251" xr3:uid="{0190C1A8-1EAF-4863-B636-583C6F9F6929}" name="30.01.2025" dataDxfId="793"/>
    <tableColumn id="252" xr3:uid="{879E4B3A-06FD-4C0B-940F-0543E9DBF9AE}" name="04.02.2025" dataDxfId="792"/>
    <tableColumn id="253" xr3:uid="{19AF3FCA-5914-4A00-A48E-CD6CFAA2EF0A}" name="06.02.2025" dataDxfId="791"/>
    <tableColumn id="254" xr3:uid="{8DF23126-6BCD-4761-9B27-13BC2EE85400}" name="11.02.2025" dataDxfId="790"/>
    <tableColumn id="255" xr3:uid="{486E8396-CBCC-458B-8D8D-DA4B44EF7008}" name="13.02.2025" dataDxfId="789"/>
    <tableColumn id="256" xr3:uid="{0D3320E0-A26F-45B6-9ACC-C8C8CA3E1F1D}" name="18.02.2025" dataDxfId="788"/>
    <tableColumn id="257" xr3:uid="{7E96A2BE-920B-4485-BF9E-1ECB412223A0}" name="20.02.2025" dataDxfId="787"/>
    <tableColumn id="258" xr3:uid="{C58A148C-3912-405C-A91F-6252C67B7E88}" name="25.02.2025" dataDxfId="786"/>
    <tableColumn id="259" xr3:uid="{94951375-AA08-493A-A5F7-9CB836B14546}" name="27.02.2025" dataDxfId="785"/>
    <tableColumn id="264" xr3:uid="{81640E1C-A9BD-4088-8F9B-628417EDA149}" name="18.03.2025" dataDxfId="784"/>
    <tableColumn id="265" xr3:uid="{291747AF-8925-40E6-90C1-6FAAF2BFBA28}" name="20.03.2025" dataDxfId="783"/>
    <tableColumn id="266" xr3:uid="{7E1DCEEB-3D25-4F2D-8E2E-92A08CA12F90}" name="25.03.2025" dataDxfId="782"/>
    <tableColumn id="267" xr3:uid="{4D79B961-CF57-4DCF-9FF6-1C002D0561E9}" name="27.03.2025" dataDxfId="781"/>
    <tableColumn id="268" xr3:uid="{6211DFC2-1003-42B9-924B-AD2346BC9FC4}" name="01.04.2025" dataDxfId="780"/>
    <tableColumn id="269" xr3:uid="{2EEA1C45-2A41-4D1C-8084-D2277C6DA0C2}" name="03.04.2025" dataDxfId="779"/>
    <tableColumn id="270" xr3:uid="{141A13F7-A805-443D-AEA9-3F422B53DE11}" name="08.04.2025" dataDxfId="778"/>
    <tableColumn id="271" xr3:uid="{30CC89D6-CDC3-4534-A0FF-4A476A00BED6}" name="10.04.2025" dataDxfId="777"/>
    <tableColumn id="276" xr3:uid="{1E6A6A31-C394-4E44-A53F-8FB47222895D}" name="29.04.2025" dataDxfId="776"/>
    <tableColumn id="277" xr3:uid="{90CB1571-5183-4522-A185-12EED7BFF60D}" name="01.05.2025" dataDxfId="775"/>
    <tableColumn id="278" xr3:uid="{9B167A84-EC85-4390-957F-7BFC4746CA91}" name="06.05.2025" dataDxfId="774"/>
    <tableColumn id="279" xr3:uid="{43379320-A6F2-4ED7-A6A9-7CABC6FA868D}" name="08.05.2025" dataDxfId="773"/>
    <tableColumn id="280" xr3:uid="{D2584DBB-0912-40CB-BC2C-154F9677CBDE}" name="13.05.2025" dataDxfId="772"/>
    <tableColumn id="281" xr3:uid="{B2CA4AB7-F356-42B9-B053-112F98D5D3B7}" name="15.05.2025" dataDxfId="771"/>
    <tableColumn id="282" xr3:uid="{85364E08-28AD-4C09-92C9-00FAF7D7DED5}" name="20.05.2025" dataDxfId="770"/>
    <tableColumn id="283" xr3:uid="{90D3FF01-95D8-4466-84C0-0EBC89B9B5D5}" name="22.05.2025" dataDxfId="769"/>
    <tableColumn id="284" xr3:uid="{09B04289-872B-4F5E-A437-9EE24E672D11}" name="27.05.2025" dataDxfId="768"/>
    <tableColumn id="285" xr3:uid="{0A2591BA-D5DD-4289-AEFF-B139CC9BB522}" name="29.05.2025" dataDxfId="767"/>
    <tableColumn id="286" xr3:uid="{B42304FA-41D9-41B8-A0D2-86192AEDECC6}" name="03.06.2025" dataDxfId="766"/>
    <tableColumn id="287" xr3:uid="{66B57E23-3BFB-4221-A8E8-A6F4C058F9B9}" name="05.06.2025" dataDxfId="765"/>
    <tableColumn id="288" xr3:uid="{90CC4905-D1FB-42C7-BA7B-9E5359FEFED9}" name="10.06.2025" dataDxfId="764"/>
    <tableColumn id="289" xr3:uid="{46FDF129-82AF-4626-9A59-F12DC21294B8}" name="12.06.2025" dataDxfId="763"/>
    <tableColumn id="290" xr3:uid="{AF0E05D1-1144-4307-9971-80A4688DE121}" name="17.06.2025" dataDxfId="762"/>
    <tableColumn id="291" xr3:uid="{FC47CCC8-243E-4752-830D-2107BCF9D63C}" name="19.06.2025" dataDxfId="761"/>
    <tableColumn id="292" xr3:uid="{29778C20-805C-436C-AEBF-6D59F95C47BF}" name="24.06.2025" dataDxfId="760"/>
    <tableColumn id="293" xr3:uid="{0A1432B0-22F4-48B1-9630-E324E66B4112}" name="26.06.2025" dataDxfId="75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T25" totalsRowShown="0">
  <tableColumns count="254">
    <tableColumn id="1" xr3:uid="{AEB1C7EE-9393-4DCE-9662-FE6024C78634}" name="Kommunikation &amp; Führung"/>
    <tableColumn id="2" xr3:uid="{C16E187D-5757-4893-BC3D-E992159BC68B}" name="Fach"/>
    <tableColumn id="254" xr3:uid="{2828E2DF-6A5A-4052-A122-6C02373C370C}" name="Studium" dataDxfId="758"/>
    <tableColumn id="67" xr3:uid="{1A93E11A-643E-435A-A358-2D693E7CC530}" name="Status" dataDxfId="757"/>
    <tableColumn id="3" xr3:uid="{94DB570D-D8A9-437B-A224-3DFED36FEE0A}" name="LLP max" dataDxfId="756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755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754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calculatedColumnFormula>
    </tableColumn>
    <tableColumn id="4" xr3:uid="{DEDF4D39-AB24-42BF-961A-2386150F6639}" name="LLP Total" dataDxfId="753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 dataDxfId="752"/>
    <tableColumn id="23" xr3:uid="{50A0650C-C40A-4837-B6CF-E4434A1C3464}" name="Mastery" dataDxfId="751"/>
    <tableColumn id="44" xr3:uid="{DE6E4043-1B0E-419B-B802-E4B583DC1F0C}" name="ATL Max" dataDxfId="750"/>
    <tableColumn id="22" xr3:uid="{F4B26F9F-D729-43B2-8D81-FC926BEFC46D}" name="ATL" dataDxfId="749"/>
    <tableColumn id="43" xr3:uid="{020BB2F6-84BE-4C73-945D-A7A29B22B7F8}" name="Präsenz Max" dataDxfId="748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747">
      <calculatedColumnFormula>SUM(TBL_Kommunikation[[#This Row],[01.02.2022]:[26.06.2025]])</calculatedColumnFormula>
    </tableColumn>
    <tableColumn id="6" xr3:uid="{634BDB4A-6E2F-49B8-8D12-C7C15F922BCE}" name="01.02.2022" dataDxfId="746"/>
    <tableColumn id="7" xr3:uid="{D6EF1FC8-1260-4D71-BE2C-0C6FCA74643D}" name="03.02.2022" dataDxfId="745"/>
    <tableColumn id="8" xr3:uid="{782C1F7E-5123-4757-85A5-3F65883F6A98}" name="08.02.2022" dataDxfId="744"/>
    <tableColumn id="9" xr3:uid="{8904746C-214C-4349-887D-3D50119A9A4A}" name="10.02.2022" dataDxfId="743"/>
    <tableColumn id="10" xr3:uid="{56F7D850-93F8-48D4-A43B-87401B694195}" name="15.02.2022" dataDxfId="742"/>
    <tableColumn id="11" xr3:uid="{32F28629-8FEE-41DE-995B-F059F305F354}" name="17.02.2022" dataDxfId="741"/>
    <tableColumn id="12" xr3:uid="{9220EE41-D72A-43C4-A471-BF2E873009F4}" name="22.02.2022" dataDxfId="740"/>
    <tableColumn id="13" xr3:uid="{5A562EA0-206A-46F6-AE0F-D82066563293}" name="24.02.2022" dataDxfId="739"/>
    <tableColumn id="14" xr3:uid="{8395AF90-CB4F-441B-889F-0F913D61197D}" name="15.03.2022" dataDxfId="738"/>
    <tableColumn id="15" xr3:uid="{4C3447B0-3C03-436E-AC36-075A7F0B74FA}" name="17.03.2022" dataDxfId="737"/>
    <tableColumn id="16" xr3:uid="{BAF3AE43-CA63-4293-85F2-2735DEA213A4}" name="22.03.2022" dataDxfId="736"/>
    <tableColumn id="17" xr3:uid="{DEC35497-A560-46DF-BBED-750771F60740}" name="24.03.2022" dataDxfId="735"/>
    <tableColumn id="18" xr3:uid="{B97A17C1-2739-4812-91F4-4ED8D3D471F2}" name="29.03.2022" dataDxfId="734"/>
    <tableColumn id="19" xr3:uid="{14801E35-314C-4839-9651-B27228E770BB}" name="31.03.2022" dataDxfId="733"/>
    <tableColumn id="20" xr3:uid="{01817841-D3EB-4F9E-A1A5-1B6735C9784E}" name="05.04.2022" dataDxfId="732"/>
    <tableColumn id="21" xr3:uid="{12A1D160-09CA-40B8-9CC5-90F1EABFC625}" name="07.04.2022" dataDxfId="731"/>
    <tableColumn id="25" xr3:uid="{B69E1D63-1B21-44B8-9DEC-2FBEC9C85CCC}" name="26.04.2022" dataDxfId="730"/>
    <tableColumn id="26" xr3:uid="{0C7F3EE5-A26E-4916-B2D7-46BB119521B5}" name="28.04.2022" dataDxfId="729"/>
    <tableColumn id="27" xr3:uid="{401FBB69-AA8C-4BFB-B3E6-7DEBBE677A46}" name="03.05.2022" dataDxfId="728"/>
    <tableColumn id="28" xr3:uid="{BCD7829B-3F50-4859-891D-00779A0D10A0}" name="05.05.2022" dataDxfId="727"/>
    <tableColumn id="29" xr3:uid="{7EA2261E-01B2-4738-98FD-DDF061E5492C}" name="10.05.2022" dataDxfId="726"/>
    <tableColumn id="30" xr3:uid="{F1F2AA75-3649-4CCE-A1DE-B22F108E4ECB}" name="12.05.2022" dataDxfId="725"/>
    <tableColumn id="31" xr3:uid="{87336713-CEFE-46EA-A7C9-7D4A25FB4C1E}" name="17.05.2022" dataDxfId="724"/>
    <tableColumn id="32" xr3:uid="{4C1FC5AD-6321-438C-9F8B-71738ECBB8D0}" name="19.05.2022" dataDxfId="723"/>
    <tableColumn id="33" xr3:uid="{C74B3D35-1D03-430C-9D0E-06D1C3F23DE2}" name="24.05.2022" dataDxfId="722"/>
    <tableColumn id="34" xr3:uid="{1CD5FE1E-88F3-4560-A802-2FB7888F38E3}" name="31.05.2022" dataDxfId="721"/>
    <tableColumn id="46" xr3:uid="{75E46275-C946-4C22-BF30-9B2A24EFBCEB}" name="02.06.2022" dataDxfId="720"/>
    <tableColumn id="35" xr3:uid="{88D34C60-7C43-4D2A-BF92-7CCEB52E2F83}" name="07.06.2022" dataDxfId="719"/>
    <tableColumn id="36" xr3:uid="{EA11A60D-3BEB-4D6F-BBFF-FB921BCA3CFF}" name="09.06.2022" dataDxfId="718"/>
    <tableColumn id="37" xr3:uid="{216A3F36-6F86-403D-8C39-9182D783289C}" name="14.06.2022" dataDxfId="717"/>
    <tableColumn id="38" xr3:uid="{399B2D8C-A7B0-4ACF-B964-97DA3EDD9697}" name="16.06.2022" dataDxfId="716"/>
    <tableColumn id="39" xr3:uid="{21649C61-2022-4FB4-A059-D8B0F2126D90}" name="21.06.2022" dataDxfId="715"/>
    <tableColumn id="40" xr3:uid="{E946E1E1-979F-4A31-985B-7D2737E4AEA4}" name="23.06.2022" dataDxfId="714"/>
    <tableColumn id="41" xr3:uid="{422EC1C6-B336-49B3-BBD3-D72370921A1B}" name="28.06.2022" dataDxfId="713"/>
    <tableColumn id="42" xr3:uid="{24CC4E43-0317-4B3D-8192-7FF9D84C99E8}" name="30.06.2022" dataDxfId="712"/>
    <tableColumn id="48" xr3:uid="{D28F4F5D-49A4-4FB8-AE9C-C26FF39752F1}" name="24.11.2022" dataDxfId="711"/>
    <tableColumn id="49" xr3:uid="{9A681AC2-6546-4063-8C7D-D27FFE443074}" name="29.11.2022" dataDxfId="710"/>
    <tableColumn id="50" xr3:uid="{4EDB58F6-E110-4FEE-9480-837CD2F591F3}" name="01.12.2022" dataDxfId="709"/>
    <tableColumn id="51" xr3:uid="{CB79A703-823B-4ED5-902E-FB39B3BAEC19}" name="06.12.2022" dataDxfId="708"/>
    <tableColumn id="52" xr3:uid="{6516F4E7-CCC6-4BD3-8503-9CC81FEDC019}" name="08.12.2022" dataDxfId="707"/>
    <tableColumn id="53" xr3:uid="{65CF68AA-4D66-4A16-BE30-157CB23A5D3A}" name="13.12.2022" dataDxfId="706"/>
    <tableColumn id="54" xr3:uid="{061C0827-1793-465B-AFE5-1B85A36F2B4F}" name="15.12.2022" dataDxfId="705"/>
    <tableColumn id="55" xr3:uid="{7CA9A250-0BDF-4CE1-B96D-9D88389BC3F6}" name="20.12.2022" dataDxfId="704"/>
    <tableColumn id="56" xr3:uid="{FA2438E9-432F-423D-85A5-9544A6DC8D0E}" name="22.12.2022" dataDxfId="703"/>
    <tableColumn id="57" xr3:uid="{29E6C366-A733-485F-927C-34244B652026}" name="10.01.2023" dataDxfId="702"/>
    <tableColumn id="58" xr3:uid="{25F7468F-72FB-4AD9-92B9-3F2CEA6077AE}" name="12.01.2023" dataDxfId="701"/>
    <tableColumn id="59" xr3:uid="{AE0C0B8F-1B0F-4F52-94DE-EEAD936C3DEB}" name="17.01.2023" dataDxfId="700"/>
    <tableColumn id="60" xr3:uid="{BBD85A0F-525F-412D-B6CB-E2524EF2F85E}" name="19.01.2023" dataDxfId="699"/>
    <tableColumn id="61" xr3:uid="{8515C8C2-A082-486E-812F-32E51E99F4C0}" name="24.01.2023" dataDxfId="698"/>
    <tableColumn id="62" xr3:uid="{396697AB-3A4C-4D0E-9D8B-7096FD128403}" name="26.01.2023" dataDxfId="697"/>
    <tableColumn id="63" xr3:uid="{66B581FE-21B9-4306-B62A-C656C0871912}" name="31.01.2023" dataDxfId="696"/>
    <tableColumn id="64" xr3:uid="{7A187CB2-2AA2-4E43-8004-C454046BF9BA}" name="02.02.2023" dataDxfId="695"/>
    <tableColumn id="65" xr3:uid="{4D0B1ADD-EED4-4799-A7E5-D344A71990D1}" name="07.02.2023" dataDxfId="694"/>
    <tableColumn id="66" xr3:uid="{839248AB-F4C0-4BBE-BF5C-B99178452B78}" name="09.02.2023" dataDxfId="693"/>
    <tableColumn id="68" xr3:uid="{EEA2F227-7835-4E34-9E3A-AB7D2CB96E75}" name="14.02.2023" dataDxfId="692"/>
    <tableColumn id="69" xr3:uid="{EF445CED-A035-4627-A69A-E5C57ACB996E}" name="16.02.2023" dataDxfId="691"/>
    <tableColumn id="70" xr3:uid="{B6031FA9-89AD-40A8-AC06-C33620B3A30D}" name="07.03.2023" dataDxfId="690"/>
    <tableColumn id="71" xr3:uid="{8AD8A131-89C2-4332-9165-4671015A6EA6}" name="09.03.2023" dataDxfId="689"/>
    <tableColumn id="72" xr3:uid="{FBFA5B10-7715-4E17-92B7-C4D8BEB81B4C}" name="14.03.2023" dataDxfId="688"/>
    <tableColumn id="73" xr3:uid="{F844026D-180B-474E-96AC-128891646D74}" name="16.03.2023" dataDxfId="687"/>
    <tableColumn id="74" xr3:uid="{533B4DE0-0EB0-4939-9150-A1207B2232CB}" name="21.03.2023" dataDxfId="686"/>
    <tableColumn id="75" xr3:uid="{219EDB0A-424A-4B8F-B032-08A950C3C347}" name="23.03.2023" dataDxfId="685"/>
    <tableColumn id="76" xr3:uid="{E08AEBF7-3238-42E9-8A19-FE562473A7FD}" name="28.03.2023" dataDxfId="684"/>
    <tableColumn id="77" xr3:uid="{9D3D5C95-8966-4E39-AF10-A1BE4A74A198}" name="30.03.2023" dataDxfId="683"/>
    <tableColumn id="78" xr3:uid="{D70A9FDF-A614-4CE8-A247-866CA8AEA1A7}" name="18.04.2023" dataDxfId="682"/>
    <tableColumn id="79" xr3:uid="{02C042AC-1874-4C50-BAD1-727D4820C458}" name="20.04.2023" dataDxfId="681"/>
    <tableColumn id="80" xr3:uid="{69C466C6-43AA-45A4-802B-0A83CB00231C}" name="25.04.2023" dataDxfId="680"/>
    <tableColumn id="81" xr3:uid="{4504F160-D48D-4AFF-B02B-3177F9127398}" name="27.04.2023" dataDxfId="679"/>
    <tableColumn id="82" xr3:uid="{9164FF7E-66D1-44BA-B652-E8D92F1CD696}" name="02.05.2023" dataDxfId="678"/>
    <tableColumn id="83" xr3:uid="{56EF4019-387B-4A0C-A0C1-4FB90D689E42}" name="04.05.2023" dataDxfId="677"/>
    <tableColumn id="252" xr3:uid="{B5A81EB3-26FE-4FC1-9DCD-B82207135FC3}" name="08.05.2023" dataDxfId="676"/>
    <tableColumn id="84" xr3:uid="{ADDC8674-DB91-44B9-8487-B46F32F2416B}" name="09.05.2023" dataDxfId="675"/>
    <tableColumn id="85" xr3:uid="{8774C361-1C3E-48DA-9583-7C605906CD81}" name="11.05.2023" dataDxfId="674"/>
    <tableColumn id="253" xr3:uid="{F334DF64-B15A-467A-A63B-80D97BCCA29E}" name="15.05.2023" dataDxfId="673"/>
    <tableColumn id="86" xr3:uid="{13A50666-D568-472A-8F4D-8CA63D35D228}" name="16.05.2023" dataDxfId="672"/>
    <tableColumn id="87" xr3:uid="{EF1658FA-2FB0-4E59-97FE-DD7F3F0FD0BA}" name="18.05.2023" dataDxfId="671"/>
    <tableColumn id="88" xr3:uid="{3B13852F-3E9C-47A0-8C91-B97F714017F4}" name="23.05.2023" dataDxfId="670"/>
    <tableColumn id="89" xr3:uid="{42BB031F-46BB-4810-B939-CB884D85AE49}" name="25.05.2023" dataDxfId="669"/>
    <tableColumn id="90" xr3:uid="{E9CF11FA-67C1-4157-9578-9C7736EB4ED1}" name="30.05.2023" dataDxfId="668"/>
    <tableColumn id="91" xr3:uid="{5AC88B9B-CF4D-427D-84A8-9E42E1A11AC1}" name="01.06.2023" dataDxfId="667"/>
    <tableColumn id="92" xr3:uid="{C0923A35-DD06-4F73-82CA-45DD3CB8E635}" name="06.06.2023" dataDxfId="666"/>
    <tableColumn id="93" xr3:uid="{88F38E4D-A06B-4862-A94D-264865EC2F8C}" name="08.06.2023" dataDxfId="665"/>
    <tableColumn id="94" xr3:uid="{ADA7D02C-F327-4B39-92C8-9CF8D0C93EDC}" name="13.06.2023" dataDxfId="664"/>
    <tableColumn id="95" xr3:uid="{ECAEFB37-AA8F-4D23-A1CD-0B2C2D93585B}" name="15.06.2023" dataDxfId="663"/>
    <tableColumn id="96" xr3:uid="{4B5211AC-1B4B-44A0-955A-234AA97459B3}" name="20.06.2023" dataDxfId="662"/>
    <tableColumn id="97" xr3:uid="{6E07E536-01F3-4083-BF2C-9488B94B9B08}" name="22.06.2023" dataDxfId="661"/>
    <tableColumn id="98" xr3:uid="{922ED6D7-DD36-424B-B11D-9BF1673C5EE4}" name="27.06.2023" dataDxfId="660"/>
    <tableColumn id="99" xr3:uid="{043B38E0-4ACD-4EC2-B87A-B1B164763518}" name="29.06.2023" dataDxfId="659"/>
    <tableColumn id="100" xr3:uid="{01900FC2-F523-465E-9FA4-53BE9BE2A676}" name="15.08.2023" dataDxfId="658"/>
    <tableColumn id="101" xr3:uid="{3EC42AE1-B127-4E79-B97E-59D5B446F23A}" name="17.08.2023" dataDxfId="657"/>
    <tableColumn id="102" xr3:uid="{333FF37A-16B2-4EF1-AC70-0FDF4BB14B1F}" name="22.08.2023" dataDxfId="656"/>
    <tableColumn id="103" xr3:uid="{EA252331-B7E2-4012-857C-5730062A75EA}" name="24.08.2023" dataDxfId="655"/>
    <tableColumn id="104" xr3:uid="{E48AE2F1-94CC-482D-AB13-31CBC1CE62F6}" name="29.08.2023" dataDxfId="654"/>
    <tableColumn id="105" xr3:uid="{2EF82B38-551E-42F9-9164-05B68B65FA9E}" name="31.08.2023" dataDxfId="653"/>
    <tableColumn id="106" xr3:uid="{F40A5F81-A10A-4F32-8383-B2609222505C}" name="05.09.2023" dataDxfId="652"/>
    <tableColumn id="107" xr3:uid="{1A474ECE-4A8F-4C51-B51E-79515C646B88}" name="07.09.2023" dataDxfId="651"/>
    <tableColumn id="108" xr3:uid="{8979B9D0-C402-437F-8DFA-BA10C2EB4FA6}" name="12.09.2023" dataDxfId="650"/>
    <tableColumn id="109" xr3:uid="{2114E957-00D1-4790-A439-B882E31E2A5D}" name="14.09.2023" dataDxfId="649"/>
    <tableColumn id="110" xr3:uid="{A9D2AAFF-4C0E-4E1F-B997-7B312AB0B12A}" name="19.09.2023" dataDxfId="648"/>
    <tableColumn id="111" xr3:uid="{94B06F20-12A4-40AD-911F-001171F5602E}" name="21.09.2023" dataDxfId="647"/>
    <tableColumn id="112" xr3:uid="{A4FB1D00-D65F-46A3-8D98-C7B73A7A44AC}" name="26.09.2029" dataDxfId="646"/>
    <tableColumn id="113" xr3:uid="{C03EC681-4571-4895-9F8F-39600D0C908D}" name="28.09.2023" dataDxfId="645"/>
    <tableColumn id="114" xr3:uid="{58258912-6173-4C78-95EE-7619B1A340E9}" name="17.10.2023" dataDxfId="644"/>
    <tableColumn id="115" xr3:uid="{8F0CD045-585F-464E-A456-E25B229E7E88}" name="19.10.2023" dataDxfId="643"/>
    <tableColumn id="116" xr3:uid="{742E6055-0654-4C91-9A78-61F1498E88E4}" name="24.10.2023" dataDxfId="642"/>
    <tableColumn id="117" xr3:uid="{1EA00722-7B1F-48B9-BC39-A2A41729A1DA}" name="26.10.2023" dataDxfId="641"/>
    <tableColumn id="118" xr3:uid="{7085F640-B2C8-4BBC-A6A3-DBC24CED5DE6}" name="31.10.2023" dataDxfId="640"/>
    <tableColumn id="119" xr3:uid="{6766C52A-1270-4A7B-A603-0F9E4B527F07}" name="02.11.2023" dataDxfId="639"/>
    <tableColumn id="120" xr3:uid="{E0A09C83-B8C8-4F26-815C-50B93D795636}" name="07.11.2023" dataDxfId="638"/>
    <tableColumn id="121" xr3:uid="{9440B3D4-2F66-467F-909C-2511EAEECA42}" name="09.11.2023" dataDxfId="637"/>
    <tableColumn id="122" xr3:uid="{8EE718EA-83CD-40FA-A6B0-86FFBD7D0EEF}" name="14.11.2023" dataDxfId="636"/>
    <tableColumn id="123" xr3:uid="{B75CD49D-7FF4-4501-A527-C3E419174270}" name="16.11.2023" dataDxfId="635"/>
    <tableColumn id="124" xr3:uid="{8ADBDB42-A26C-4CD5-A319-32BD0A081DA4}" name="21.11.2023" dataDxfId="634"/>
    <tableColumn id="125" xr3:uid="{1D0205DB-DA96-41C8-9F17-F101F65277E6}" name="23.11.2023" dataDxfId="633"/>
    <tableColumn id="126" xr3:uid="{601994D7-AC4B-4FF0-843F-35EBDB50D142}" name="28.11.2023" dataDxfId="632"/>
    <tableColumn id="127" xr3:uid="{019A973E-43FD-407F-825D-5CEAC46F1FBC}" name="30.11.2023" dataDxfId="631"/>
    <tableColumn id="128" xr3:uid="{791762D0-EDE5-4047-B076-76FF7E835EC4}" name="05.12.2023" dataDxfId="630"/>
    <tableColumn id="129" xr3:uid="{B6140F76-FCDC-4DF2-8813-76A1DC11641C}" name="07.12.2023" dataDxfId="629"/>
    <tableColumn id="130" xr3:uid="{29492392-3447-4568-8FD4-56E9D958B892}" name="12.12.2023" dataDxfId="628"/>
    <tableColumn id="131" xr3:uid="{0BA5F7FC-F798-4755-A6B1-149FF5B6B1F6}" name="14.12.2023" dataDxfId="627"/>
    <tableColumn id="132" xr3:uid="{76A56AFD-50E8-45A1-8CDF-CA6D853BFA5C}" name="19.12.2023" dataDxfId="626"/>
    <tableColumn id="133" xr3:uid="{952D0EF5-B952-4EDC-8C25-1145B157FCCC}" name="21.12.2023" dataDxfId="625"/>
    <tableColumn id="134" xr3:uid="{3E702944-99EC-4788-839D-52E8F30970AF}" name="09.01.2024" dataDxfId="624"/>
    <tableColumn id="135" xr3:uid="{8FB3F35A-E772-40C3-B363-618BDBB0D5F5}" name="11.01.2024" dataDxfId="623"/>
    <tableColumn id="136" xr3:uid="{ACB3A6E5-28C3-4602-A9CC-B44CA43A3F71}" name="16.01.2024" dataDxfId="622"/>
    <tableColumn id="137" xr3:uid="{962B14B0-FEBF-4FFC-9BC7-2CDA67C520FF}" name="18.01.2024" dataDxfId="621"/>
    <tableColumn id="138" xr3:uid="{40BEFE29-6825-4006-B309-79FC3CA29501}" name="23.01.2024" dataDxfId="620"/>
    <tableColumn id="139" xr3:uid="{77287EC5-CA63-4A9A-8DFA-81610DD0BBE3}" name="25.01.2024" dataDxfId="619"/>
    <tableColumn id="140" xr3:uid="{015E3D6C-17B5-421D-817B-FE1865434971}" name="30.01.2024" dataDxfId="618"/>
    <tableColumn id="141" xr3:uid="{316C3343-5F6A-4062-94E9-09CC547480C7}" name="01.02.2024" dataDxfId="617"/>
    <tableColumn id="142" xr3:uid="{DDA47379-517B-4358-A8A1-468B89DA71C4}" name="06.02.2024" dataDxfId="616"/>
    <tableColumn id="143" xr3:uid="{E8A75078-DFA3-488D-B97D-71129B3B7A3A}" name="08.02.2024" dataDxfId="615"/>
    <tableColumn id="144" xr3:uid="{98485583-42D0-4096-B030-F3780A628310}" name="27.02.2024" dataDxfId="614"/>
    <tableColumn id="145" xr3:uid="{230AF751-3937-467E-AB5B-E2295A06DA95}" name="29.02.2024" dataDxfId="613"/>
    <tableColumn id="146" xr3:uid="{EA643CC2-D147-4176-A0AF-EED82CF6987B}" name="05.03.2024" dataDxfId="612"/>
    <tableColumn id="147" xr3:uid="{82CC3DAE-B72F-4F60-B035-40CC72C628F1}" name="07.03.2024" dataDxfId="611"/>
    <tableColumn id="148" xr3:uid="{82ABAEC1-67C3-4042-970C-5A0994B49E03}" name="12.03.2024" dataDxfId="610"/>
    <tableColumn id="149" xr3:uid="{5136FD58-0652-4AA5-92C7-35B147D18257}" name="14.03.2024" dataDxfId="609"/>
    <tableColumn id="150" xr3:uid="{65AA2BD8-6681-4FAA-854E-C28DAB1D2CB9}" name="19.03.2024" dataDxfId="608"/>
    <tableColumn id="151" xr3:uid="{5ED19332-D171-4658-BC44-6347564F7920}" name="21.03.2024" dataDxfId="607"/>
    <tableColumn id="152" xr3:uid="{F89DAAB3-393B-45CE-B828-637EC5FD0572}" name="09.04.2024" dataDxfId="606"/>
    <tableColumn id="153" xr3:uid="{672CE51B-7C50-419D-B0E4-DA042CF89496}" name="11.04.2024" dataDxfId="605"/>
    <tableColumn id="154" xr3:uid="{5022881D-EA60-49D1-AEBE-D5A1045D42DB}" name="16.04.2024" dataDxfId="604"/>
    <tableColumn id="155" xr3:uid="{AF1FAA2E-F5E5-4483-8068-BEC2A88A39E2}" name="18.04.2024" dataDxfId="603"/>
    <tableColumn id="156" xr3:uid="{D54087CD-E63E-4166-A3B0-1817C6A594D2}" name="23.04.2024" dataDxfId="602"/>
    <tableColumn id="157" xr3:uid="{E0CCFDAF-5C81-4DAE-B5DA-868161B73796}" name="25.04.2024" dataDxfId="601"/>
    <tableColumn id="158" xr3:uid="{9F054742-07BD-4313-A8FE-84248C4744D6}" name="30.04.2024" dataDxfId="600"/>
    <tableColumn id="159" xr3:uid="{5B3AB363-A92F-4239-BAD4-70D1273C3208}" name="02.05.2024" dataDxfId="599"/>
    <tableColumn id="160" xr3:uid="{9C946354-20EE-43EA-BE1C-2D8900CF0F4B}" name="07.05.2024" dataDxfId="598"/>
    <tableColumn id="161" xr3:uid="{8FF825BA-5FCC-4FE0-986B-4B86A1D2DC9E}" name="09.05.2024" dataDxfId="597"/>
    <tableColumn id="162" xr3:uid="{09971CFF-25E0-424B-B91F-5EDB6DD672E7}" name="14.05.2024" dataDxfId="596"/>
    <tableColumn id="163" xr3:uid="{34D07BB8-F3B3-4196-9D31-1C17857E33A4}" name="16.05.2024" dataDxfId="595"/>
    <tableColumn id="164" xr3:uid="{068E56D1-3038-48C6-9E9E-9F4C834C5F96}" name="21.05.2024" dataDxfId="594"/>
    <tableColumn id="165" xr3:uid="{DB48F0BB-FC29-4455-85A8-174BB972C38B}" name="24.05.2024" dataDxfId="593"/>
    <tableColumn id="166" xr3:uid="{CBF3FC10-8225-4E9B-9FE1-0334B2AFDF69}" name="28.05.2024" dataDxfId="592"/>
    <tableColumn id="167" xr3:uid="{5D861154-48F7-4198-9CBF-69E136751CCA}" name="30.05.2024" dataDxfId="591"/>
    <tableColumn id="168" xr3:uid="{38CB9739-E685-4AA5-942E-27AA286B4C29}" name="04.06.2024" dataDxfId="590"/>
    <tableColumn id="169" xr3:uid="{96B9D3A7-B0CE-4015-9BB7-E93A33ADAD77}" name="06.06.2024" dataDxfId="589"/>
    <tableColumn id="170" xr3:uid="{7F673209-708B-4EE7-BFEF-B4C94FF6D4DD}" name="11.06.2024" dataDxfId="588"/>
    <tableColumn id="171" xr3:uid="{901F0546-1881-4A8B-A82F-F080C292B2E4}" name="13.06.2024" dataDxfId="587"/>
    <tableColumn id="172" xr3:uid="{74755FF5-AA73-4627-B2E0-D0BB5A306F0D}" name="18.06.2024" dataDxfId="586"/>
    <tableColumn id="173" xr3:uid="{3F853BCB-FA3C-4C40-AA50-38D4F0EE1387}" name="20.06.2024" dataDxfId="585"/>
    <tableColumn id="174" xr3:uid="{7C396039-E613-4EAA-80A6-C521D1156460}" name="25.06.2024" dataDxfId="584"/>
    <tableColumn id="175" xr3:uid="{33EC2CAF-E3FB-4459-86F7-EFB673A824CF}" name="27.06.2024" dataDxfId="583"/>
    <tableColumn id="176" xr3:uid="{89327000-3258-496B-AC14-D97BC1B526F6}" name="13.08.2024" dataDxfId="582"/>
    <tableColumn id="177" xr3:uid="{D2A5B056-83D5-4A0D-9754-18A4C757FAB7}" name="15.08.2024" dataDxfId="581"/>
    <tableColumn id="178" xr3:uid="{6669F6C2-F483-4B7C-A8F2-EB4E2F522EDC}" name="20.08.2024" dataDxfId="580"/>
    <tableColumn id="179" xr3:uid="{25AC6CBD-1916-44BA-A55D-F309E6A5A115}" name="22.08.2024" dataDxfId="579"/>
    <tableColumn id="180" xr3:uid="{797DA609-9815-47BF-9D79-D5C791AE8BA9}" name="27.08.2024" dataDxfId="578"/>
    <tableColumn id="181" xr3:uid="{032C423E-B4E3-4940-BD6B-A2131870EB4B}" name="29.08.2024" dataDxfId="577"/>
    <tableColumn id="182" xr3:uid="{6A283AEF-0BC4-4F1F-9920-B06345C4D7A8}" name="03.09.2024" dataDxfId="576"/>
    <tableColumn id="183" xr3:uid="{01CDC98F-3B34-42B4-90DD-DCACFA949025}" name="05.09.2024" dataDxfId="575"/>
    <tableColumn id="184" xr3:uid="{2CCFF1D3-2CAA-4226-9014-3C8187AAAC8B}" name="10.09.2024" dataDxfId="574"/>
    <tableColumn id="185" xr3:uid="{AC7C99E3-B716-4D5F-850F-03830247E578}" name="12.09.2024" dataDxfId="573"/>
    <tableColumn id="186" xr3:uid="{740E9DAC-65E1-4023-B21B-20F9F83AF50F}" name="17.09.2024" dataDxfId="572"/>
    <tableColumn id="187" xr3:uid="{D30C49C2-753B-426E-A6C6-672F24D683E0}" name="19.09.2024" dataDxfId="571"/>
    <tableColumn id="188" xr3:uid="{2731739A-53BD-4D4C-991E-3DEC173AAD16}" name="24.09.2024" dataDxfId="570"/>
    <tableColumn id="189" xr3:uid="{C7DF0FBF-49DF-4A2C-89DB-DED7F7836C26}" name="26.09.2024" dataDxfId="569"/>
    <tableColumn id="190" xr3:uid="{4D273F2A-986A-4373-A4F6-7ED40C288421}" name="15.10.2024" dataDxfId="568"/>
    <tableColumn id="191" xr3:uid="{727469E9-081F-4BE3-B1A8-320D4B77F751}" name="17.10.2024" dataDxfId="567"/>
    <tableColumn id="192" xr3:uid="{691AB3B4-BC51-4751-A5B2-554A5C78268A}" name="22.10.2024" dataDxfId="566"/>
    <tableColumn id="193" xr3:uid="{88F8B450-62CC-4FBD-AAB1-9304EC6C8802}" name="24.10.2024" dataDxfId="565"/>
    <tableColumn id="194" xr3:uid="{901BB725-6455-4773-8E92-8838370DF1AA}" name="29.10.2024" dataDxfId="564"/>
    <tableColumn id="195" xr3:uid="{D7C32EAE-0242-4F60-AE9B-9B2169AA0F65}" name="31.10.2024" dataDxfId="563"/>
    <tableColumn id="196" xr3:uid="{6DE0380C-8114-4C84-99AB-F80B3644F064}" name="05.11.2024" dataDxfId="562"/>
    <tableColumn id="197" xr3:uid="{5414CDC6-1BB3-4FEF-BFB4-34D01EF3D884}" name="07.11.2024" dataDxfId="561"/>
    <tableColumn id="198" xr3:uid="{79E0078E-F68D-47E0-95EA-F53A69527388}" name="12.11.2024" dataDxfId="560"/>
    <tableColumn id="199" xr3:uid="{E4722517-77C5-4EBB-9681-6E178227A94C}" name="14.11.2024" dataDxfId="559"/>
    <tableColumn id="200" xr3:uid="{A6430097-3056-4E4B-8C43-16CD02A05D89}" name="19.11.2024" dataDxfId="558"/>
    <tableColumn id="201" xr3:uid="{4226B40F-D03A-4375-9A51-20CBC4421085}" name="21.11.2024" dataDxfId="557"/>
    <tableColumn id="202" xr3:uid="{1D9775BF-2816-4C15-9F8B-9EF9D43BEDBF}" name="26.11.2024" dataDxfId="556"/>
    <tableColumn id="203" xr3:uid="{EC70B4BF-70E0-4D4E-92E5-FCB1092411D2}" name="28.11.2024" dataDxfId="555"/>
    <tableColumn id="204" xr3:uid="{BD789F7B-80E5-49E2-A4F6-D55AACBACA0D}" name="03.12.2024" dataDxfId="554"/>
    <tableColumn id="205" xr3:uid="{650B5C86-84B5-4100-BC82-DA3C439306D3}" name="05.12.2024" dataDxfId="553"/>
    <tableColumn id="206" xr3:uid="{D42EE068-1CD1-47A9-A76B-F4FFBBC4E4A8}" name="10.12.2024" dataDxfId="552"/>
    <tableColumn id="207" xr3:uid="{2D0D8AFE-0A18-4811-8183-1C7F5C5E6176}" name="12.12.2024" dataDxfId="551"/>
    <tableColumn id="208" xr3:uid="{922FBDA8-E282-46FB-8503-A1B1BC3D76AA}" name="17.12.2024" dataDxfId="550"/>
    <tableColumn id="209" xr3:uid="{371C5319-13BA-4C63-B812-58C97686B8A2}" name="19.12.2024" dataDxfId="549"/>
    <tableColumn id="210" xr3:uid="{12C71186-BC3D-400F-9279-3589F6D81E19}" name="07.01.2025" dataDxfId="548"/>
    <tableColumn id="211" xr3:uid="{21A84BD4-8F90-47AD-9EA6-5E76DF53D652}" name="09.01.2025" dataDxfId="547"/>
    <tableColumn id="212" xr3:uid="{F4F60777-82EC-48EB-999F-693B1291CF31}" name="14.01.2025" dataDxfId="546"/>
    <tableColumn id="213" xr3:uid="{AF587AB0-9132-476A-B7F2-E9228855F5C5}" name="16.01.2025" dataDxfId="545"/>
    <tableColumn id="214" xr3:uid="{94AB1AA9-E8ED-4EFE-B350-5F069F28412F}" name="21.01.2025" dataDxfId="544"/>
    <tableColumn id="215" xr3:uid="{E5E98B60-79D2-4206-AFB8-875DF9E9543A}" name="23.01.2025" dataDxfId="543"/>
    <tableColumn id="216" xr3:uid="{2806E830-DA1A-4961-BD03-5C0C5A6008D1}" name="28.01.2025" dataDxfId="542"/>
    <tableColumn id="217" xr3:uid="{C1F51611-8BF2-436F-BB12-6A44710C9384}" name="30.01.2025" dataDxfId="541"/>
    <tableColumn id="218" xr3:uid="{D368CC1A-3FED-4A7F-88B3-D2B4D5B50338}" name="04.02.2025" dataDxfId="540"/>
    <tableColumn id="219" xr3:uid="{7335CB6E-9C9F-4EA1-8C0B-3D762365E792}" name="06.02.2025" dataDxfId="539"/>
    <tableColumn id="220" xr3:uid="{A097FA51-BC51-4FCF-852E-F59AC50A2E9E}" name="11.02.2025" dataDxfId="538"/>
    <tableColumn id="221" xr3:uid="{E7ACE412-BDA8-4658-AA1C-0A64E690873D}" name="13.02.2025" dataDxfId="537"/>
    <tableColumn id="222" xr3:uid="{2DAF25BF-1F52-48D9-B08B-AF5076412B48}" name="18.02.2025" dataDxfId="536"/>
    <tableColumn id="223" xr3:uid="{66E4F08D-CD7C-449E-88DE-4CA5D0030D69}" name="20.02.2025" dataDxfId="535"/>
    <tableColumn id="224" xr3:uid="{16A03E3F-6AC6-462E-AB17-6A7EDAD4C27C}" name="25.02.2025" dataDxfId="534"/>
    <tableColumn id="225" xr3:uid="{FCDAE6A6-1FC0-4193-BDAF-99BEEBDDB7FF}" name="27.02.2025" dataDxfId="533"/>
    <tableColumn id="226" xr3:uid="{CFA8274A-6EC7-4FB3-9122-288B229F3574}" name="18.03.2025" dataDxfId="532"/>
    <tableColumn id="227" xr3:uid="{7803B68C-BC60-434B-AF7B-135CDC48947A}" name="20.03.2025" dataDxfId="531"/>
    <tableColumn id="228" xr3:uid="{9F1C6ACC-6FD7-44EB-BFDC-8E6EACC52A62}" name="25.03.2025" dataDxfId="530"/>
    <tableColumn id="229" xr3:uid="{55E43779-21CB-4D78-A177-51F238D87BC0}" name="27.03.2025" dataDxfId="529"/>
    <tableColumn id="230" xr3:uid="{81D5877C-E562-4896-A411-B906305E0D3F}" name="01.04.2025" dataDxfId="528"/>
    <tableColumn id="231" xr3:uid="{7200156B-71CD-48E8-8AD7-EADA437AA1AA}" name="03.04.2025" dataDxfId="527"/>
    <tableColumn id="232" xr3:uid="{99D78CF5-583F-4FD0-A4E0-C418847BC458}" name="08.04.2025" dataDxfId="526"/>
    <tableColumn id="233" xr3:uid="{D6509DF3-CD18-4ABE-9DBD-BD10970F5F8E}" name="10.04.2025" dataDxfId="525"/>
    <tableColumn id="234" xr3:uid="{C896830E-AEED-4310-9EA2-980EDB961BD9}" name="29.04.2025" dataDxfId="524"/>
    <tableColumn id="235" xr3:uid="{4072A32F-CD46-4315-B11E-CC2A1AA199CC}" name="01.05.2025" dataDxfId="523"/>
    <tableColumn id="236" xr3:uid="{7DA658BD-3702-4813-AAF1-75BFD24A63E4}" name="06.05.2025" dataDxfId="522"/>
    <tableColumn id="237" xr3:uid="{FA041AC7-06B3-4F2E-B378-2F4CACDCC050}" name="08.05.2025" dataDxfId="521"/>
    <tableColumn id="238" xr3:uid="{D9630F2C-1086-45EC-88AF-248D51C9D018}" name="13.05.2025" dataDxfId="520"/>
    <tableColumn id="239" xr3:uid="{B56AE28D-EE60-44A3-BBD6-4D1E421EF4D5}" name="15.05.2025" dataDxfId="519"/>
    <tableColumn id="240" xr3:uid="{D7240903-572D-426F-902D-A741120B8523}" name="20.05.2025" dataDxfId="518"/>
    <tableColumn id="241" xr3:uid="{92072C68-CCC8-4E88-86CD-2DF8667AADF6}" name="22.05.2025" dataDxfId="517"/>
    <tableColumn id="242" xr3:uid="{7CB9BFBB-FCE1-4935-923D-A3DABB7885FB}" name="27.05.2025" dataDxfId="516"/>
    <tableColumn id="243" xr3:uid="{D80CE848-934F-4F8F-9924-827D2045A631}" name="29.05.2025" dataDxfId="515"/>
    <tableColumn id="244" xr3:uid="{C6749CF0-CBBB-46BA-B099-574C4DBE0B0C}" name="03.06.2025" dataDxfId="514"/>
    <tableColumn id="245" xr3:uid="{FB2F3E3A-2497-402D-81F8-113A2E55CA7C}" name="05.06.2025" dataDxfId="513"/>
    <tableColumn id="246" xr3:uid="{C99C0E09-7112-4E45-AA23-44FB9C14CF0D}" name="10.06.2025" dataDxfId="512"/>
    <tableColumn id="247" xr3:uid="{8F88AC5F-46BA-441C-9F1B-A254932766B3}" name="12.06.2025" dataDxfId="511"/>
    <tableColumn id="248" xr3:uid="{4B41CD92-5955-454A-843E-FA85CFFF31D8}" name="17.06.2025" dataDxfId="510"/>
    <tableColumn id="249" xr3:uid="{00C63C65-61FE-4C4D-A71F-E94B7FF5DE39}" name="19.06.2025" dataDxfId="509"/>
    <tableColumn id="250" xr3:uid="{F2612EC7-B610-45E6-A3B7-E325AC244230}" name="24.06.2025" dataDxfId="508"/>
    <tableColumn id="251" xr3:uid="{B697737A-5377-41A7-BB34-5A5DBD631BF0}" name="26.06.2025" dataDxfId="50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N69"/>
  <sheetViews>
    <sheetView tabSelected="1" zoomScaleNormal="100" workbookViewId="0"/>
  </sheetViews>
  <sheetFormatPr baseColWidth="10" defaultColWidth="11.42578125" defaultRowHeight="15" x14ac:dyDescent="0.25"/>
  <cols>
    <col min="1" max="1" width="34.7109375" bestFit="1" customWidth="1"/>
    <col min="2" max="2" width="39.42578125" bestFit="1" customWidth="1"/>
    <col min="3" max="3" width="11" style="9" bestFit="1" customWidth="1"/>
    <col min="4" max="4" width="10.140625" bestFit="1" customWidth="1"/>
    <col min="5" max="5" width="10.140625" customWidth="1"/>
    <col min="6" max="6" width="11" bestFit="1" customWidth="1"/>
    <col min="7" max="7" width="12.42578125" bestFit="1" customWidth="1"/>
    <col min="8" max="9" width="13.85546875" bestFit="1" customWidth="1"/>
    <col min="10" max="10" width="9.7109375" style="35" bestFit="1" customWidth="1"/>
    <col min="11" max="11" width="13.42578125" bestFit="1" customWidth="1"/>
    <col min="12" max="12" width="13.28515625" bestFit="1" customWidth="1"/>
    <col min="13" max="13" width="32.7109375" bestFit="1" customWidth="1"/>
  </cols>
  <sheetData>
    <row r="1" spans="1:13" ht="20.25" thickBot="1" x14ac:dyDescent="0.35">
      <c r="A1" s="1" t="s">
        <v>0</v>
      </c>
    </row>
    <row r="2" spans="1:13" ht="15.75" thickTop="1" x14ac:dyDescent="0.25"/>
    <row r="3" spans="1:13" x14ac:dyDescent="0.25">
      <c r="A3" t="s">
        <v>388</v>
      </c>
      <c r="B3" t="s">
        <v>389</v>
      </c>
    </row>
    <row r="6" spans="1:13" x14ac:dyDescent="0.25">
      <c r="A6" t="s">
        <v>1</v>
      </c>
      <c r="B6" t="s">
        <v>2</v>
      </c>
      <c r="C6" t="s">
        <v>21</v>
      </c>
      <c r="D6" s="9" t="s">
        <v>3</v>
      </c>
      <c r="E6" t="s">
        <v>4</v>
      </c>
      <c r="F6" t="s">
        <v>5</v>
      </c>
      <c r="G6" t="s">
        <v>6</v>
      </c>
      <c r="H6" t="s">
        <v>7</v>
      </c>
      <c r="J6"/>
      <c r="L6" s="35"/>
    </row>
    <row r="7" spans="1:13" x14ac:dyDescent="0.25">
      <c r="B7" t="s">
        <v>10</v>
      </c>
      <c r="C7" s="31" t="s">
        <v>364</v>
      </c>
      <c r="D7" s="9">
        <v>2</v>
      </c>
      <c r="E7" s="9">
        <f>SUMIF(TBL_Ü_Grund[Studium],"GS",TBL_Ü_Grund[LLP max])+SUMIF(TBL_Ü_Kommunikation[Studium],"GS",TBL_Ü_Kommunikation[LLP max])</f>
        <v>1440</v>
      </c>
      <c r="F7" s="37">
        <f>SUMIF(TBL_Ü_Grund[Studium],"GS",TBL_Ü_Grund[LLP total])+SUMIF(TBL_Ü_Kommunikation[Studium],"GS",TBL_Ü_Kommunikation[LLP total])</f>
        <v>0</v>
      </c>
      <c r="G7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7" s="39">
        <f>100/TBL_Gesamt[[#This Row],[LLP max]]*TBL_Gesamt[[#This Row],[LLP total]]/100</f>
        <v>0</v>
      </c>
      <c r="J7"/>
      <c r="L7" s="35"/>
    </row>
    <row r="8" spans="1:13" x14ac:dyDescent="0.25">
      <c r="B8" t="s">
        <v>11</v>
      </c>
      <c r="C8" s="31" t="s">
        <v>368</v>
      </c>
      <c r="D8" s="9">
        <v>2</v>
      </c>
      <c r="E8" s="9">
        <f>SUMIF(TBL_Ü_Grund[Studium],"HS",TBL_Ü_Grund[LLP max])+SUMIF(TBL_Ü_Kommunikation[Studium],"HS",TBL_Ü_Kommunikation[LLP max])+SUMIF(TBL_Ü_S_System[Studium],"HS",TBL_Ü_S_System[LLP max])</f>
        <v>1368</v>
      </c>
      <c r="F8" s="37">
        <f>SUMIF(TBL_Ü_Grund[Studium],"HS",TBL_Ü_Grund[LLP total])+SUMIF(TBL_Ü_Kommunikation[Studium],"HS",TBL_Ü_Kommunikation[LLP total])+SUMIF(TBL_Ü_S_System[Studium],"HS",TBL_Ü_S_System[LLP total])</f>
        <v>0</v>
      </c>
      <c r="G8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8" s="75">
        <f>100/TBL_Gesamt[[#This Row],[LLP max]]*TBL_Gesamt[[#This Row],[LLP total]]/100</f>
        <v>0</v>
      </c>
      <c r="J8"/>
      <c r="L8" s="35"/>
    </row>
    <row r="9" spans="1:13" x14ac:dyDescent="0.25">
      <c r="B9" t="s">
        <v>13</v>
      </c>
      <c r="C9" s="31" t="s">
        <v>19</v>
      </c>
      <c r="D9" s="9">
        <v>1</v>
      </c>
      <c r="E9" s="9">
        <f>E60</f>
        <v>400</v>
      </c>
      <c r="F9" s="37">
        <f>F60</f>
        <v>0</v>
      </c>
      <c r="G9" s="37">
        <f>G60</f>
        <v>1</v>
      </c>
      <c r="H9" s="75">
        <f>100/TBL_Gesamt[[#This Row],[LLP max]]*TBL_Gesamt[[#This Row],[LLP total]]/100</f>
        <v>0</v>
      </c>
      <c r="J9"/>
      <c r="L9" s="35"/>
    </row>
    <row r="10" spans="1:13" x14ac:dyDescent="0.25">
      <c r="B10" t="s">
        <v>14</v>
      </c>
      <c r="C10" s="31" t="s">
        <v>19</v>
      </c>
      <c r="D10" s="9">
        <v>1</v>
      </c>
      <c r="E10" s="9">
        <f t="shared" ref="E10:E12" si="0">E61</f>
        <v>72</v>
      </c>
      <c r="F10" s="37">
        <f t="shared" ref="F10:G12" si="1">F61</f>
        <v>0</v>
      </c>
      <c r="G10" s="37">
        <f t="shared" si="1"/>
        <v>1</v>
      </c>
      <c r="H10" s="75">
        <f>100/TBL_Gesamt[[#This Row],[LLP max]]*TBL_Gesamt[[#This Row],[LLP total]]/100</f>
        <v>0</v>
      </c>
      <c r="J10"/>
      <c r="L10" s="35"/>
    </row>
    <row r="11" spans="1:13" x14ac:dyDescent="0.25">
      <c r="B11" t="s">
        <v>16</v>
      </c>
      <c r="C11" s="31" t="s">
        <v>19</v>
      </c>
      <c r="D11" s="9">
        <v>1</v>
      </c>
      <c r="E11" s="9">
        <f t="shared" si="0"/>
        <v>600</v>
      </c>
      <c r="F11" s="37">
        <f t="shared" si="1"/>
        <v>0</v>
      </c>
      <c r="G11" s="37">
        <f t="shared" si="1"/>
        <v>1</v>
      </c>
      <c r="H11" s="75">
        <f>100/TBL_Gesamt[[#This Row],[LLP max]]*TBL_Gesamt[[#This Row],[LLP total]]/100</f>
        <v>0</v>
      </c>
      <c r="J11"/>
      <c r="L11" s="35"/>
    </row>
    <row r="12" spans="1:13" x14ac:dyDescent="0.25">
      <c r="B12" t="s">
        <v>17</v>
      </c>
      <c r="C12" s="31" t="s">
        <v>19</v>
      </c>
      <c r="D12" s="9">
        <v>1</v>
      </c>
      <c r="E12" s="9">
        <f t="shared" si="0"/>
        <v>120</v>
      </c>
      <c r="F12" s="37">
        <f t="shared" si="1"/>
        <v>0</v>
      </c>
      <c r="G12" s="37">
        <f t="shared" si="1"/>
        <v>1</v>
      </c>
      <c r="H12" s="75">
        <f>100/TBL_Gesamt[[#This Row],[LLP max]]*TBL_Gesamt[[#This Row],[LLP total]]/100</f>
        <v>0</v>
      </c>
      <c r="J12"/>
      <c r="L12" s="35"/>
    </row>
    <row r="13" spans="1:13" x14ac:dyDescent="0.25">
      <c r="A13" s="5" t="s">
        <v>18</v>
      </c>
      <c r="B13" s="5" t="s">
        <v>19</v>
      </c>
      <c r="C13" s="43"/>
      <c r="D13" s="9">
        <v>2</v>
      </c>
      <c r="E13" s="36">
        <f>SUM(E7:E8,E9:E12)</f>
        <v>4000</v>
      </c>
      <c r="F13" s="38">
        <f>SUM(F7:F8,F9:F12)</f>
        <v>0</v>
      </c>
      <c r="G13" s="38">
        <f>AVERAGE(G7:G12)</f>
        <v>1</v>
      </c>
      <c r="H13" s="76">
        <f>100/TBL_Gesamt[[#This Row],[LLP max]]*TBL_Gesamt[[#This Row],[LLP total]]/100</f>
        <v>0</v>
      </c>
      <c r="J13"/>
      <c r="L13" s="35"/>
    </row>
    <row r="15" spans="1:13" x14ac:dyDescent="0.25">
      <c r="A15" t="s">
        <v>20</v>
      </c>
      <c r="B15" t="s">
        <v>2</v>
      </c>
      <c r="C15" t="s">
        <v>21</v>
      </c>
      <c r="D15" s="9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22</v>
      </c>
      <c r="J15" t="s">
        <v>23</v>
      </c>
      <c r="K15" t="s">
        <v>24</v>
      </c>
      <c r="L15" t="s">
        <v>25</v>
      </c>
      <c r="M15" s="35" t="s">
        <v>26</v>
      </c>
    </row>
    <row r="16" spans="1:13" x14ac:dyDescent="0.25">
      <c r="A16" t="s">
        <v>27</v>
      </c>
      <c r="B16" t="s">
        <v>28</v>
      </c>
      <c r="C16" s="9" t="str">
        <f>VLOOKUP(TBL_Ü_Grund[[#This Row],[Grundfächer]],TBL_Grundstudium[#All],3,FALSE)</f>
        <v>GS</v>
      </c>
      <c r="D16" s="9">
        <f>VLOOKUP(TBL_Ü_Grund[[#This Row],[Grundfächer]],TBL_Grundstudium[#All],4,FALSE)</f>
        <v>1</v>
      </c>
      <c r="E16" s="9">
        <f>VLOOKUP(TBL_Ü_Grund[[#This Row],[Grundfächer]],TBL_Grundstudium[#All],5,FALSE)</f>
        <v>72</v>
      </c>
      <c r="F16" s="37">
        <f>VLOOKUP(TBL_Ü_Grund[[#This Row],[Grundfächer]],TBL_Grundstudium[#All],8,FALSE)</f>
        <v>0</v>
      </c>
      <c r="G16" s="9">
        <f>VLOOKUP(TBL_Ü_Grund[[#This Row],[Grundfächer]],TBL_Grundstudium[#All],7,FALSE)</f>
        <v>1</v>
      </c>
      <c r="H16" s="49">
        <f>100/TBL_Ü_Grund[[#This Row],[LLP max]]*TBL_Ü_Grund[[#This Row],[LLP total]]/100</f>
        <v>0</v>
      </c>
      <c r="I16" s="9">
        <f>VLOOKUP(TBL_Ü_Grund[[#This Row],[Grundfächer]],TBL_Grundstudium[#All],10,FALSE)</f>
        <v>0</v>
      </c>
      <c r="J16" s="9">
        <f>VLOOKUP(TBL_Ü_Grund[[#This Row],[Grundfächer]],TBL_Grundstudium[#All],12,FALSE)</f>
        <v>0</v>
      </c>
      <c r="K16" s="9">
        <f>VLOOKUP(TBL_Ü_Grund[[#This Row],[Grundfächer]],TBL_Grundstudium[#All],14,FALSE)</f>
        <v>0</v>
      </c>
      <c r="L16" s="44" t="s">
        <v>29</v>
      </c>
      <c r="M16" s="45"/>
    </row>
    <row r="17" spans="1:13" x14ac:dyDescent="0.25">
      <c r="A17" t="s">
        <v>30</v>
      </c>
      <c r="B17" t="s">
        <v>31</v>
      </c>
      <c r="C17" s="9" t="str">
        <f>VLOOKUP(TBL_Ü_Grund[[#This Row],[Grundfächer]],TBL_Grundstudium[#All],3,FALSE)</f>
        <v>GS</v>
      </c>
      <c r="D17" s="9">
        <f>VLOOKUP(TBL_Ü_Grund[[#This Row],[Grundfächer]],TBL_Grundstudium[#All],4,FALSE)</f>
        <v>1</v>
      </c>
      <c r="E17" s="9">
        <f>VLOOKUP(TBL_Ü_Grund[[#This Row],[Grundfächer]],TBL_Grundstudium[#All],5,FALSE)</f>
        <v>144</v>
      </c>
      <c r="F17" s="37">
        <f>VLOOKUP(TBL_Ü_Grund[[#This Row],[Grundfächer]],TBL_Grundstudium[#All],8,FALSE)</f>
        <v>0</v>
      </c>
      <c r="G17" s="9">
        <f>VLOOKUP(TBL_Ü_Grund[[#This Row],[Grundfächer]],TBL_Grundstudium[#All],7,FALSE)</f>
        <v>1</v>
      </c>
      <c r="H17" s="49">
        <f>100/TBL_Ü_Grund[[#This Row],[LLP max]]*TBL_Ü_Grund[[#This Row],[LLP total]]/100</f>
        <v>0</v>
      </c>
      <c r="I17" s="9">
        <f>VLOOKUP(TBL_Ü_Grund[[#This Row],[Grundfächer]],TBL_Grundstudium[#All],10,FALSE)</f>
        <v>0</v>
      </c>
      <c r="J17" s="9">
        <f>VLOOKUP(TBL_Ü_Grund[[#This Row],[Grundfächer]],TBL_Grundstudium[#All],12,FALSE)</f>
        <v>0</v>
      </c>
      <c r="K17" s="9">
        <f>VLOOKUP(TBL_Ü_Grund[[#This Row],[Grundfächer]],TBL_Grundstudium[#All],14,FALSE)</f>
        <v>0</v>
      </c>
      <c r="L17" s="44" t="s">
        <v>32</v>
      </c>
      <c r="M17" s="46"/>
    </row>
    <row r="18" spans="1:13" x14ac:dyDescent="0.25">
      <c r="A18" t="s">
        <v>33</v>
      </c>
      <c r="B18" t="s">
        <v>34</v>
      </c>
      <c r="C18" s="9" t="str">
        <f>VLOOKUP(TBL_Ü_Grund[[#This Row],[Grundfächer]],TBL_Grundstudium[#All],3,FALSE)</f>
        <v>GS</v>
      </c>
      <c r="D18" s="9">
        <f>VLOOKUP(TBL_Ü_Grund[[#This Row],[Grundfächer]],TBL_Grundstudium[#All],4,FALSE)</f>
        <v>1</v>
      </c>
      <c r="E18" s="9">
        <f>VLOOKUP(TBL_Ü_Grund[[#This Row],[Grundfächer]],TBL_Grundstudium[#All],5,FALSE)</f>
        <v>144</v>
      </c>
      <c r="F18" s="37">
        <f>VLOOKUP(TBL_Ü_Grund[[#This Row],[Grundfächer]],TBL_Grundstudium[#All],8,FALSE)</f>
        <v>0</v>
      </c>
      <c r="G18" s="9">
        <f>VLOOKUP(TBL_Ü_Grund[[#This Row],[Grundfächer]],TBL_Grundstudium[#All],7,FALSE)</f>
        <v>1</v>
      </c>
      <c r="H18" s="49">
        <f>100/TBL_Ü_Grund[[#This Row],[LLP max]]*TBL_Ü_Grund[[#This Row],[LLP total]]/100</f>
        <v>0</v>
      </c>
      <c r="I18" s="9">
        <f>VLOOKUP(TBL_Ü_Grund[[#This Row],[Grundfächer]],TBL_Grundstudium[#All],10,FALSE)</f>
        <v>0</v>
      </c>
      <c r="J18" s="9">
        <f>VLOOKUP(TBL_Ü_Grund[[#This Row],[Grundfächer]],TBL_Grundstudium[#All],12,FALSE)</f>
        <v>0</v>
      </c>
      <c r="K18" s="9">
        <f>VLOOKUP(TBL_Ü_Grund[[#This Row],[Grundfächer]],TBL_Grundstudium[#All],14,FALSE)</f>
        <v>0</v>
      </c>
      <c r="L18" s="44"/>
      <c r="M18" s="46"/>
    </row>
    <row r="19" spans="1:13" x14ac:dyDescent="0.25">
      <c r="A19" t="s">
        <v>35</v>
      </c>
      <c r="B19" t="s">
        <v>36</v>
      </c>
      <c r="C19" s="9" t="str">
        <f>VLOOKUP(TBL_Ü_Grund[[#This Row],[Grundfächer]],TBL_Grundstudium[#All],3,FALSE)</f>
        <v>GS</v>
      </c>
      <c r="D19" s="9">
        <f>VLOOKUP(TBL_Ü_Grund[[#This Row],[Grundfächer]],TBL_Grundstudium[#All],4,FALSE)</f>
        <v>1</v>
      </c>
      <c r="E19" s="9">
        <f>VLOOKUP(TBL_Ü_Grund[[#This Row],[Grundfächer]],TBL_Grundstudium[#All],5,FALSE)</f>
        <v>72</v>
      </c>
      <c r="F19" s="37">
        <f>VLOOKUP(TBL_Ü_Grund[[#This Row],[Grundfächer]],TBL_Grundstudium[#All],8,FALSE)</f>
        <v>0</v>
      </c>
      <c r="G19" s="9">
        <f>VLOOKUP(TBL_Ü_Grund[[#This Row],[Grundfächer]],TBL_Grundstudium[#All],7,FALSE)</f>
        <v>1</v>
      </c>
      <c r="H19" s="49">
        <f>100/TBL_Ü_Grund[[#This Row],[LLP max]]*TBL_Ü_Grund[[#This Row],[LLP total]]/100</f>
        <v>0</v>
      </c>
      <c r="I19" s="9">
        <f>VLOOKUP(TBL_Ü_Grund[[#This Row],[Grundfächer]],TBL_Grundstudium[#All],10,FALSE)</f>
        <v>0</v>
      </c>
      <c r="J19" s="9">
        <f>VLOOKUP(TBL_Ü_Grund[[#This Row],[Grundfächer]],TBL_Grundstudium[#All],12,FALSE)</f>
        <v>0</v>
      </c>
      <c r="K19" s="9">
        <f>VLOOKUP(TBL_Ü_Grund[[#This Row],[Grundfächer]],TBL_Grundstudium[#All],14,FALSE)</f>
        <v>0</v>
      </c>
      <c r="L19" s="44"/>
      <c r="M19" s="46"/>
    </row>
    <row r="20" spans="1:13" x14ac:dyDescent="0.25">
      <c r="A20" t="s">
        <v>37</v>
      </c>
      <c r="B20" t="s">
        <v>38</v>
      </c>
      <c r="C20" s="9" t="str">
        <f>VLOOKUP(TBL_Ü_Grund[[#This Row],[Grundfächer]],TBL_Grundstudium[#All],3,FALSE)</f>
        <v>GS</v>
      </c>
      <c r="D20" s="9">
        <f>VLOOKUP(TBL_Ü_Grund[[#This Row],[Grundfächer]],TBL_Grundstudium[#All],4,FALSE)</f>
        <v>1</v>
      </c>
      <c r="E20" s="9">
        <f>VLOOKUP(TBL_Ü_Grund[[#This Row],[Grundfächer]],TBL_Grundstudium[#All],5,FALSE)</f>
        <v>144</v>
      </c>
      <c r="F20" s="37">
        <f>VLOOKUP(TBL_Ü_Grund[[#This Row],[Grundfächer]],TBL_Grundstudium[#All],8,FALSE)</f>
        <v>0</v>
      </c>
      <c r="G20" s="9">
        <f>VLOOKUP(TBL_Ü_Grund[[#This Row],[Grundfächer]],TBL_Grundstudium[#All],7,FALSE)</f>
        <v>1</v>
      </c>
      <c r="H20" s="49">
        <f>100/TBL_Ü_Grund[[#This Row],[LLP max]]*TBL_Ü_Grund[[#This Row],[LLP total]]/100</f>
        <v>0</v>
      </c>
      <c r="I20" s="9">
        <f>VLOOKUP(TBL_Ü_Grund[[#This Row],[Grundfächer]],TBL_Grundstudium[#All],10,FALSE)</f>
        <v>0</v>
      </c>
      <c r="J20" s="9">
        <f>VLOOKUP(TBL_Ü_Grund[[#This Row],[Grundfächer]],TBL_Grundstudium[#All],12,FALSE)</f>
        <v>0</v>
      </c>
      <c r="K20" s="9">
        <f>VLOOKUP(TBL_Ü_Grund[[#This Row],[Grundfächer]],TBL_Grundstudium[#All],14,FALSE)</f>
        <v>0</v>
      </c>
      <c r="L20" s="44"/>
      <c r="M20" s="46"/>
    </row>
    <row r="21" spans="1:13" x14ac:dyDescent="0.25">
      <c r="A21" t="s">
        <v>39</v>
      </c>
      <c r="B21" t="s">
        <v>40</v>
      </c>
      <c r="C21" s="9" t="str">
        <f>VLOOKUP(TBL_Ü_Grund[[#This Row],[Grundfächer]],TBL_Grundstudium[#All],3,FALSE)</f>
        <v>GS</v>
      </c>
      <c r="D21" s="9">
        <f>VLOOKUP(TBL_Ü_Grund[[#This Row],[Grundfächer]],TBL_Grundstudium[#All],4,FALSE)</f>
        <v>1</v>
      </c>
      <c r="E21" s="9">
        <f>VLOOKUP(TBL_Ü_Grund[[#This Row],[Grundfächer]],TBL_Grundstudium[#All],5,FALSE)</f>
        <v>144</v>
      </c>
      <c r="F21" s="37">
        <f>VLOOKUP(TBL_Ü_Grund[[#This Row],[Grundfächer]],TBL_Grundstudium[#All],8,FALSE)</f>
        <v>0</v>
      </c>
      <c r="G21" s="9">
        <f>VLOOKUP(TBL_Ü_Grund[[#This Row],[Grundfächer]],TBL_Grundstudium[#All],7,FALSE)</f>
        <v>1</v>
      </c>
      <c r="H21" s="49">
        <f>100/TBL_Ü_Grund[[#This Row],[LLP max]]*TBL_Ü_Grund[[#This Row],[LLP total]]/100</f>
        <v>0</v>
      </c>
      <c r="I21" s="9">
        <f>VLOOKUP(TBL_Ü_Grund[[#This Row],[Grundfächer]],TBL_Grundstudium[#All],10,FALSE)</f>
        <v>0</v>
      </c>
      <c r="J21" s="9">
        <f>VLOOKUP(TBL_Ü_Grund[[#This Row],[Grundfächer]],TBL_Grundstudium[#All],12,FALSE)</f>
        <v>0</v>
      </c>
      <c r="K21" s="9">
        <f>VLOOKUP(TBL_Ü_Grund[[#This Row],[Grundfächer]],TBL_Grundstudium[#All],14,FALSE)</f>
        <v>0</v>
      </c>
      <c r="L21" s="44"/>
      <c r="M21" s="46"/>
    </row>
    <row r="22" spans="1:13" x14ac:dyDescent="0.25">
      <c r="A22" t="s">
        <v>41</v>
      </c>
      <c r="B22" t="s">
        <v>42</v>
      </c>
      <c r="C22" s="9" t="str">
        <f>VLOOKUP(TBL_Ü_Grund[[#This Row],[Grundfächer]],TBL_Grundstudium[#All],3,FALSE)</f>
        <v>GS</v>
      </c>
      <c r="D22" s="9">
        <f>VLOOKUP(TBL_Ü_Grund[[#This Row],[Grundfächer]],TBL_Grundstudium[#All],4,FALSE)</f>
        <v>1</v>
      </c>
      <c r="E22" s="9">
        <f>VLOOKUP(TBL_Ü_Grund[[#This Row],[Grundfächer]],TBL_Grundstudium[#All],5,FALSE)</f>
        <v>72</v>
      </c>
      <c r="F22" s="37">
        <f>VLOOKUP(TBL_Ü_Grund[[#This Row],[Grundfächer]],TBL_Grundstudium[#All],8,FALSE)</f>
        <v>0</v>
      </c>
      <c r="G22" s="9">
        <f>VLOOKUP(TBL_Ü_Grund[[#This Row],[Grundfächer]],TBL_Grundstudium[#All],7,FALSE)</f>
        <v>1</v>
      </c>
      <c r="H22" s="49">
        <f>100/TBL_Ü_Grund[[#This Row],[LLP max]]*TBL_Ü_Grund[[#This Row],[LLP total]]/100</f>
        <v>0</v>
      </c>
      <c r="I22" s="9">
        <f>VLOOKUP(TBL_Ü_Grund[[#This Row],[Grundfächer]],TBL_Grundstudium[#All],10,FALSE)</f>
        <v>0</v>
      </c>
      <c r="J22" s="9">
        <f>VLOOKUP(TBL_Ü_Grund[[#This Row],[Grundfächer]],TBL_Grundstudium[#All],12,FALSE)</f>
        <v>0</v>
      </c>
      <c r="K22" s="9">
        <f>VLOOKUP(TBL_Ü_Grund[[#This Row],[Grundfächer]],TBL_Grundstudium[#All],14,FALSE)</f>
        <v>0</v>
      </c>
      <c r="L22" s="44"/>
      <c r="M22" s="46"/>
    </row>
    <row r="23" spans="1:13" x14ac:dyDescent="0.25">
      <c r="A23" t="s">
        <v>43</v>
      </c>
      <c r="B23" t="s">
        <v>44</v>
      </c>
      <c r="C23" s="9" t="str">
        <f>VLOOKUP(TBL_Ü_Grund[[#This Row],[Grundfächer]],TBL_Grundstudium[#All],3,FALSE)</f>
        <v>GS</v>
      </c>
      <c r="D23" s="9">
        <f>VLOOKUP(TBL_Ü_Grund[[#This Row],[Grundfächer]],TBL_Grundstudium[#All],4,FALSE)</f>
        <v>1</v>
      </c>
      <c r="E23" s="9">
        <f>VLOOKUP(TBL_Ü_Grund[[#This Row],[Grundfächer]],TBL_Grundstudium[#All],5,FALSE)</f>
        <v>72</v>
      </c>
      <c r="F23" s="37">
        <f>VLOOKUP(TBL_Ü_Grund[[#This Row],[Grundfächer]],TBL_Grundstudium[#All],8,FALSE)</f>
        <v>0</v>
      </c>
      <c r="G23" s="9">
        <f>VLOOKUP(TBL_Ü_Grund[[#This Row],[Grundfächer]],TBL_Grundstudium[#All],7,FALSE)</f>
        <v>1</v>
      </c>
      <c r="H23" s="49">
        <f>100/TBL_Ü_Grund[[#This Row],[LLP max]]*TBL_Ü_Grund[[#This Row],[LLP total]]/100</f>
        <v>0</v>
      </c>
      <c r="I23" s="9">
        <f>VLOOKUP(TBL_Ü_Grund[[#This Row],[Grundfächer]],TBL_Grundstudium[#All],10,FALSE)</f>
        <v>0</v>
      </c>
      <c r="J23" s="9">
        <f>VLOOKUP(TBL_Ü_Grund[[#This Row],[Grundfächer]],TBL_Grundstudium[#All],12,FALSE)</f>
        <v>0</v>
      </c>
      <c r="K23" s="9">
        <f>VLOOKUP(TBL_Ü_Grund[[#This Row],[Grundfächer]],TBL_Grundstudium[#All],14,FALSE)</f>
        <v>0</v>
      </c>
      <c r="L23" s="44"/>
      <c r="M23" s="46"/>
    </row>
    <row r="24" spans="1:13" x14ac:dyDescent="0.25">
      <c r="A24" t="s">
        <v>45</v>
      </c>
      <c r="B24" t="s">
        <v>46</v>
      </c>
      <c r="C24" s="9" t="str">
        <f>VLOOKUP(TBL_Ü_Grund[[#This Row],[Grundfächer]],TBL_Grundstudium[#All],3,FALSE)</f>
        <v>GS</v>
      </c>
      <c r="D24" s="9">
        <f>VLOOKUP(TBL_Ü_Grund[[#This Row],[Grundfächer]],TBL_Grundstudium[#All],4,FALSE)</f>
        <v>1</v>
      </c>
      <c r="E24" s="9">
        <f>VLOOKUP(TBL_Ü_Grund[[#This Row],[Grundfächer]],TBL_Grundstudium[#All],5,FALSE)</f>
        <v>72</v>
      </c>
      <c r="F24" s="37">
        <f>VLOOKUP(TBL_Ü_Grund[[#This Row],[Grundfächer]],TBL_Grundstudium[#All],8,FALSE)</f>
        <v>0</v>
      </c>
      <c r="G24" s="9">
        <f>VLOOKUP(TBL_Ü_Grund[[#This Row],[Grundfächer]],TBL_Grundstudium[#All],7,FALSE)</f>
        <v>1</v>
      </c>
      <c r="H24" s="49">
        <f>100/TBL_Ü_Grund[[#This Row],[LLP max]]*TBL_Ü_Grund[[#This Row],[LLP total]]/100</f>
        <v>0</v>
      </c>
      <c r="I24" s="9">
        <f>VLOOKUP(TBL_Ü_Grund[[#This Row],[Grundfächer]],TBL_Grundstudium[#All],10,FALSE)</f>
        <v>0</v>
      </c>
      <c r="J24" s="9">
        <f>VLOOKUP(TBL_Ü_Grund[[#This Row],[Grundfächer]],TBL_Grundstudium[#All],12,FALSE)</f>
        <v>0</v>
      </c>
      <c r="K24" s="9">
        <f>VLOOKUP(TBL_Ü_Grund[[#This Row],[Grundfächer]],TBL_Grundstudium[#All],14,FALSE)</f>
        <v>0</v>
      </c>
      <c r="L24" s="44"/>
      <c r="M24" s="46"/>
    </row>
    <row r="25" spans="1:13" x14ac:dyDescent="0.25">
      <c r="A25" t="s">
        <v>47</v>
      </c>
      <c r="B25" t="s">
        <v>48</v>
      </c>
      <c r="C25" s="9" t="str">
        <f>VLOOKUP(TBL_Ü_Grund[[#This Row],[Grundfächer]],TBL_Grundstudium[#All],3,FALSE)</f>
        <v>GS</v>
      </c>
      <c r="D25" s="9">
        <f>VLOOKUP(TBL_Ü_Grund[[#This Row],[Grundfächer]],TBL_Grundstudium[#All],4,FALSE)</f>
        <v>1</v>
      </c>
      <c r="E25" s="9">
        <f>VLOOKUP(TBL_Ü_Grund[[#This Row],[Grundfächer]],TBL_Grundstudium[#All],5,FALSE)</f>
        <v>72</v>
      </c>
      <c r="F25" s="37">
        <f>VLOOKUP(TBL_Ü_Grund[[#This Row],[Grundfächer]],TBL_Grundstudium[#All],8,FALSE)</f>
        <v>0</v>
      </c>
      <c r="G25" s="9">
        <f>VLOOKUP(TBL_Ü_Grund[[#This Row],[Grundfächer]],TBL_Grundstudium[#All],7,FALSE)</f>
        <v>1</v>
      </c>
      <c r="H25" s="49">
        <f>100/TBL_Ü_Grund[[#This Row],[LLP max]]*TBL_Ü_Grund[[#This Row],[LLP total]]/100</f>
        <v>0</v>
      </c>
      <c r="I25" s="9">
        <f>VLOOKUP(TBL_Ü_Grund[[#This Row],[Grundfächer]],TBL_Grundstudium[#All],10,FALSE)</f>
        <v>0</v>
      </c>
      <c r="J25" s="9">
        <f>VLOOKUP(TBL_Ü_Grund[[#This Row],[Grundfächer]],TBL_Grundstudium[#All],12,FALSE)</f>
        <v>0</v>
      </c>
      <c r="K25" s="9">
        <f>VLOOKUP(TBL_Ü_Grund[[#This Row],[Grundfächer]],TBL_Grundstudium[#All],14,FALSE)</f>
        <v>0</v>
      </c>
      <c r="L25" s="44"/>
      <c r="M25" s="46"/>
    </row>
    <row r="26" spans="1:13" x14ac:dyDescent="0.25">
      <c r="A26" t="s">
        <v>49</v>
      </c>
      <c r="B26" t="s">
        <v>50</v>
      </c>
      <c r="C26" s="9" t="str">
        <f>VLOOKUP(TBL_Ü_Grund[[#This Row],[Grundfächer]],TBL_Grundstudium[#All],3,FALSE)</f>
        <v>HS</v>
      </c>
      <c r="D26" s="9">
        <f>VLOOKUP(TBL_Ü_Grund[[#This Row],[Grundfächer]],TBL_Grundstudium[#All],4,FALSE)</f>
        <v>1</v>
      </c>
      <c r="E26" s="9">
        <f>VLOOKUP(TBL_Ü_Grund[[#This Row],[Grundfächer]],TBL_Grundstudium[#All],5,FALSE)</f>
        <v>144</v>
      </c>
      <c r="F26" s="37">
        <f>VLOOKUP(TBL_Ü_Grund[[#This Row],[Grundfächer]],TBL_Grundstudium[#All],8,FALSE)</f>
        <v>0</v>
      </c>
      <c r="G26" s="9">
        <f>VLOOKUP(TBL_Ü_Grund[[#This Row],[Grundfächer]],TBL_Grundstudium[#All],7,FALSE)</f>
        <v>1</v>
      </c>
      <c r="H26" s="49">
        <f>100/TBL_Ü_Grund[[#This Row],[LLP max]]*TBL_Ü_Grund[[#This Row],[LLP total]]/100</f>
        <v>0</v>
      </c>
      <c r="I26" s="9">
        <f>VLOOKUP(TBL_Ü_Grund[[#This Row],[Grundfächer]],TBL_Grundstudium[#All],10,FALSE)</f>
        <v>0</v>
      </c>
      <c r="J26" s="9">
        <f>VLOOKUP(TBL_Ü_Grund[[#This Row],[Grundfächer]],TBL_Grundstudium[#All],12,FALSE)</f>
        <v>0</v>
      </c>
      <c r="K26" s="9">
        <f>VLOOKUP(TBL_Ü_Grund[[#This Row],[Grundfächer]],TBL_Grundstudium[#All],14,FALSE)</f>
        <v>0</v>
      </c>
      <c r="L26" s="44"/>
      <c r="M26" s="46"/>
    </row>
    <row r="27" spans="1:13" x14ac:dyDescent="0.25">
      <c r="A27" t="s">
        <v>51</v>
      </c>
      <c r="B27" t="s">
        <v>52</v>
      </c>
      <c r="C27" s="9" t="str">
        <f>VLOOKUP(TBL_Ü_Grund[[#This Row],[Grundfächer]],TBL_Grundstudium[#All],3,FALSE)</f>
        <v>HS</v>
      </c>
      <c r="D27" s="9">
        <f>VLOOKUP(TBL_Ü_Grund[[#This Row],[Grundfächer]],TBL_Grundstudium[#All],4,FALSE)</f>
        <v>1</v>
      </c>
      <c r="E27" s="9">
        <f>VLOOKUP(TBL_Ü_Grund[[#This Row],[Grundfächer]],TBL_Grundstudium[#All],5,FALSE)</f>
        <v>144</v>
      </c>
      <c r="F27" s="37">
        <f>VLOOKUP(TBL_Ü_Grund[[#This Row],[Grundfächer]],TBL_Grundstudium[#All],8,FALSE)</f>
        <v>0</v>
      </c>
      <c r="G27" s="9">
        <f>VLOOKUP(TBL_Ü_Grund[[#This Row],[Grundfächer]],TBL_Grundstudium[#All],7,FALSE)</f>
        <v>1</v>
      </c>
      <c r="H27" s="49">
        <f>100/TBL_Ü_Grund[[#This Row],[LLP max]]*TBL_Ü_Grund[[#This Row],[LLP total]]/100</f>
        <v>0</v>
      </c>
      <c r="I27" s="9">
        <f>VLOOKUP(TBL_Ü_Grund[[#This Row],[Grundfächer]],TBL_Grundstudium[#All],10,FALSE)</f>
        <v>0</v>
      </c>
      <c r="J27" s="9">
        <f>VLOOKUP(TBL_Ü_Grund[[#This Row],[Grundfächer]],TBL_Grundstudium[#All],12,FALSE)</f>
        <v>0</v>
      </c>
      <c r="K27" s="9">
        <f>VLOOKUP(TBL_Ü_Grund[[#This Row],[Grundfächer]],TBL_Grundstudium[#All],14,FALSE)</f>
        <v>0</v>
      </c>
      <c r="L27" s="44"/>
      <c r="M27" s="46"/>
    </row>
    <row r="28" spans="1:13" x14ac:dyDescent="0.25">
      <c r="A28" t="s">
        <v>53</v>
      </c>
      <c r="B28" t="s">
        <v>54</v>
      </c>
      <c r="C28" s="9" t="str">
        <f>VLOOKUP(TBL_Ü_Grund[[#This Row],[Grundfächer]],TBL_Grundstudium[#All],3,FALSE)</f>
        <v>HS</v>
      </c>
      <c r="D28" s="9">
        <f>VLOOKUP(TBL_Ü_Grund[[#This Row],[Grundfächer]],TBL_Grundstudium[#All],4,FALSE)</f>
        <v>1</v>
      </c>
      <c r="E28" s="9">
        <f>VLOOKUP(TBL_Ü_Grund[[#This Row],[Grundfächer]],TBL_Grundstudium[#All],5,FALSE)</f>
        <v>72</v>
      </c>
      <c r="F28" s="37">
        <f>VLOOKUP(TBL_Ü_Grund[[#This Row],[Grundfächer]],TBL_Grundstudium[#All],8,FALSE)</f>
        <v>0</v>
      </c>
      <c r="G28" s="9">
        <f>VLOOKUP(TBL_Ü_Grund[[#This Row],[Grundfächer]],TBL_Grundstudium[#All],7,FALSE)</f>
        <v>1</v>
      </c>
      <c r="H28" s="49">
        <f>100/TBL_Ü_Grund[[#This Row],[LLP max]]*TBL_Ü_Grund[[#This Row],[LLP total]]/100</f>
        <v>0</v>
      </c>
      <c r="I28" s="9">
        <f>VLOOKUP(TBL_Ü_Grund[[#This Row],[Grundfächer]],TBL_Grundstudium[#All],10,FALSE)</f>
        <v>0</v>
      </c>
      <c r="J28" s="9">
        <f>VLOOKUP(TBL_Ü_Grund[[#This Row],[Grundfächer]],TBL_Grundstudium[#All],12,FALSE)</f>
        <v>0</v>
      </c>
      <c r="K28" s="9">
        <f>VLOOKUP(TBL_Ü_Grund[[#This Row],[Grundfächer]],TBL_Grundstudium[#All],14,FALSE)</f>
        <v>0</v>
      </c>
      <c r="L28" s="44"/>
      <c r="M28" s="46"/>
    </row>
    <row r="30" spans="1:13" x14ac:dyDescent="0.25">
      <c r="A30" t="s">
        <v>55</v>
      </c>
      <c r="B30" t="s">
        <v>2</v>
      </c>
      <c r="C30" t="s">
        <v>21</v>
      </c>
      <c r="D30" s="9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22</v>
      </c>
      <c r="J30" t="s">
        <v>23</v>
      </c>
      <c r="K30" t="s">
        <v>24</v>
      </c>
      <c r="L30" t="s">
        <v>25</v>
      </c>
      <c r="M30" s="35" t="s">
        <v>26</v>
      </c>
    </row>
    <row r="31" spans="1:13" x14ac:dyDescent="0.25">
      <c r="A31" t="s">
        <v>56</v>
      </c>
      <c r="B31" t="s">
        <v>57</v>
      </c>
      <c r="C31" s="9" t="str">
        <f>VLOOKUP(TBL_Ü_Kommunikation[[#This Row],[Kommunikation &amp; Führung]],TBL_Kommunikation[#All],3,FALSE)</f>
        <v>GS</v>
      </c>
      <c r="D31" s="9">
        <f>VLOOKUP(TBL_Ü_Kommunikation[[#This Row],[Kommunikation &amp; Führung]],TBL_Kommunikation[#All],4,FALSE)</f>
        <v>1</v>
      </c>
      <c r="E31" s="9">
        <f>VLOOKUP(TBL_Ü_Kommunikation[[#This Row],[Kommunikation &amp; Führung]],TBL_Kommunikation[#All],5,FALSE)</f>
        <v>144</v>
      </c>
      <c r="F31" s="37">
        <f>VLOOKUP(TBL_Ü_Kommunikation[[#This Row],[Kommunikation &amp; Führung]],TBL_Kommunikation[#All],8,FALSE)</f>
        <v>0</v>
      </c>
      <c r="G31" s="9">
        <f>VLOOKUP(TBL_Ü_Kommunikation[[#This Row],[Kommunikation &amp; Führung]],TBL_Kommunikation[#All],7,FALSE)</f>
        <v>1</v>
      </c>
      <c r="H31" s="49">
        <f>100/TBL_Ü_Kommunikation[[#This Row],[LLP max]]*TBL_Ü_Kommunikation[[#This Row],[LLP total]]/100</f>
        <v>0</v>
      </c>
      <c r="I31" s="9">
        <f>VLOOKUP(TBL_Ü_Kommunikation[[#This Row],[Kommunikation &amp; Führung]],TBL_Kommunikation[#All],10,FALSE)</f>
        <v>0</v>
      </c>
      <c r="J31" s="9">
        <f>VLOOKUP(TBL_Ü_Kommunikation[[#This Row],[Kommunikation &amp; Führung]],TBL_Kommunikation[#All],12,FALSE)</f>
        <v>0</v>
      </c>
      <c r="K31" s="9">
        <f>VLOOKUP(TBL_Ü_Kommunikation[[#This Row],[Kommunikation &amp; Führung]],TBL_Kommunikation[#All],14,FALSE)</f>
        <v>0</v>
      </c>
      <c r="L31" s="44"/>
      <c r="M31" s="47"/>
    </row>
    <row r="32" spans="1:13" x14ac:dyDescent="0.25">
      <c r="A32" t="s">
        <v>58</v>
      </c>
      <c r="B32" t="s">
        <v>59</v>
      </c>
      <c r="C32" s="9" t="str">
        <f>VLOOKUP(TBL_Ü_Kommunikation[[#This Row],[Kommunikation &amp; Führung]],TBL_Kommunikation[#All],3,FALSE)</f>
        <v>GS</v>
      </c>
      <c r="D32" s="9">
        <f>VLOOKUP(TBL_Ü_Kommunikation[[#This Row],[Kommunikation &amp; Führung]],TBL_Kommunikation[#All],4,FALSE)</f>
        <v>1</v>
      </c>
      <c r="E32" s="9">
        <f>VLOOKUP(TBL_Ü_Kommunikation[[#This Row],[Kommunikation &amp; Führung]],TBL_Kommunikation[#All],5,FALSE)</f>
        <v>144</v>
      </c>
      <c r="F32" s="37">
        <f>VLOOKUP(TBL_Ü_Kommunikation[[#This Row],[Kommunikation &amp; Führung]],TBL_Kommunikation[#All],8,FALSE)</f>
        <v>0</v>
      </c>
      <c r="G32" s="9">
        <f>VLOOKUP(TBL_Ü_Kommunikation[[#This Row],[Kommunikation &amp; Führung]],TBL_Kommunikation[#All],7,FALSE)</f>
        <v>1</v>
      </c>
      <c r="H32" s="49">
        <f>100/TBL_Ü_Kommunikation[[#This Row],[LLP max]]*TBL_Ü_Kommunikation[[#This Row],[LLP total]]/100</f>
        <v>0</v>
      </c>
      <c r="I32" s="9">
        <f>VLOOKUP(TBL_Ü_Kommunikation[[#This Row],[Kommunikation &amp; Führung]],TBL_Kommunikation[#All],10,FALSE)</f>
        <v>0</v>
      </c>
      <c r="J32" s="9">
        <f>VLOOKUP(TBL_Ü_Kommunikation[[#This Row],[Kommunikation &amp; Führung]],TBL_Kommunikation[#All],12,FALSE)</f>
        <v>0</v>
      </c>
      <c r="K32" s="9">
        <f>VLOOKUP(TBL_Ü_Kommunikation[[#This Row],[Kommunikation &amp; Führung]],TBL_Kommunikation[#All],14,FALSE)</f>
        <v>0</v>
      </c>
      <c r="L32" s="44"/>
      <c r="M32" s="47"/>
    </row>
    <row r="33" spans="1:14" x14ac:dyDescent="0.25">
      <c r="A33" t="s">
        <v>60</v>
      </c>
      <c r="B33" t="s">
        <v>61</v>
      </c>
      <c r="C33" s="9" t="str">
        <f>VLOOKUP(TBL_Ü_Kommunikation[[#This Row],[Kommunikation &amp; Führung]],TBL_Kommunikation[#All],3,FALSE)</f>
        <v>HS</v>
      </c>
      <c r="D33" s="9">
        <f>VLOOKUP(TBL_Ü_Kommunikation[[#This Row],[Kommunikation &amp; Führung]],TBL_Kommunikation[#All],4,FALSE)</f>
        <v>1</v>
      </c>
      <c r="E33" s="9">
        <f>VLOOKUP(TBL_Ü_Kommunikation[[#This Row],[Kommunikation &amp; Führung]],TBL_Kommunikation[#All],5,FALSE)</f>
        <v>72</v>
      </c>
      <c r="F33" s="37">
        <f>VLOOKUP(TBL_Ü_Kommunikation[[#This Row],[Kommunikation &amp; Führung]],TBL_Kommunikation[#All],8,FALSE)</f>
        <v>0</v>
      </c>
      <c r="G33" s="9">
        <f>VLOOKUP(TBL_Ü_Kommunikation[[#This Row],[Kommunikation &amp; Führung]],TBL_Kommunikation[#All],7,FALSE)</f>
        <v>1</v>
      </c>
      <c r="H33" s="49">
        <f>100/TBL_Ü_Kommunikation[[#This Row],[LLP max]]*TBL_Ü_Kommunikation[[#This Row],[LLP total]]/100</f>
        <v>0</v>
      </c>
      <c r="I33" s="9">
        <f>VLOOKUP(TBL_Ü_Kommunikation[[#This Row],[Kommunikation &amp; Führung]],TBL_Kommunikation[#All],10,FALSE)</f>
        <v>0</v>
      </c>
      <c r="J33" s="9">
        <f>VLOOKUP(TBL_Ü_Kommunikation[[#This Row],[Kommunikation &amp; Führung]],TBL_Kommunikation[#All],12,FALSE)</f>
        <v>0</v>
      </c>
      <c r="K33" s="9">
        <f>VLOOKUP(TBL_Ü_Kommunikation[[#This Row],[Kommunikation &amp; Führung]],TBL_Kommunikation[#All],14,FALSE)</f>
        <v>0</v>
      </c>
      <c r="L33" s="44"/>
      <c r="M33" s="47"/>
    </row>
    <row r="34" spans="1:14" x14ac:dyDescent="0.25">
      <c r="A34" t="s">
        <v>62</v>
      </c>
      <c r="B34" t="s">
        <v>63</v>
      </c>
      <c r="C34" s="9" t="str">
        <f>VLOOKUP(TBL_Ü_Kommunikation[[#This Row],[Kommunikation &amp; Führung]],TBL_Kommunikation[#All],3,FALSE)</f>
        <v>GS</v>
      </c>
      <c r="D34" s="9">
        <f>VLOOKUP(TBL_Ü_Kommunikation[[#This Row],[Kommunikation &amp; Führung]],TBL_Kommunikation[#All],4,FALSE)</f>
        <v>1</v>
      </c>
      <c r="E34" s="9">
        <f>VLOOKUP(TBL_Ü_Kommunikation[[#This Row],[Kommunikation &amp; Führung]],TBL_Kommunikation[#All],5,FALSE)</f>
        <v>72</v>
      </c>
      <c r="F34" s="37">
        <f>VLOOKUP(TBL_Ü_Kommunikation[[#This Row],[Kommunikation &amp; Führung]],TBL_Kommunikation[#All],8,FALSE)</f>
        <v>0</v>
      </c>
      <c r="G34" s="9">
        <f>VLOOKUP(TBL_Ü_Kommunikation[[#This Row],[Kommunikation &amp; Führung]],TBL_Kommunikation[#All],7,FALSE)</f>
        <v>1</v>
      </c>
      <c r="H34" s="49">
        <f>100/TBL_Ü_Kommunikation[[#This Row],[LLP max]]*TBL_Ü_Kommunikation[[#This Row],[LLP total]]/100</f>
        <v>0</v>
      </c>
      <c r="I34" s="9">
        <f>VLOOKUP(TBL_Ü_Kommunikation[[#This Row],[Kommunikation &amp; Führung]],TBL_Kommunikation[#All],10,FALSE)</f>
        <v>0</v>
      </c>
      <c r="J34" s="9">
        <f>VLOOKUP(TBL_Ü_Kommunikation[[#This Row],[Kommunikation &amp; Führung]],TBL_Kommunikation[#All],12,FALSE)</f>
        <v>0</v>
      </c>
      <c r="K34" s="9">
        <f>VLOOKUP(TBL_Ü_Kommunikation[[#This Row],[Kommunikation &amp; Führung]],TBL_Kommunikation[#All],14,FALSE)</f>
        <v>0</v>
      </c>
      <c r="L34" s="44"/>
      <c r="M34" s="47"/>
    </row>
    <row r="35" spans="1:14" x14ac:dyDescent="0.25">
      <c r="A35" t="s">
        <v>64</v>
      </c>
      <c r="B35" t="s">
        <v>65</v>
      </c>
      <c r="C35" s="9" t="str">
        <f>VLOOKUP(TBL_Ü_Kommunikation[[#This Row],[Kommunikation &amp; Führung]],TBL_Kommunikation[#All],3,FALSE)</f>
        <v>GS</v>
      </c>
      <c r="D35" s="9">
        <f>VLOOKUP(TBL_Ü_Kommunikation[[#This Row],[Kommunikation &amp; Führung]],TBL_Kommunikation[#All],4,FALSE)</f>
        <v>1</v>
      </c>
      <c r="E35" s="9">
        <f>VLOOKUP(TBL_Ü_Kommunikation[[#This Row],[Kommunikation &amp; Führung]],TBL_Kommunikation[#All],5,FALSE)</f>
        <v>72</v>
      </c>
      <c r="F35" s="37">
        <f>VLOOKUP(TBL_Ü_Kommunikation[[#This Row],[Kommunikation &amp; Führung]],TBL_Kommunikation[#All],8,FALSE)</f>
        <v>0</v>
      </c>
      <c r="G35" s="9">
        <f>VLOOKUP(TBL_Ü_Kommunikation[[#This Row],[Kommunikation &amp; Führung]],TBL_Kommunikation[#All],7,FALSE)</f>
        <v>1</v>
      </c>
      <c r="H35" s="49">
        <f>100/TBL_Ü_Kommunikation[[#This Row],[LLP max]]*TBL_Ü_Kommunikation[[#This Row],[LLP total]]/100</f>
        <v>0</v>
      </c>
      <c r="I35" s="9">
        <f>VLOOKUP(TBL_Ü_Kommunikation[[#This Row],[Kommunikation &amp; Führung]],TBL_Kommunikation[#All],10,FALSE)</f>
        <v>0</v>
      </c>
      <c r="J35" s="9">
        <f>VLOOKUP(TBL_Ü_Kommunikation[[#This Row],[Kommunikation &amp; Führung]],TBL_Kommunikation[#All],12,FALSE)</f>
        <v>0</v>
      </c>
      <c r="K35" s="9">
        <f>VLOOKUP(TBL_Ü_Kommunikation[[#This Row],[Kommunikation &amp; Führung]],TBL_Kommunikation[#All],14,FALSE)</f>
        <v>0</v>
      </c>
      <c r="L35" s="44"/>
      <c r="M35" s="47"/>
    </row>
    <row r="36" spans="1:14" x14ac:dyDescent="0.25">
      <c r="A36" t="s">
        <v>66</v>
      </c>
      <c r="B36" t="s">
        <v>67</v>
      </c>
      <c r="C36" s="9" t="str">
        <f>VLOOKUP(TBL_Ü_Kommunikation[[#This Row],[Kommunikation &amp; Führung]],TBL_Kommunikation[#All],3,FALSE)</f>
        <v>HS</v>
      </c>
      <c r="D36" s="9">
        <f>VLOOKUP(TBL_Ü_Kommunikation[[#This Row],[Kommunikation &amp; Führung]],TBL_Kommunikation[#All],4,FALSE)</f>
        <v>1</v>
      </c>
      <c r="E36" s="9">
        <f>VLOOKUP(TBL_Ü_Kommunikation[[#This Row],[Kommunikation &amp; Führung]],TBL_Kommunikation[#All],5,FALSE)</f>
        <v>72</v>
      </c>
      <c r="F36" s="37">
        <f>VLOOKUP(TBL_Ü_Kommunikation[[#This Row],[Kommunikation &amp; Führung]],TBL_Kommunikation[#All],8,FALSE)</f>
        <v>0</v>
      </c>
      <c r="G36" s="9">
        <f>VLOOKUP(TBL_Ü_Kommunikation[[#This Row],[Kommunikation &amp; Führung]],TBL_Kommunikation[#All],7,FALSE)</f>
        <v>1</v>
      </c>
      <c r="H36" s="49">
        <f>100/TBL_Ü_Kommunikation[[#This Row],[LLP max]]*TBL_Ü_Kommunikation[[#This Row],[LLP total]]/100</f>
        <v>0</v>
      </c>
      <c r="I36" s="9">
        <f>VLOOKUP(TBL_Ü_Kommunikation[[#This Row],[Kommunikation &amp; Führung]],TBL_Kommunikation[#All],10,FALSE)</f>
        <v>0</v>
      </c>
      <c r="J36" s="9">
        <f>VLOOKUP(TBL_Ü_Kommunikation[[#This Row],[Kommunikation &amp; Führung]],TBL_Kommunikation[#All],12,FALSE)</f>
        <v>0</v>
      </c>
      <c r="K36" s="9">
        <f>VLOOKUP(TBL_Ü_Kommunikation[[#This Row],[Kommunikation &amp; Führung]],TBL_Kommunikation[#All],14,FALSE)</f>
        <v>0</v>
      </c>
      <c r="L36" s="44"/>
      <c r="M36" s="47"/>
    </row>
    <row r="38" spans="1:14" x14ac:dyDescent="0.25">
      <c r="A38" t="s">
        <v>68</v>
      </c>
      <c r="B38" t="s">
        <v>2</v>
      </c>
      <c r="C38" t="s">
        <v>21</v>
      </c>
      <c r="D38" s="9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N38" s="35"/>
    </row>
    <row r="39" spans="1:14" x14ac:dyDescent="0.25">
      <c r="A39" t="s">
        <v>69</v>
      </c>
      <c r="B39" t="s">
        <v>70</v>
      </c>
      <c r="C39" s="9" t="str">
        <f>VLOOKUP(TBL_Ü_S_System[[#This Row],[Schwerpunkt Systemtechnik]],TBL_S_System[#All],3,FALSE)</f>
        <v>HS</v>
      </c>
      <c r="D39" s="9">
        <f>VLOOKUP(TBL_Ü_S_System[[#This Row],[Schwerpunkt Systemtechnik]],TBL_S_System[#All],4,FALSE)</f>
        <v>1</v>
      </c>
      <c r="E39" s="9">
        <f>VLOOKUP(TBL_Ü_S_System[[#This Row],[Schwerpunkt Systemtechnik]],TBL_S_System[#All],5,FALSE)</f>
        <v>144</v>
      </c>
      <c r="F39" s="37">
        <f>VLOOKUP(TBL_Ü_S_System[[#This Row],[Schwerpunkt Systemtechnik]],TBL_S_System[#All],8,FALSE)</f>
        <v>0</v>
      </c>
      <c r="G39" s="9">
        <f>VLOOKUP(TBL_Ü_S_System[[#This Row],[Schwerpunkt Systemtechnik]],TBL_S_System[#All],7,FALSE)</f>
        <v>1</v>
      </c>
      <c r="H39" s="49">
        <f>100/TBL_Ü_S_System[[#This Row],[LLP max]]*TBL_Ü_S_System[[#This Row],[LLP total]]/100</f>
        <v>0</v>
      </c>
      <c r="I39" s="9">
        <f>VLOOKUP(TBL_Ü_S_System[[#This Row],[Schwerpunkt Systemtechnik]],TBL_S_System[#All],10,FALSE)</f>
        <v>0</v>
      </c>
      <c r="J39" s="9">
        <f>VLOOKUP(TBL_Ü_S_System[[#This Row],[Schwerpunkt Systemtechnik]],TBL_S_System[#All],12,FALSE)</f>
        <v>0</v>
      </c>
      <c r="K39" s="9">
        <f>VLOOKUP(TBL_Ü_S_System[[#This Row],[Schwerpunkt Systemtechnik]],TBL_S_System[#All],14,FALSE)</f>
        <v>0</v>
      </c>
      <c r="L39" s="44"/>
      <c r="M39" s="48"/>
      <c r="N39" s="35"/>
    </row>
    <row r="40" spans="1:14" x14ac:dyDescent="0.25">
      <c r="A40" t="s">
        <v>71</v>
      </c>
      <c r="B40" t="s">
        <v>72</v>
      </c>
      <c r="C40" s="9" t="str">
        <f>VLOOKUP(TBL_Ü_S_System[[#This Row],[Schwerpunkt Systemtechnik]],TBL_S_System[#All],3,FALSE)</f>
        <v>HS</v>
      </c>
      <c r="D40" s="9">
        <f>VLOOKUP(TBL_Ü_S_System[[#This Row],[Schwerpunkt Systemtechnik]],TBL_S_System[#All],4,FALSE)</f>
        <v>1</v>
      </c>
      <c r="E40" s="9">
        <f>VLOOKUP(TBL_Ü_S_System[[#This Row],[Schwerpunkt Systemtechnik]],TBL_S_System[#All],5,FALSE)</f>
        <v>216</v>
      </c>
      <c r="F40" s="37">
        <f>VLOOKUP(TBL_Ü_S_System[[#This Row],[Schwerpunkt Systemtechnik]],TBL_S_System[#All],8,FALSE)</f>
        <v>0</v>
      </c>
      <c r="G40" s="9">
        <f>VLOOKUP(TBL_Ü_S_System[[#This Row],[Schwerpunkt Systemtechnik]],TBL_S_System[#All],7,FALSE)</f>
        <v>1</v>
      </c>
      <c r="H40" s="49">
        <f>100/TBL_Ü_S_System[[#This Row],[LLP max]]*TBL_Ü_S_System[[#This Row],[LLP total]]/100</f>
        <v>0</v>
      </c>
      <c r="I40" s="9">
        <f>VLOOKUP(TBL_Ü_S_System[[#This Row],[Schwerpunkt Systemtechnik]],TBL_S_System[#All],10,FALSE)</f>
        <v>0</v>
      </c>
      <c r="J40" s="9">
        <f>VLOOKUP(TBL_Ü_S_System[[#This Row],[Schwerpunkt Systemtechnik]],TBL_S_System[#All],12,FALSE)</f>
        <v>0</v>
      </c>
      <c r="K40" s="9">
        <f>VLOOKUP(TBL_Ü_S_System[[#This Row],[Schwerpunkt Systemtechnik]],TBL_S_System[#All],14,FALSE)</f>
        <v>0</v>
      </c>
      <c r="L40" s="44"/>
      <c r="M40" s="48"/>
      <c r="N40" s="35"/>
    </row>
    <row r="41" spans="1:14" x14ac:dyDescent="0.25">
      <c r="A41" t="s">
        <v>73</v>
      </c>
      <c r="B41" t="s">
        <v>74</v>
      </c>
      <c r="C41" s="9" t="str">
        <f>VLOOKUP(TBL_Ü_S_System[[#This Row],[Schwerpunkt Systemtechnik]],TBL_S_System[#All],3,FALSE)</f>
        <v>HS</v>
      </c>
      <c r="D41" s="9">
        <f>VLOOKUP(TBL_Ü_S_System[[#This Row],[Schwerpunkt Systemtechnik]],TBL_S_System[#All],4,FALSE)</f>
        <v>1</v>
      </c>
      <c r="E41" s="9">
        <f>VLOOKUP(TBL_Ü_S_System[[#This Row],[Schwerpunkt Systemtechnik]],TBL_S_System[#All],5,FALSE)</f>
        <v>72</v>
      </c>
      <c r="F41" s="37">
        <f>VLOOKUP(TBL_Ü_S_System[[#This Row],[Schwerpunkt Systemtechnik]],TBL_S_System[#All],8,FALSE)</f>
        <v>0</v>
      </c>
      <c r="G41" s="9">
        <f>VLOOKUP(TBL_Ü_S_System[[#This Row],[Schwerpunkt Systemtechnik]],TBL_S_System[#All],7,FALSE)</f>
        <v>1</v>
      </c>
      <c r="H41" s="49">
        <f>100/TBL_Ü_S_System[[#This Row],[LLP max]]*TBL_Ü_S_System[[#This Row],[LLP total]]/100</f>
        <v>0</v>
      </c>
      <c r="I41" s="9">
        <f>VLOOKUP(TBL_Ü_S_System[[#This Row],[Schwerpunkt Systemtechnik]],TBL_S_System[#All],10,FALSE)</f>
        <v>0</v>
      </c>
      <c r="J41" s="9">
        <f>VLOOKUP(TBL_Ü_S_System[[#This Row],[Schwerpunkt Systemtechnik]],TBL_S_System[#All],12,FALSE)</f>
        <v>0</v>
      </c>
      <c r="K41" s="9">
        <f>VLOOKUP(TBL_Ü_S_System[[#This Row],[Schwerpunkt Systemtechnik]],TBL_S_System[#All],14,FALSE)</f>
        <v>0</v>
      </c>
      <c r="L41" s="44"/>
      <c r="M41" s="48"/>
      <c r="N41" s="35"/>
    </row>
    <row r="42" spans="1:14" x14ac:dyDescent="0.25">
      <c r="A42" t="s">
        <v>75</v>
      </c>
      <c r="B42" t="s">
        <v>76</v>
      </c>
      <c r="C42" s="9" t="str">
        <f>VLOOKUP(TBL_Ü_S_System[[#This Row],[Schwerpunkt Systemtechnik]],TBL_S_System[#All],3,FALSE)</f>
        <v>HS</v>
      </c>
      <c r="D42" s="9">
        <f>VLOOKUP(TBL_Ü_S_System[[#This Row],[Schwerpunkt Systemtechnik]],TBL_S_System[#All],4,FALSE)</f>
        <v>1</v>
      </c>
      <c r="E42" s="9">
        <f>VLOOKUP(TBL_Ü_S_System[[#This Row],[Schwerpunkt Systemtechnik]],TBL_S_System[#All],5,FALSE)</f>
        <v>72</v>
      </c>
      <c r="F42" s="37">
        <f>VLOOKUP(TBL_Ü_S_System[[#This Row],[Schwerpunkt Systemtechnik]],TBL_S_System[#All],8,FALSE)</f>
        <v>0</v>
      </c>
      <c r="G42" s="9">
        <f>VLOOKUP(TBL_Ü_S_System[[#This Row],[Schwerpunkt Systemtechnik]],TBL_S_System[#All],7,FALSE)</f>
        <v>1</v>
      </c>
      <c r="H42" s="49">
        <f>100/TBL_Ü_S_System[[#This Row],[LLP max]]*TBL_Ü_S_System[[#This Row],[LLP total]]/100</f>
        <v>0</v>
      </c>
      <c r="I42" s="9">
        <f>VLOOKUP(TBL_Ü_S_System[[#This Row],[Schwerpunkt Systemtechnik]],TBL_S_System[#All],10,FALSE)</f>
        <v>0</v>
      </c>
      <c r="J42" s="9">
        <f>VLOOKUP(TBL_Ü_S_System[[#This Row],[Schwerpunkt Systemtechnik]],TBL_S_System[#All],12,FALSE)</f>
        <v>0</v>
      </c>
      <c r="K42" s="9">
        <f>VLOOKUP(TBL_Ü_S_System[[#This Row],[Schwerpunkt Systemtechnik]],TBL_S_System[#All],14,FALSE)</f>
        <v>0</v>
      </c>
      <c r="L42" s="44"/>
      <c r="M42" s="48"/>
      <c r="N42" s="35"/>
    </row>
    <row r="43" spans="1:14" x14ac:dyDescent="0.25">
      <c r="A43" t="s">
        <v>77</v>
      </c>
      <c r="B43" t="s">
        <v>78</v>
      </c>
      <c r="C43" s="9" t="str">
        <f>VLOOKUP(TBL_Ü_S_System[[#This Row],[Schwerpunkt Systemtechnik]],TBL_S_System[#All],3,FALSE)</f>
        <v>HS</v>
      </c>
      <c r="D43" s="9">
        <f>VLOOKUP(TBL_Ü_S_System[[#This Row],[Schwerpunkt Systemtechnik]],TBL_S_System[#All],4,FALSE)</f>
        <v>1</v>
      </c>
      <c r="E43" s="9">
        <f>VLOOKUP(TBL_Ü_S_System[[#This Row],[Schwerpunkt Systemtechnik]],TBL_S_System[#All],5,FALSE)</f>
        <v>72</v>
      </c>
      <c r="F43" s="37">
        <f>VLOOKUP(TBL_Ü_S_System[[#This Row],[Schwerpunkt Systemtechnik]],TBL_S_System[#All],8,FALSE)</f>
        <v>0</v>
      </c>
      <c r="G43" s="9">
        <f>VLOOKUP(TBL_Ü_S_System[[#This Row],[Schwerpunkt Systemtechnik]],TBL_S_System[#All],7,FALSE)</f>
        <v>1</v>
      </c>
      <c r="H43" s="49">
        <f>100/TBL_Ü_S_System[[#This Row],[LLP max]]*TBL_Ü_S_System[[#This Row],[LLP total]]/100</f>
        <v>0</v>
      </c>
      <c r="I43" s="9">
        <f>VLOOKUP(TBL_Ü_S_System[[#This Row],[Schwerpunkt Systemtechnik]],TBL_S_System[#All],10,FALSE)</f>
        <v>0</v>
      </c>
      <c r="J43" s="9">
        <f>VLOOKUP(TBL_Ü_S_System[[#This Row],[Schwerpunkt Systemtechnik]],TBL_S_System[#All],12,FALSE)</f>
        <v>0</v>
      </c>
      <c r="K43" s="9">
        <f>VLOOKUP(TBL_Ü_S_System[[#This Row],[Schwerpunkt Systemtechnik]],TBL_S_System[#All],14,FALSE)</f>
        <v>0</v>
      </c>
      <c r="L43" s="44"/>
      <c r="M43" s="48"/>
      <c r="N43" s="35"/>
    </row>
    <row r="44" spans="1:14" x14ac:dyDescent="0.25">
      <c r="A44" t="s">
        <v>79</v>
      </c>
      <c r="B44" t="s">
        <v>80</v>
      </c>
      <c r="C44" s="9" t="str">
        <f>VLOOKUP(TBL_Ü_S_System[[#This Row],[Schwerpunkt Systemtechnik]],TBL_S_System[#All],3,FALSE)</f>
        <v>HS</v>
      </c>
      <c r="D44" s="9">
        <f>VLOOKUP(TBL_Ü_S_System[[#This Row],[Schwerpunkt Systemtechnik]],TBL_S_System[#All],4,FALSE)</f>
        <v>1</v>
      </c>
      <c r="E44" s="9">
        <f>VLOOKUP(TBL_Ü_S_System[[#This Row],[Schwerpunkt Systemtechnik]],TBL_S_System[#All],5,FALSE)</f>
        <v>72</v>
      </c>
      <c r="F44" s="37">
        <f>VLOOKUP(TBL_Ü_S_System[[#This Row],[Schwerpunkt Systemtechnik]],TBL_S_System[#All],8,FALSE)</f>
        <v>0</v>
      </c>
      <c r="G44" s="9">
        <f>VLOOKUP(TBL_Ü_S_System[[#This Row],[Schwerpunkt Systemtechnik]],TBL_S_System[#All],7,FALSE)</f>
        <v>1</v>
      </c>
      <c r="H44" s="49">
        <f>100/TBL_Ü_S_System[[#This Row],[LLP max]]*TBL_Ü_S_System[[#This Row],[LLP total]]/100</f>
        <v>0</v>
      </c>
      <c r="I44" s="9">
        <f>VLOOKUP(TBL_Ü_S_System[[#This Row],[Schwerpunkt Systemtechnik]],TBL_S_System[#All],10,FALSE)</f>
        <v>0</v>
      </c>
      <c r="J44" s="9">
        <f>VLOOKUP(TBL_Ü_S_System[[#This Row],[Schwerpunkt Systemtechnik]],TBL_S_System[#All],12,FALSE)</f>
        <v>0</v>
      </c>
      <c r="K44" s="9">
        <f>VLOOKUP(TBL_Ü_S_System[[#This Row],[Schwerpunkt Systemtechnik]],TBL_S_System[#All],14,FALSE)</f>
        <v>0</v>
      </c>
      <c r="L44" s="44"/>
      <c r="M44" s="48"/>
      <c r="N44" s="35"/>
    </row>
    <row r="45" spans="1:14" x14ac:dyDescent="0.25">
      <c r="A45" t="s">
        <v>81</v>
      </c>
      <c r="B45" t="s">
        <v>82</v>
      </c>
      <c r="C45" s="9" t="str">
        <f>VLOOKUP(TBL_Ü_S_System[[#This Row],[Schwerpunkt Systemtechnik]],TBL_S_System[#All],3,FALSE)</f>
        <v>HS</v>
      </c>
      <c r="D45" s="9">
        <f>VLOOKUP(TBL_Ü_S_System[[#This Row],[Schwerpunkt Systemtechnik]],TBL_S_System[#All],4,FALSE)</f>
        <v>1</v>
      </c>
      <c r="E45" s="9">
        <f>VLOOKUP(TBL_Ü_S_System[[#This Row],[Schwerpunkt Systemtechnik]],TBL_S_System[#All],5,FALSE)</f>
        <v>72</v>
      </c>
      <c r="F45" s="37">
        <f>VLOOKUP(TBL_Ü_S_System[[#This Row],[Schwerpunkt Systemtechnik]],TBL_S_System[#All],8,FALSE)</f>
        <v>0</v>
      </c>
      <c r="G45" s="9">
        <f>VLOOKUP(TBL_Ü_S_System[[#This Row],[Schwerpunkt Systemtechnik]],TBL_S_System[#All],7,FALSE)</f>
        <v>1</v>
      </c>
      <c r="H45" s="49">
        <f>100/TBL_Ü_S_System[[#This Row],[LLP max]]*TBL_Ü_S_System[[#This Row],[LLP total]]/100</f>
        <v>0</v>
      </c>
      <c r="I45" s="9">
        <f>VLOOKUP(TBL_Ü_S_System[[#This Row],[Schwerpunkt Systemtechnik]],TBL_S_System[#All],10,FALSE)</f>
        <v>0</v>
      </c>
      <c r="J45" s="9">
        <f>VLOOKUP(TBL_Ü_S_System[[#This Row],[Schwerpunkt Systemtechnik]],TBL_S_System[#All],12,FALSE)</f>
        <v>0</v>
      </c>
      <c r="K45" s="9">
        <f>VLOOKUP(TBL_Ü_S_System[[#This Row],[Schwerpunkt Systemtechnik]],TBL_S_System[#All],14,FALSE)</f>
        <v>0</v>
      </c>
      <c r="L45" s="44"/>
      <c r="M45" s="48"/>
      <c r="N45" s="35"/>
    </row>
    <row r="46" spans="1:14" x14ac:dyDescent="0.25">
      <c r="A46" t="s">
        <v>83</v>
      </c>
      <c r="B46" t="s">
        <v>84</v>
      </c>
      <c r="C46" s="9" t="str">
        <f>VLOOKUP(TBL_Ü_S_System[[#This Row],[Schwerpunkt Systemtechnik]],TBL_S_System[#All],3,FALSE)</f>
        <v>HS</v>
      </c>
      <c r="D46" s="9">
        <f>VLOOKUP(TBL_Ü_S_System[[#This Row],[Schwerpunkt Systemtechnik]],TBL_S_System[#All],4,FALSE)</f>
        <v>1</v>
      </c>
      <c r="E46" s="9">
        <f>VLOOKUP(TBL_Ü_S_System[[#This Row],[Schwerpunkt Systemtechnik]],TBL_S_System[#All],5,FALSE)</f>
        <v>144</v>
      </c>
      <c r="F46" s="37">
        <f>VLOOKUP(TBL_Ü_S_System[[#This Row],[Schwerpunkt Systemtechnik]],TBL_S_System[#All],8,FALSE)</f>
        <v>0</v>
      </c>
      <c r="G46" s="9">
        <f>VLOOKUP(TBL_Ü_S_System[[#This Row],[Schwerpunkt Systemtechnik]],TBL_S_System[#All],7,FALSE)</f>
        <v>1</v>
      </c>
      <c r="H46" s="49">
        <f>100/TBL_Ü_S_System[[#This Row],[LLP max]]*TBL_Ü_S_System[[#This Row],[LLP total]]/100</f>
        <v>0</v>
      </c>
      <c r="I46" s="9">
        <f>VLOOKUP(TBL_Ü_S_System[[#This Row],[Schwerpunkt Systemtechnik]],TBL_S_System[#All],10,FALSE)</f>
        <v>0</v>
      </c>
      <c r="J46" s="9">
        <f>VLOOKUP(TBL_Ü_S_System[[#This Row],[Schwerpunkt Systemtechnik]],TBL_S_System[#All],12,FALSE)</f>
        <v>0</v>
      </c>
      <c r="K46" s="9">
        <f>VLOOKUP(TBL_Ü_S_System[[#This Row],[Schwerpunkt Systemtechnik]],TBL_S_System[#All],14,FALSE)</f>
        <v>0</v>
      </c>
      <c r="L46" s="44"/>
      <c r="M46" s="48"/>
      <c r="N46" s="35"/>
    </row>
    <row r="48" spans="1:14" x14ac:dyDescent="0.25">
      <c r="A48" t="s">
        <v>85</v>
      </c>
      <c r="B48" t="s">
        <v>2</v>
      </c>
      <c r="C48" t="s">
        <v>21</v>
      </c>
      <c r="D48" s="9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22</v>
      </c>
      <c r="J48" t="s">
        <v>23</v>
      </c>
      <c r="K48" t="s">
        <v>24</v>
      </c>
      <c r="L48" t="s">
        <v>25</v>
      </c>
      <c r="M48" t="s">
        <v>26</v>
      </c>
      <c r="N48" s="35"/>
    </row>
    <row r="49" spans="1:14" x14ac:dyDescent="0.25">
      <c r="A49" t="s">
        <v>86</v>
      </c>
      <c r="B49" t="s">
        <v>87</v>
      </c>
      <c r="C49" s="9" t="str">
        <f>VLOOKUP(TBL_Ü_S_Software[[#This Row],[Schwerpunkt Softwareentwicklung]],TBL_S_Software[#All],3,FALSE)</f>
        <v>HS</v>
      </c>
      <c r="D49" s="9">
        <f>VLOOKUP(TBL_Ü_S_Software[[#This Row],[Schwerpunkt Softwareentwicklung]],TBL_S_Software[#All],4,FALSE)</f>
        <v>1</v>
      </c>
      <c r="E49" s="9">
        <f>VLOOKUP(TBL_Ü_S_Software[[#This Row],[Schwerpunkt Softwareentwicklung]],TBL_S_Software[#All],5,FALSE)</f>
        <v>72</v>
      </c>
      <c r="F49" s="37">
        <f>VLOOKUP(TBL_Ü_S_Software[[#This Row],[Schwerpunkt Softwareentwicklung]],TBL_S_Software[#All],8,FALSE)</f>
        <v>0</v>
      </c>
      <c r="G49" s="9">
        <f>VLOOKUP(TBL_Ü_S_Software[[#This Row],[Schwerpunkt Softwareentwicklung]],TBL_S_Software[#All],7,FALSE)</f>
        <v>1</v>
      </c>
      <c r="H49" s="49">
        <f>100/TBL_Ü_S_Software[[#This Row],[LLP max]]*TBL_Ü_S_Software[[#This Row],[LLP total]]/100</f>
        <v>0</v>
      </c>
      <c r="I49" s="9">
        <f>VLOOKUP(TBL_Ü_S_Software[[#This Row],[Schwerpunkt Softwareentwicklung]],TBL_S_Software[#All],10,FALSE)</f>
        <v>0</v>
      </c>
      <c r="J49" s="9">
        <f>VLOOKUP(TBL_Ü_S_Software[[#This Row],[Schwerpunkt Softwareentwicklung]],TBL_S_Software[#All],12,FALSE)</f>
        <v>0</v>
      </c>
      <c r="K49" s="9">
        <f>VLOOKUP(TBL_Ü_S_Software[[#This Row],[Schwerpunkt Softwareentwicklung]],TBL_S_Software[#All],14,FALSE)</f>
        <v>0</v>
      </c>
      <c r="L49" s="44"/>
      <c r="M49" s="48"/>
      <c r="N49" s="35"/>
    </row>
    <row r="50" spans="1:14" x14ac:dyDescent="0.25">
      <c r="A50" t="s">
        <v>88</v>
      </c>
      <c r="B50" t="s">
        <v>89</v>
      </c>
      <c r="C50" s="9" t="str">
        <f>VLOOKUP(TBL_Ü_S_Software[[#This Row],[Schwerpunkt Softwareentwicklung]],TBL_S_Software[#All],3,FALSE)</f>
        <v>HS</v>
      </c>
      <c r="D50" s="9">
        <f>VLOOKUP(TBL_Ü_S_Software[[#This Row],[Schwerpunkt Softwareentwicklung]],TBL_S_Software[#All],4,FALSE)</f>
        <v>1</v>
      </c>
      <c r="E50" s="9">
        <f>VLOOKUP(TBL_Ü_S_Software[[#This Row],[Schwerpunkt Softwareentwicklung]],TBL_S_Software[#All],5,FALSE)</f>
        <v>72</v>
      </c>
      <c r="F50" s="37">
        <f>VLOOKUP(TBL_Ü_S_Software[[#This Row],[Schwerpunkt Softwareentwicklung]],TBL_S_Software[#All],8,FALSE)</f>
        <v>0</v>
      </c>
      <c r="G50" s="9">
        <f>VLOOKUP(TBL_Ü_S_Software[[#This Row],[Schwerpunkt Softwareentwicklung]],TBL_S_Software[#All],7,FALSE)</f>
        <v>1</v>
      </c>
      <c r="H50" s="49">
        <f>100/TBL_Ü_S_Software[[#This Row],[LLP max]]*TBL_Ü_S_Software[[#This Row],[LLP total]]/100</f>
        <v>0</v>
      </c>
      <c r="I50" s="9">
        <f>VLOOKUP(TBL_Ü_S_Software[[#This Row],[Schwerpunkt Softwareentwicklung]],TBL_S_Software[#All],10,FALSE)</f>
        <v>0</v>
      </c>
      <c r="J50" s="9">
        <f>VLOOKUP(TBL_Ü_S_Software[[#This Row],[Schwerpunkt Softwareentwicklung]],TBL_S_Software[#All],12,FALSE)</f>
        <v>0</v>
      </c>
      <c r="K50" s="9">
        <f>VLOOKUP(TBL_Ü_S_Software[[#This Row],[Schwerpunkt Softwareentwicklung]],TBL_S_Software[#All],14,FALSE)</f>
        <v>0</v>
      </c>
      <c r="L50" s="44"/>
      <c r="M50" s="48"/>
      <c r="N50" s="35"/>
    </row>
    <row r="51" spans="1:14" x14ac:dyDescent="0.25">
      <c r="A51" t="s">
        <v>90</v>
      </c>
      <c r="B51" t="s">
        <v>91</v>
      </c>
      <c r="C51" s="9" t="str">
        <f>VLOOKUP(TBL_Ü_S_Software[[#This Row],[Schwerpunkt Softwareentwicklung]],TBL_S_Software[#All],3,FALSE)</f>
        <v>HS</v>
      </c>
      <c r="D51" s="9">
        <f>VLOOKUP(TBL_Ü_S_Software[[#This Row],[Schwerpunkt Softwareentwicklung]],TBL_S_Software[#All],4,FALSE)</f>
        <v>1</v>
      </c>
      <c r="E51" s="9">
        <f>VLOOKUP(TBL_Ü_S_Software[[#This Row],[Schwerpunkt Softwareentwicklung]],TBL_S_Software[#All],5,FALSE)</f>
        <v>72</v>
      </c>
      <c r="F51" s="37">
        <f>VLOOKUP(TBL_Ü_S_Software[[#This Row],[Schwerpunkt Softwareentwicklung]],TBL_S_Software[#All],8,FALSE)</f>
        <v>0</v>
      </c>
      <c r="G51" s="9">
        <f>VLOOKUP(TBL_Ü_S_Software[[#This Row],[Schwerpunkt Softwareentwicklung]],TBL_S_Software[#All],7,FALSE)</f>
        <v>1</v>
      </c>
      <c r="H51" s="49">
        <f>100/TBL_Ü_S_Software[[#This Row],[LLP max]]*TBL_Ü_S_Software[[#This Row],[LLP total]]/100</f>
        <v>0</v>
      </c>
      <c r="I51" s="9">
        <f>VLOOKUP(TBL_Ü_S_Software[[#This Row],[Schwerpunkt Softwareentwicklung]],TBL_S_Software[#All],10,FALSE)</f>
        <v>0</v>
      </c>
      <c r="J51" s="9">
        <f>VLOOKUP(TBL_Ü_S_Software[[#This Row],[Schwerpunkt Softwareentwicklung]],TBL_S_Software[#All],12,FALSE)</f>
        <v>0</v>
      </c>
      <c r="K51" s="9">
        <f>VLOOKUP(TBL_Ü_S_Software[[#This Row],[Schwerpunkt Softwareentwicklung]],TBL_S_Software[#All],14,FALSE)</f>
        <v>0</v>
      </c>
      <c r="L51" s="44"/>
      <c r="M51" s="48"/>
      <c r="N51" s="35"/>
    </row>
    <row r="52" spans="1:14" x14ac:dyDescent="0.25">
      <c r="A52" t="s">
        <v>92</v>
      </c>
      <c r="B52" t="s">
        <v>93</v>
      </c>
      <c r="C52" s="9" t="str">
        <f>VLOOKUP(TBL_Ü_S_Software[[#This Row],[Schwerpunkt Softwareentwicklung]],TBL_S_Software[#All],3,FALSE)</f>
        <v>HS</v>
      </c>
      <c r="D52" s="9">
        <f>VLOOKUP(TBL_Ü_S_Software[[#This Row],[Schwerpunkt Softwareentwicklung]],TBL_S_Software[#All],4,FALSE)</f>
        <v>1</v>
      </c>
      <c r="E52" s="9">
        <f>VLOOKUP(TBL_Ü_S_Software[[#This Row],[Schwerpunkt Softwareentwicklung]],TBL_S_Software[#All],5,FALSE)</f>
        <v>216</v>
      </c>
      <c r="F52" s="37">
        <f>VLOOKUP(TBL_Ü_S_Software[[#This Row],[Schwerpunkt Softwareentwicklung]],TBL_S_Software[#All],8,FALSE)</f>
        <v>0</v>
      </c>
      <c r="G52" s="9">
        <f>VLOOKUP(TBL_Ü_S_Software[[#This Row],[Schwerpunkt Softwareentwicklung]],TBL_S_Software[#All],7,FALSE)</f>
        <v>1</v>
      </c>
      <c r="H52" s="49">
        <f>100/TBL_Ü_S_Software[[#This Row],[LLP max]]*TBL_Ü_S_Software[[#This Row],[LLP total]]/100</f>
        <v>0</v>
      </c>
      <c r="I52" s="9">
        <f>VLOOKUP(TBL_Ü_S_Software[[#This Row],[Schwerpunkt Softwareentwicklung]],TBL_S_Software[#All],10,FALSE)</f>
        <v>0</v>
      </c>
      <c r="J52" s="9">
        <f>VLOOKUP(TBL_Ü_S_Software[[#This Row],[Schwerpunkt Softwareentwicklung]],TBL_S_Software[#All],12,FALSE)</f>
        <v>0</v>
      </c>
      <c r="K52" s="9">
        <f>VLOOKUP(TBL_Ü_S_Software[[#This Row],[Schwerpunkt Softwareentwicklung]],TBL_S_Software[#All],14,FALSE)</f>
        <v>0</v>
      </c>
      <c r="L52" s="44"/>
      <c r="M52" s="48"/>
      <c r="N52" s="35"/>
    </row>
    <row r="53" spans="1:14" x14ac:dyDescent="0.25">
      <c r="A53" t="s">
        <v>94</v>
      </c>
      <c r="B53" t="s">
        <v>95</v>
      </c>
      <c r="C53" s="9" t="str">
        <f>VLOOKUP(TBL_Ü_S_Software[[#This Row],[Schwerpunkt Softwareentwicklung]],TBL_S_Software[#All],3,FALSE)</f>
        <v>HS</v>
      </c>
      <c r="D53" s="9">
        <f>VLOOKUP(TBL_Ü_S_Software[[#This Row],[Schwerpunkt Softwareentwicklung]],TBL_S_Software[#All],4,FALSE)</f>
        <v>1</v>
      </c>
      <c r="E53" s="9">
        <f>VLOOKUP(TBL_Ü_S_Software[[#This Row],[Schwerpunkt Softwareentwicklung]],TBL_S_Software[#All],5,FALSE)</f>
        <v>72</v>
      </c>
      <c r="F53" s="37">
        <f>VLOOKUP(TBL_Ü_S_Software[[#This Row],[Schwerpunkt Softwareentwicklung]],TBL_S_Software[#All],8,FALSE)</f>
        <v>0</v>
      </c>
      <c r="G53" s="9">
        <f>VLOOKUP(TBL_Ü_S_Software[[#This Row],[Schwerpunkt Softwareentwicklung]],TBL_S_Software[#All],7,FALSE)</f>
        <v>1</v>
      </c>
      <c r="H53" s="49">
        <f>100/TBL_Ü_S_Software[[#This Row],[LLP max]]*TBL_Ü_S_Software[[#This Row],[LLP total]]/100</f>
        <v>0</v>
      </c>
      <c r="I53" s="9">
        <f>VLOOKUP(TBL_Ü_S_Software[[#This Row],[Schwerpunkt Softwareentwicklung]],TBL_S_Software[#All],10,FALSE)</f>
        <v>0</v>
      </c>
      <c r="J53" s="9">
        <f>VLOOKUP(TBL_Ü_S_Software[[#This Row],[Schwerpunkt Softwareentwicklung]],TBL_S_Software[#All],12,FALSE)</f>
        <v>0</v>
      </c>
      <c r="K53" s="9">
        <f>VLOOKUP(TBL_Ü_S_Software[[#This Row],[Schwerpunkt Softwareentwicklung]],TBL_S_Software[#All],14,FALSE)</f>
        <v>0</v>
      </c>
      <c r="L53" s="44"/>
      <c r="M53" s="48"/>
      <c r="N53" s="35"/>
    </row>
    <row r="54" spans="1:14" x14ac:dyDescent="0.25">
      <c r="A54" t="s">
        <v>96</v>
      </c>
      <c r="B54" t="s">
        <v>97</v>
      </c>
      <c r="C54" s="9" t="str">
        <f>VLOOKUP(TBL_Ü_S_Software[[#This Row],[Schwerpunkt Softwareentwicklung]],TBL_S_Software[#All],3,FALSE)</f>
        <v>HS</v>
      </c>
      <c r="D54" s="9">
        <f>VLOOKUP(TBL_Ü_S_Software[[#This Row],[Schwerpunkt Softwareentwicklung]],TBL_S_Software[#All],4,FALSE)</f>
        <v>1</v>
      </c>
      <c r="E54" s="9">
        <f>VLOOKUP(TBL_Ü_S_Software[[#This Row],[Schwerpunkt Softwareentwicklung]],TBL_S_Software[#All],5,FALSE)</f>
        <v>144</v>
      </c>
      <c r="F54" s="37">
        <f>VLOOKUP(TBL_Ü_S_Software[[#This Row],[Schwerpunkt Softwareentwicklung]],TBL_S_Software[#All],8,FALSE)</f>
        <v>0</v>
      </c>
      <c r="G54" s="9">
        <f>VLOOKUP(TBL_Ü_S_Software[[#This Row],[Schwerpunkt Softwareentwicklung]],TBL_S_Software[#All],7,FALSE)</f>
        <v>1</v>
      </c>
      <c r="H54" s="49">
        <f>100/TBL_Ü_S_Software[[#This Row],[LLP max]]*TBL_Ü_S_Software[[#This Row],[LLP total]]/100</f>
        <v>0</v>
      </c>
      <c r="I54" s="9">
        <f>VLOOKUP(TBL_Ü_S_Software[[#This Row],[Schwerpunkt Softwareentwicklung]],TBL_S_Software[#All],10,FALSE)</f>
        <v>0</v>
      </c>
      <c r="J54" s="9">
        <f>VLOOKUP(TBL_Ü_S_Software[[#This Row],[Schwerpunkt Softwareentwicklung]],TBL_S_Software[#All],12,FALSE)</f>
        <v>0</v>
      </c>
      <c r="K54" s="9">
        <f>VLOOKUP(TBL_Ü_S_Software[[#This Row],[Schwerpunkt Softwareentwicklung]],TBL_S_Software[#All],14,FALSE)</f>
        <v>0</v>
      </c>
      <c r="L54" s="44"/>
      <c r="M54" s="48"/>
      <c r="N54" s="35"/>
    </row>
    <row r="55" spans="1:14" x14ac:dyDescent="0.25">
      <c r="A55" t="s">
        <v>98</v>
      </c>
      <c r="B55" t="s">
        <v>99</v>
      </c>
      <c r="C55" s="9" t="str">
        <f>VLOOKUP(TBL_Ü_S_Software[[#This Row],[Schwerpunkt Softwareentwicklung]],TBL_S_Software[#All],3,FALSE)</f>
        <v>HS</v>
      </c>
      <c r="D55" s="9">
        <f>VLOOKUP(TBL_Ü_S_Software[[#This Row],[Schwerpunkt Softwareentwicklung]],TBL_S_Software[#All],4,FALSE)</f>
        <v>1</v>
      </c>
      <c r="E55" s="9">
        <f>VLOOKUP(TBL_Ü_S_Software[[#This Row],[Schwerpunkt Softwareentwicklung]],TBL_S_Software[#All],5,FALSE)</f>
        <v>72</v>
      </c>
      <c r="F55" s="37">
        <f>VLOOKUP(TBL_Ü_S_Software[[#This Row],[Schwerpunkt Softwareentwicklung]],TBL_S_Software[#All],8,FALSE)</f>
        <v>0</v>
      </c>
      <c r="G55" s="9">
        <f>VLOOKUP(TBL_Ü_S_Software[[#This Row],[Schwerpunkt Softwareentwicklung]],TBL_S_Software[#All],7,FALSE)</f>
        <v>1</v>
      </c>
      <c r="H55" s="49">
        <f>100/TBL_Ü_S_Software[[#This Row],[LLP max]]*TBL_Ü_S_Software[[#This Row],[LLP total]]/100</f>
        <v>0</v>
      </c>
      <c r="I55" s="9">
        <f>VLOOKUP(TBL_Ü_S_Software[[#This Row],[Schwerpunkt Softwareentwicklung]],TBL_S_Software[#All],10,FALSE)</f>
        <v>0</v>
      </c>
      <c r="J55" s="9">
        <f>VLOOKUP(TBL_Ü_S_Software[[#This Row],[Schwerpunkt Softwareentwicklung]],TBL_S_Software[#All],12,FALSE)</f>
        <v>0</v>
      </c>
      <c r="K55" s="9">
        <f>VLOOKUP(TBL_Ü_S_Software[[#This Row],[Schwerpunkt Softwareentwicklung]],TBL_S_Software[#All],14,FALSE)</f>
        <v>0</v>
      </c>
      <c r="L55" s="44"/>
      <c r="M55" s="48"/>
      <c r="N55" s="35"/>
    </row>
    <row r="56" spans="1:14" x14ac:dyDescent="0.25">
      <c r="A56" t="s">
        <v>100</v>
      </c>
      <c r="B56" t="s">
        <v>101</v>
      </c>
      <c r="C56" s="9" t="str">
        <f>VLOOKUP(TBL_Ü_S_Software[[#This Row],[Schwerpunkt Softwareentwicklung]],TBL_S_Software[#All],3,FALSE)</f>
        <v>HS</v>
      </c>
      <c r="D56" s="9">
        <f>VLOOKUP(TBL_Ü_S_Software[[#This Row],[Schwerpunkt Softwareentwicklung]],TBL_S_Software[#All],4,FALSE)</f>
        <v>1</v>
      </c>
      <c r="E56" s="9">
        <f>VLOOKUP(TBL_Ü_S_Software[[#This Row],[Schwerpunkt Softwareentwicklung]],TBL_S_Software[#All],5,FALSE)</f>
        <v>72</v>
      </c>
      <c r="F56" s="37">
        <f>VLOOKUP(TBL_Ü_S_Software[[#This Row],[Schwerpunkt Softwareentwicklung]],TBL_S_Software[#All],8,FALSE)</f>
        <v>0</v>
      </c>
      <c r="G56" s="9">
        <f>VLOOKUP(TBL_Ü_S_Software[[#This Row],[Schwerpunkt Softwareentwicklung]],TBL_S_Software[#All],7,FALSE)</f>
        <v>1</v>
      </c>
      <c r="H56" s="49">
        <f>100/TBL_Ü_S_Software[[#This Row],[LLP max]]*TBL_Ü_S_Software[[#This Row],[LLP total]]/100</f>
        <v>0</v>
      </c>
      <c r="I56" s="9">
        <f>VLOOKUP(TBL_Ü_S_Software[[#This Row],[Schwerpunkt Softwareentwicklung]],TBL_S_Software[#All],10,FALSE)</f>
        <v>0</v>
      </c>
      <c r="J56" s="9">
        <f>VLOOKUP(TBL_Ü_S_Software[[#This Row],[Schwerpunkt Softwareentwicklung]],TBL_S_Software[#All],12,FALSE)</f>
        <v>0</v>
      </c>
      <c r="K56" s="9">
        <f>VLOOKUP(TBL_Ü_S_Software[[#This Row],[Schwerpunkt Softwareentwicklung]],TBL_S_Software[#All],14,FALSE)</f>
        <v>0</v>
      </c>
      <c r="L56" s="44"/>
      <c r="M56" s="48"/>
      <c r="N56" s="35"/>
    </row>
    <row r="57" spans="1:14" x14ac:dyDescent="0.25">
      <c r="A57" t="s">
        <v>102</v>
      </c>
      <c r="B57" t="s">
        <v>103</v>
      </c>
      <c r="C57" s="9" t="str">
        <f>VLOOKUP(TBL_Ü_S_Software[[#This Row],[Schwerpunkt Softwareentwicklung]],TBL_S_Software[#All],3,FALSE)</f>
        <v>HS</v>
      </c>
      <c r="D57" s="9">
        <f>VLOOKUP(TBL_Ü_S_Software[[#This Row],[Schwerpunkt Softwareentwicklung]],TBL_S_Software[#All],4,FALSE)</f>
        <v>1</v>
      </c>
      <c r="E57" s="9">
        <f>VLOOKUP(TBL_Ü_S_Software[[#This Row],[Schwerpunkt Softwareentwicklung]],TBL_S_Software[#All],5,FALSE)</f>
        <v>72</v>
      </c>
      <c r="F57" s="37">
        <f>VLOOKUP(TBL_Ü_S_Software[[#This Row],[Schwerpunkt Softwareentwicklung]],TBL_S_Software[#All],8,FALSE)</f>
        <v>0</v>
      </c>
      <c r="G57" s="9">
        <f>VLOOKUP(TBL_Ü_S_Software[[#This Row],[Schwerpunkt Softwareentwicklung]],TBL_S_Software[#All],7,FALSE)</f>
        <v>1</v>
      </c>
      <c r="H57" s="49">
        <f>100/TBL_Ü_S_Software[[#This Row],[LLP max]]*TBL_Ü_S_Software[[#This Row],[LLP total]]/100</f>
        <v>0</v>
      </c>
      <c r="I57" s="9">
        <f>VLOOKUP(TBL_Ü_S_Software[[#This Row],[Schwerpunkt Softwareentwicklung]],TBL_S_Software[#All],10,FALSE)</f>
        <v>0</v>
      </c>
      <c r="J57" s="9">
        <f>VLOOKUP(TBL_Ü_S_Software[[#This Row],[Schwerpunkt Softwareentwicklung]],TBL_S_Software[#All],12,FALSE)</f>
        <v>0</v>
      </c>
      <c r="K57" s="9">
        <f>VLOOKUP(TBL_Ü_S_Software[[#This Row],[Schwerpunkt Softwareentwicklung]],TBL_S_Software[#All],14,FALSE)</f>
        <v>0</v>
      </c>
      <c r="L57" s="44"/>
      <c r="M57" s="48"/>
      <c r="N57" s="35"/>
    </row>
    <row r="59" spans="1:14" x14ac:dyDescent="0.25">
      <c r="A59" t="s">
        <v>104</v>
      </c>
      <c r="B59" t="s">
        <v>2</v>
      </c>
      <c r="C59" t="s">
        <v>21</v>
      </c>
      <c r="D59" s="9" t="s">
        <v>3</v>
      </c>
      <c r="E59" t="s">
        <v>4</v>
      </c>
      <c r="F59" t="s">
        <v>5</v>
      </c>
      <c r="G59" t="s">
        <v>6</v>
      </c>
      <c r="H59" t="s">
        <v>7</v>
      </c>
      <c r="J59"/>
      <c r="L59" s="35"/>
    </row>
    <row r="60" spans="1:14" x14ac:dyDescent="0.25">
      <c r="A60" t="s">
        <v>105</v>
      </c>
      <c r="B60" t="s">
        <v>13</v>
      </c>
      <c r="C60" s="9" t="s">
        <v>19</v>
      </c>
      <c r="D60" s="9">
        <f>VLOOKUP(TBL_Ü_Allgemein[[#This Row],[Allgemeines]],TBL_Allgemeines[#All],3,FALSE)</f>
        <v>1</v>
      </c>
      <c r="E60" s="9">
        <f>VLOOKUP(TBL_Ü_Allgemein[[#This Row],[Allgemeines]],TBL_Allgemeines[#All],4,FALSE)</f>
        <v>400</v>
      </c>
      <c r="F60" s="37">
        <f>VLOOKUP(TBL_Ü_Allgemein[[#This Row],[Allgemeines]],TBL_Allgemeines[#All],6,FALSE)</f>
        <v>0</v>
      </c>
      <c r="G60" s="37">
        <f>VLOOKUP(TBL_Ü_Allgemein[[#This Row],[Allgemeines]],TBL_Allgemeines[#All],5,FALSE)</f>
        <v>1</v>
      </c>
      <c r="H60" s="49">
        <f>100/TBL_Ü_Allgemein[[#This Row],[LLP max]]*TBL_Ü_Allgemein[[#This Row],[LLP total]]/100</f>
        <v>0</v>
      </c>
      <c r="J60"/>
      <c r="L60" s="35"/>
    </row>
    <row r="61" spans="1:14" x14ac:dyDescent="0.25">
      <c r="A61" t="s">
        <v>106</v>
      </c>
      <c r="B61" t="s">
        <v>14</v>
      </c>
      <c r="C61" s="9" t="s">
        <v>19</v>
      </c>
      <c r="D61" s="9">
        <f>VLOOKUP(TBL_Ü_Allgemein[[#This Row],[Allgemeines]],TBL_Allgemeines[#All],3,FALSE)</f>
        <v>1</v>
      </c>
      <c r="E61" s="9">
        <f>VLOOKUP(TBL_Ü_Allgemein[[#This Row],[Allgemeines]],TBL_Allgemeines[#All],4,FALSE)</f>
        <v>72</v>
      </c>
      <c r="F61" s="37">
        <f>VLOOKUP(TBL_Ü_Allgemein[[#This Row],[Allgemeines]],TBL_Allgemeines[#All],6,FALSE)</f>
        <v>0</v>
      </c>
      <c r="G61" s="37">
        <f>VLOOKUP(TBL_Ü_Allgemein[[#This Row],[Allgemeines]],TBL_Allgemeines[#All],5,FALSE)</f>
        <v>1</v>
      </c>
      <c r="H61" s="49">
        <f>100/TBL_Ü_Allgemein[[#This Row],[LLP max]]*TBL_Ü_Allgemein[[#This Row],[LLP total]]/100</f>
        <v>0</v>
      </c>
      <c r="J61"/>
      <c r="L61" s="35"/>
    </row>
    <row r="62" spans="1:14" x14ac:dyDescent="0.25">
      <c r="A62" t="s">
        <v>107</v>
      </c>
      <c r="B62" t="s">
        <v>16</v>
      </c>
      <c r="C62" s="9" t="s">
        <v>19</v>
      </c>
      <c r="D62" s="9">
        <f>VLOOKUP(TBL_Ü_Allgemein[[#This Row],[Allgemeines]],TBL_Allgemeines[#All],3,FALSE)</f>
        <v>1</v>
      </c>
      <c r="E62" s="9">
        <f>VLOOKUP(TBL_Ü_Allgemein[[#This Row],[Allgemeines]],TBL_Allgemeines[#All],4,FALSE)</f>
        <v>600</v>
      </c>
      <c r="F62" s="37">
        <f>VLOOKUP(TBL_Ü_Allgemein[[#This Row],[Allgemeines]],TBL_Allgemeines[#All],6,FALSE)</f>
        <v>0</v>
      </c>
      <c r="G62" s="37">
        <f>VLOOKUP(TBL_Ü_Allgemein[[#This Row],[Allgemeines]],TBL_Allgemeines[#All],5,FALSE)</f>
        <v>1</v>
      </c>
      <c r="H62" s="49">
        <f>100/TBL_Ü_Allgemein[[#This Row],[LLP max]]*TBL_Ü_Allgemein[[#This Row],[LLP total]]/100</f>
        <v>0</v>
      </c>
      <c r="J62"/>
      <c r="L62" s="35"/>
    </row>
    <row r="63" spans="1:14" x14ac:dyDescent="0.25">
      <c r="A63" t="s">
        <v>108</v>
      </c>
      <c r="B63" t="s">
        <v>17</v>
      </c>
      <c r="C63" s="9" t="s">
        <v>19</v>
      </c>
      <c r="D63" s="9">
        <f>VLOOKUP(TBL_Ü_Allgemein[[#This Row],[Allgemeines]],TBL_Allgemeines[#All],3,FALSE)</f>
        <v>1</v>
      </c>
      <c r="E63" s="9">
        <f>VLOOKUP(TBL_Ü_Allgemein[[#This Row],[Allgemeines]],TBL_Allgemeines[#All],4,FALSE)</f>
        <v>120</v>
      </c>
      <c r="F63" s="37">
        <f>VLOOKUP(TBL_Ü_Allgemein[[#This Row],[Allgemeines]],TBL_Allgemeines[#All],6,FALSE)</f>
        <v>0</v>
      </c>
      <c r="G63" s="37">
        <f>VLOOKUP(TBL_Ü_Allgemein[[#This Row],[Allgemeines]],TBL_Allgemeines[#All],5,FALSE)</f>
        <v>1</v>
      </c>
      <c r="H63" s="49">
        <f>100/TBL_Ü_Allgemein[[#This Row],[LLP max]]*TBL_Ü_Allgemein[[#This Row],[LLP total]]/100</f>
        <v>0</v>
      </c>
      <c r="J63"/>
      <c r="L63" s="35"/>
    </row>
    <row r="65" spans="1:2" x14ac:dyDescent="0.25">
      <c r="A65" t="s">
        <v>8</v>
      </c>
      <c r="B65" t="s">
        <v>9</v>
      </c>
    </row>
    <row r="66" spans="1:2" x14ac:dyDescent="0.25">
      <c r="A66" t="s">
        <v>4</v>
      </c>
      <c r="B66" s="50">
        <v>80</v>
      </c>
    </row>
    <row r="67" spans="1:2" x14ac:dyDescent="0.25">
      <c r="A67" t="s">
        <v>12</v>
      </c>
      <c r="B67" s="50">
        <v>70</v>
      </c>
    </row>
    <row r="68" spans="1:2" x14ac:dyDescent="0.25">
      <c r="A68" t="s">
        <v>6</v>
      </c>
      <c r="B68" s="41">
        <f>ROUND(IF(SUM(B67)&gt;=SUM(B66)*0.9,6,IF(SUM(B67)&lt;=SUM(B66)*0.16,1,IF(SUM(B67)&gt;SUM(B66)*0.6,(2/((SUM(B66)*0.9)-(SUM(B66)*0.6))*SUM(B67)),(4/(SUM(B66)*0.6)*SUM(B67))))),1)</f>
        <v>5.8</v>
      </c>
    </row>
    <row r="69" spans="1:2" x14ac:dyDescent="0.25">
      <c r="A69" t="s">
        <v>15</v>
      </c>
      <c r="B69" s="42">
        <f>100/B66*B67/100</f>
        <v>0.875</v>
      </c>
    </row>
  </sheetData>
  <sheetProtection formatCells="0"/>
  <conditionalFormatting sqref="C29 C1:C5 C14 D6:D13 C37 C47 C58 C64:C1048576 D59:D63 D48:D57 D38:D46 D30:D36 D15:D28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2">
    <dataValidation type="list" allowBlank="1" showInputMessage="1" showErrorMessage="1" sqref="D7:D13" xr:uid="{9173D222-E7E8-4140-B11E-89D2885B1217}">
      <formula1>Status_Fach</formula1>
    </dataValidation>
    <dataValidation type="list" allowBlank="1" showInputMessage="1" showErrorMessage="1" sqref="B3" xr:uid="{C78181FF-5111-4B91-B269-4F548FEE7BB1}">
      <formula1>Vertiefungsrichtung</formula1>
    </dataValidation>
  </dataValidations>
  <pageMargins left="0.7" right="0.7" top="0.78740157499999996" bottom="0.78740157499999996" header="0.3" footer="0.3"/>
  <pageSetup paperSize="9" scale="92" orientation="landscape" verticalDpi="200" r:id="rId1"/>
  <rowBreaks count="1" manualBreakCount="1">
    <brk id="37" max="16383" man="1"/>
  </rowBreaks>
  <colBreaks count="1" manualBreakCount="1">
    <brk id="8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T55"/>
  <sheetViews>
    <sheetView zoomScale="80" zoomScaleNormal="80" workbookViewId="0">
      <selection activeCell="D5" sqref="D5"/>
    </sheetView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42578125" bestFit="1" customWidth="1"/>
    <col min="4" max="4" width="11.42578125" bestFit="1" customWidth="1"/>
    <col min="5" max="6" width="20" bestFit="1" customWidth="1"/>
    <col min="7" max="7" width="12" bestFit="1" customWidth="1"/>
    <col min="8" max="9" width="15.85546875" bestFit="1" customWidth="1"/>
    <col min="10" max="11" width="11.7109375" bestFit="1" customWidth="1"/>
    <col min="12" max="12" width="15.42578125" bestFit="1" customWidth="1"/>
    <col min="13" max="13" width="15.28515625" bestFit="1" customWidth="1"/>
    <col min="14" max="14" width="10.85546875" bestFit="1" customWidth="1"/>
    <col min="15" max="46" width="3.42578125" customWidth="1" outlineLevel="1"/>
    <col min="47" max="61" width="3.28515625" customWidth="1" outlineLevel="1"/>
    <col min="62" max="62" width="3.28515625" style="9" customWidth="1"/>
    <col min="63" max="84" width="3.28515625" style="9" customWidth="1" outlineLevel="1"/>
    <col min="85" max="99" width="3.28515625" customWidth="1" outlineLevel="1"/>
    <col min="100" max="100" width="3.42578125" customWidth="1"/>
    <col min="101" max="137" width="3.42578125" customWidth="1" outlineLevel="1"/>
    <col min="138" max="138" width="3.42578125" customWidth="1"/>
    <col min="139" max="175" width="3.42578125" customWidth="1" outlineLevel="1"/>
    <col min="176" max="176" width="3.42578125" customWidth="1"/>
    <col min="177" max="213" width="3.42578125" customWidth="1" outlineLevel="1"/>
    <col min="214" max="214" width="3.42578125" customWidth="1"/>
    <col min="215" max="251" width="3.42578125" customWidth="1" outlineLevel="1"/>
    <col min="252" max="253" width="3.42578125" customWidth="1"/>
    <col min="254" max="254" width="3.28515625" customWidth="1"/>
  </cols>
  <sheetData>
    <row r="1" spans="1:254" ht="20.25" thickBot="1" x14ac:dyDescent="0.35">
      <c r="A1" s="1" t="s">
        <v>109</v>
      </c>
    </row>
    <row r="2" spans="1:254" x14ac:dyDescent="0.25">
      <c r="O2" s="77" t="s">
        <v>110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77" t="s">
        <v>111</v>
      </c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9"/>
      <c r="CY2" s="80" t="s">
        <v>112</v>
      </c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2"/>
      <c r="EK2" s="80" t="s">
        <v>113</v>
      </c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2"/>
      <c r="FW2" s="80" t="s">
        <v>114</v>
      </c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2"/>
      <c r="HI2" s="80" t="s">
        <v>115</v>
      </c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2"/>
    </row>
    <row r="3" spans="1:254" x14ac:dyDescent="0.25">
      <c r="O3" s="10"/>
      <c r="BJ3" s="21"/>
      <c r="BK3" s="20"/>
      <c r="CX3" s="11"/>
      <c r="EG3" s="32"/>
      <c r="EH3" s="32"/>
      <c r="EI3" s="32"/>
      <c r="EJ3" s="32"/>
      <c r="EK3" s="33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4"/>
      <c r="FW3" s="33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H3" s="34"/>
      <c r="HI3" s="10"/>
      <c r="IQ3" s="32"/>
      <c r="IS3" s="32"/>
      <c r="IT3" s="11"/>
    </row>
    <row r="4" spans="1:254" ht="80.25" customHeight="1" x14ac:dyDescent="0.25">
      <c r="A4" t="s">
        <v>20</v>
      </c>
      <c r="B4" t="s">
        <v>2</v>
      </c>
      <c r="C4" s="9" t="s">
        <v>21</v>
      </c>
      <c r="D4" t="s">
        <v>3</v>
      </c>
      <c r="E4" t="s">
        <v>4</v>
      </c>
      <c r="F4" t="s">
        <v>116</v>
      </c>
      <c r="G4" t="s">
        <v>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s="61" t="s">
        <v>124</v>
      </c>
      <c r="P4" s="62" t="s">
        <v>125</v>
      </c>
      <c r="Q4" s="62" t="s">
        <v>126</v>
      </c>
      <c r="R4" s="62" t="s">
        <v>127</v>
      </c>
      <c r="S4" s="62" t="s">
        <v>128</v>
      </c>
      <c r="T4" s="62" t="s">
        <v>129</v>
      </c>
      <c r="U4" s="62" t="s">
        <v>130</v>
      </c>
      <c r="V4" s="62" t="s">
        <v>131</v>
      </c>
      <c r="W4" s="62" t="s">
        <v>132</v>
      </c>
      <c r="X4" s="62" t="s">
        <v>133</v>
      </c>
      <c r="Y4" s="62" t="s">
        <v>134</v>
      </c>
      <c r="Z4" s="62" t="s">
        <v>135</v>
      </c>
      <c r="AA4" s="62" t="s">
        <v>136</v>
      </c>
      <c r="AB4" s="62" t="s">
        <v>137</v>
      </c>
      <c r="AC4" s="62" t="s">
        <v>138</v>
      </c>
      <c r="AD4" s="62" t="s">
        <v>139</v>
      </c>
      <c r="AE4" s="62" t="s">
        <v>140</v>
      </c>
      <c r="AF4" s="62" t="s">
        <v>141</v>
      </c>
      <c r="AG4" s="62" t="s">
        <v>142</v>
      </c>
      <c r="AH4" s="62" t="s">
        <v>143</v>
      </c>
      <c r="AI4" s="62" t="s">
        <v>144</v>
      </c>
      <c r="AJ4" s="62" t="s">
        <v>145</v>
      </c>
      <c r="AK4" s="62" t="s">
        <v>146</v>
      </c>
      <c r="AL4" s="62" t="s">
        <v>147</v>
      </c>
      <c r="AM4" s="62" t="s">
        <v>148</v>
      </c>
      <c r="AN4" s="62" t="s">
        <v>149</v>
      </c>
      <c r="AO4" s="62" t="s">
        <v>150</v>
      </c>
      <c r="AP4" s="62" t="s">
        <v>151</v>
      </c>
      <c r="AQ4" s="62" t="s">
        <v>152</v>
      </c>
      <c r="AR4" s="62" t="s">
        <v>153</v>
      </c>
      <c r="AS4" s="62" t="s">
        <v>154</v>
      </c>
      <c r="AT4" s="62" t="s">
        <v>155</v>
      </c>
      <c r="AU4" s="62" t="s">
        <v>156</v>
      </c>
      <c r="AV4" s="62" t="s">
        <v>157</v>
      </c>
      <c r="AW4" s="62" t="s">
        <v>158</v>
      </c>
      <c r="AX4" s="62" t="s">
        <v>159</v>
      </c>
      <c r="AY4" s="62" t="s">
        <v>160</v>
      </c>
      <c r="AZ4" s="62" t="s">
        <v>161</v>
      </c>
      <c r="BA4" s="62" t="s">
        <v>162</v>
      </c>
      <c r="BB4" s="62" t="s">
        <v>163</v>
      </c>
      <c r="BC4" s="62" t="s">
        <v>164</v>
      </c>
      <c r="BD4" s="62" t="s">
        <v>165</v>
      </c>
      <c r="BE4" s="62" t="s">
        <v>166</v>
      </c>
      <c r="BF4" s="62" t="s">
        <v>167</v>
      </c>
      <c r="BG4" s="62" t="s">
        <v>168</v>
      </c>
      <c r="BH4" s="62" t="s">
        <v>169</v>
      </c>
      <c r="BI4" s="62" t="s">
        <v>170</v>
      </c>
      <c r="BJ4" s="63" t="s">
        <v>171</v>
      </c>
      <c r="BK4" s="28" t="s">
        <v>172</v>
      </c>
      <c r="BL4" s="40" t="s">
        <v>173</v>
      </c>
      <c r="BM4" s="40" t="s">
        <v>174</v>
      </c>
      <c r="BN4" s="40" t="s">
        <v>175</v>
      </c>
      <c r="BO4" s="40" t="s">
        <v>176</v>
      </c>
      <c r="BP4" s="40" t="s">
        <v>177</v>
      </c>
      <c r="BQ4" s="40" t="s">
        <v>178</v>
      </c>
      <c r="BR4" s="40" t="s">
        <v>179</v>
      </c>
      <c r="BS4" s="40" t="s">
        <v>180</v>
      </c>
      <c r="BT4" s="40" t="s">
        <v>181</v>
      </c>
      <c r="BU4" s="40" t="s">
        <v>182</v>
      </c>
      <c r="BV4" s="40" t="s">
        <v>183</v>
      </c>
      <c r="BW4" s="40" t="s">
        <v>184</v>
      </c>
      <c r="BX4" s="40" t="s">
        <v>185</v>
      </c>
      <c r="BY4" s="40" t="s">
        <v>186</v>
      </c>
      <c r="BZ4" s="40" t="s">
        <v>187</v>
      </c>
      <c r="CA4" s="40" t="s">
        <v>188</v>
      </c>
      <c r="CB4" s="40" t="s">
        <v>189</v>
      </c>
      <c r="CC4" s="40" t="s">
        <v>190</v>
      </c>
      <c r="CD4" s="40" t="s">
        <v>191</v>
      </c>
      <c r="CE4" s="40" t="s">
        <v>192</v>
      </c>
      <c r="CF4" s="40" t="s">
        <v>193</v>
      </c>
      <c r="CG4" s="40" t="s">
        <v>194</v>
      </c>
      <c r="CH4" s="40" t="s">
        <v>195</v>
      </c>
      <c r="CI4" s="8" t="s">
        <v>196</v>
      </c>
      <c r="CJ4" s="8" t="s">
        <v>197</v>
      </c>
      <c r="CK4" s="8" t="s">
        <v>198</v>
      </c>
      <c r="CL4" s="8" t="s">
        <v>199</v>
      </c>
      <c r="CM4" s="8" t="s">
        <v>200</v>
      </c>
      <c r="CN4" s="8" t="s">
        <v>201</v>
      </c>
      <c r="CO4" s="8" t="s">
        <v>202</v>
      </c>
      <c r="CP4" s="8" t="s">
        <v>203</v>
      </c>
      <c r="CQ4" s="8" t="s">
        <v>204</v>
      </c>
      <c r="CR4" s="8" t="s">
        <v>205</v>
      </c>
      <c r="CS4" s="8" t="s">
        <v>206</v>
      </c>
      <c r="CT4" s="8" t="s">
        <v>207</v>
      </c>
      <c r="CU4" s="8" t="s">
        <v>208</v>
      </c>
      <c r="CV4" s="8" t="s">
        <v>209</v>
      </c>
      <c r="CW4" s="8" t="s">
        <v>210</v>
      </c>
      <c r="CX4" s="12" t="s">
        <v>211</v>
      </c>
      <c r="CY4" s="8" t="s">
        <v>212</v>
      </c>
      <c r="CZ4" s="8" t="s">
        <v>213</v>
      </c>
      <c r="DA4" s="8" t="s">
        <v>214</v>
      </c>
      <c r="DB4" s="23" t="s">
        <v>215</v>
      </c>
      <c r="DC4" s="23" t="s">
        <v>216</v>
      </c>
      <c r="DD4" s="23" t="s">
        <v>217</v>
      </c>
      <c r="DE4" s="23" t="s">
        <v>218</v>
      </c>
      <c r="DF4" s="23" t="s">
        <v>219</v>
      </c>
      <c r="DG4" s="23" t="s">
        <v>220</v>
      </c>
      <c r="DH4" s="23" t="s">
        <v>221</v>
      </c>
      <c r="DI4" s="23" t="s">
        <v>222</v>
      </c>
      <c r="DJ4" s="23" t="s">
        <v>223</v>
      </c>
      <c r="DK4" s="23" t="s">
        <v>224</v>
      </c>
      <c r="DL4" s="23" t="s">
        <v>225</v>
      </c>
      <c r="DM4" s="23" t="s">
        <v>226</v>
      </c>
      <c r="DN4" s="23" t="s">
        <v>227</v>
      </c>
      <c r="DO4" s="23" t="s">
        <v>228</v>
      </c>
      <c r="DP4" s="23" t="s">
        <v>229</v>
      </c>
      <c r="DQ4" s="23" t="s">
        <v>230</v>
      </c>
      <c r="DR4" s="23" t="s">
        <v>231</v>
      </c>
      <c r="DS4" s="23" t="s">
        <v>232</v>
      </c>
      <c r="DT4" s="23" t="s">
        <v>233</v>
      </c>
      <c r="DU4" s="23" t="s">
        <v>234</v>
      </c>
      <c r="DV4" s="23" t="s">
        <v>235</v>
      </c>
      <c r="DW4" s="23" t="s">
        <v>236</v>
      </c>
      <c r="DX4" s="23" t="s">
        <v>237</v>
      </c>
      <c r="DY4" s="23" t="s">
        <v>238</v>
      </c>
      <c r="DZ4" s="23" t="s">
        <v>239</v>
      </c>
      <c r="EA4" s="23" t="s">
        <v>240</v>
      </c>
      <c r="EB4" s="23" t="s">
        <v>241</v>
      </c>
      <c r="EC4" s="23" t="s">
        <v>242</v>
      </c>
      <c r="ED4" s="23" t="s">
        <v>243</v>
      </c>
      <c r="EE4" s="23" t="s">
        <v>244</v>
      </c>
      <c r="EF4" s="23" t="s">
        <v>245</v>
      </c>
      <c r="EG4" s="23" t="s">
        <v>246</v>
      </c>
      <c r="EH4" s="23" t="s">
        <v>247</v>
      </c>
      <c r="EI4" s="23" t="s">
        <v>248</v>
      </c>
      <c r="EJ4" s="23" t="s">
        <v>249</v>
      </c>
      <c r="EK4" s="26" t="s">
        <v>250</v>
      </c>
      <c r="EL4" s="23" t="s">
        <v>251</v>
      </c>
      <c r="EM4" s="23" t="s">
        <v>252</v>
      </c>
      <c r="EN4" s="23" t="s">
        <v>253</v>
      </c>
      <c r="EO4" s="23" t="s">
        <v>254</v>
      </c>
      <c r="EP4" s="23" t="s">
        <v>255</v>
      </c>
      <c r="EQ4" s="23" t="s">
        <v>256</v>
      </c>
      <c r="ER4" s="23" t="s">
        <v>257</v>
      </c>
      <c r="ES4" s="23" t="s">
        <v>258</v>
      </c>
      <c r="ET4" s="23" t="s">
        <v>259</v>
      </c>
      <c r="EU4" s="23" t="s">
        <v>260</v>
      </c>
      <c r="EV4" s="23" t="s">
        <v>261</v>
      </c>
      <c r="EW4" s="23" t="s">
        <v>262</v>
      </c>
      <c r="EX4" s="23" t="s">
        <v>263</v>
      </c>
      <c r="EY4" s="23" t="s">
        <v>264</v>
      </c>
      <c r="EZ4" s="23" t="s">
        <v>265</v>
      </c>
      <c r="FA4" s="23" t="s">
        <v>266</v>
      </c>
      <c r="FB4" s="23" t="s">
        <v>267</v>
      </c>
      <c r="FC4" s="23" t="s">
        <v>268</v>
      </c>
      <c r="FD4" s="23" t="s">
        <v>269</v>
      </c>
      <c r="FE4" s="23" t="s">
        <v>270</v>
      </c>
      <c r="FF4" s="23" t="s">
        <v>271</v>
      </c>
      <c r="FG4" s="23" t="s">
        <v>272</v>
      </c>
      <c r="FH4" s="23" t="s">
        <v>273</v>
      </c>
      <c r="FI4" s="23" t="s">
        <v>274</v>
      </c>
      <c r="FJ4" s="23" t="s">
        <v>275</v>
      </c>
      <c r="FK4" s="23" t="s">
        <v>276</v>
      </c>
      <c r="FL4" s="23" t="s">
        <v>277</v>
      </c>
      <c r="FM4" s="23" t="s">
        <v>278</v>
      </c>
      <c r="FN4" s="23" t="s">
        <v>279</v>
      </c>
      <c r="FO4" s="24" t="s">
        <v>280</v>
      </c>
      <c r="FP4" s="24" t="s">
        <v>281</v>
      </c>
      <c r="FQ4" s="24" t="s">
        <v>282</v>
      </c>
      <c r="FR4" s="24" t="s">
        <v>283</v>
      </c>
      <c r="FS4" s="24" t="s">
        <v>284</v>
      </c>
      <c r="FT4" s="24" t="s">
        <v>285</v>
      </c>
      <c r="FU4" s="24" t="s">
        <v>286</v>
      </c>
      <c r="FV4" s="25" t="s">
        <v>287</v>
      </c>
      <c r="FW4" s="27" t="s">
        <v>288</v>
      </c>
      <c r="FX4" s="24" t="s">
        <v>289</v>
      </c>
      <c r="FY4" s="24" t="s">
        <v>290</v>
      </c>
      <c r="FZ4" s="24" t="s">
        <v>291</v>
      </c>
      <c r="GA4" s="24" t="s">
        <v>292</v>
      </c>
      <c r="GB4" s="24" t="s">
        <v>293</v>
      </c>
      <c r="GC4" s="24" t="s">
        <v>294</v>
      </c>
      <c r="GD4" s="24" t="s">
        <v>295</v>
      </c>
      <c r="GE4" s="24" t="s">
        <v>296</v>
      </c>
      <c r="GF4" s="24" t="s">
        <v>297</v>
      </c>
      <c r="GG4" s="24" t="s">
        <v>298</v>
      </c>
      <c r="GH4" s="24" t="s">
        <v>299</v>
      </c>
      <c r="GI4" s="24" t="s">
        <v>300</v>
      </c>
      <c r="GJ4" s="24" t="s">
        <v>301</v>
      </c>
      <c r="GK4" s="24" t="s">
        <v>302</v>
      </c>
      <c r="GL4" s="24" t="s">
        <v>303</v>
      </c>
      <c r="GM4" s="24" t="s">
        <v>304</v>
      </c>
      <c r="GN4" s="24" t="s">
        <v>305</v>
      </c>
      <c r="GO4" s="24" t="s">
        <v>306</v>
      </c>
      <c r="GP4" s="24" t="s">
        <v>307</v>
      </c>
      <c r="GQ4" s="24" t="s">
        <v>308</v>
      </c>
      <c r="GR4" s="24" t="s">
        <v>309</v>
      </c>
      <c r="GS4" s="24" t="s">
        <v>310</v>
      </c>
      <c r="GT4" s="24" t="s">
        <v>311</v>
      </c>
      <c r="GU4" s="24" t="s">
        <v>312</v>
      </c>
      <c r="GV4" s="24" t="s">
        <v>313</v>
      </c>
      <c r="GW4" s="24" t="s">
        <v>314</v>
      </c>
      <c r="GX4" s="24" t="s">
        <v>315</v>
      </c>
      <c r="GY4" s="24" t="s">
        <v>316</v>
      </c>
      <c r="GZ4" s="24" t="s">
        <v>317</v>
      </c>
      <c r="HA4" s="24" t="s">
        <v>318</v>
      </c>
      <c r="HB4" s="24" t="s">
        <v>319</v>
      </c>
      <c r="HC4" s="24" t="s">
        <v>320</v>
      </c>
      <c r="HD4" s="24" t="s">
        <v>321</v>
      </c>
      <c r="HE4" s="24" t="s">
        <v>322</v>
      </c>
      <c r="HF4" s="24" t="s">
        <v>323</v>
      </c>
      <c r="HG4" s="24" t="s">
        <v>324</v>
      </c>
      <c r="HH4" s="25" t="s">
        <v>325</v>
      </c>
      <c r="HI4" s="27" t="s">
        <v>326</v>
      </c>
      <c r="HJ4" s="24" t="s">
        <v>327</v>
      </c>
      <c r="HK4" s="24" t="s">
        <v>328</v>
      </c>
      <c r="HL4" s="24" t="s">
        <v>329</v>
      </c>
      <c r="HM4" s="24" t="s">
        <v>330</v>
      </c>
      <c r="HN4" s="24" t="s">
        <v>331</v>
      </c>
      <c r="HO4" s="24" t="s">
        <v>332</v>
      </c>
      <c r="HP4" s="24" t="s">
        <v>333</v>
      </c>
      <c r="HQ4" s="24" t="s">
        <v>334</v>
      </c>
      <c r="HR4" s="24" t="s">
        <v>335</v>
      </c>
      <c r="HS4" s="24" t="s">
        <v>336</v>
      </c>
      <c r="HT4" s="24" t="s">
        <v>337</v>
      </c>
      <c r="HU4" s="24" t="s">
        <v>338</v>
      </c>
      <c r="HV4" s="24" t="s">
        <v>339</v>
      </c>
      <c r="HW4" s="24" t="s">
        <v>340</v>
      </c>
      <c r="HX4" s="24" t="s">
        <v>341</v>
      </c>
      <c r="HY4" s="24" t="s">
        <v>342</v>
      </c>
      <c r="HZ4" s="24" t="s">
        <v>343</v>
      </c>
      <c r="IA4" s="24" t="s">
        <v>344</v>
      </c>
      <c r="IB4" s="24" t="s">
        <v>345</v>
      </c>
      <c r="IC4" s="24" t="s">
        <v>346</v>
      </c>
      <c r="ID4" s="24" t="s">
        <v>347</v>
      </c>
      <c r="IE4" s="24" t="s">
        <v>348</v>
      </c>
      <c r="IF4" s="24" t="s">
        <v>349</v>
      </c>
      <c r="IG4" s="24" t="s">
        <v>350</v>
      </c>
      <c r="IH4" s="24" t="s">
        <v>351</v>
      </c>
      <c r="II4" s="24" t="s">
        <v>352</v>
      </c>
      <c r="IJ4" s="24" t="s">
        <v>353</v>
      </c>
      <c r="IK4" s="24" t="s">
        <v>354</v>
      </c>
      <c r="IL4" s="24" t="s">
        <v>355</v>
      </c>
      <c r="IM4" s="24" t="s">
        <v>356</v>
      </c>
      <c r="IN4" s="24" t="s">
        <v>357</v>
      </c>
      <c r="IO4" s="24" t="s">
        <v>358</v>
      </c>
      <c r="IP4" s="24" t="s">
        <v>359</v>
      </c>
      <c r="IQ4" s="24" t="s">
        <v>360</v>
      </c>
      <c r="IR4" s="24" t="s">
        <v>361</v>
      </c>
      <c r="IS4" s="24" t="s">
        <v>362</v>
      </c>
      <c r="IT4" s="25" t="s">
        <v>363</v>
      </c>
    </row>
    <row r="5" spans="1:254" x14ac:dyDescent="0.25">
      <c r="A5" t="s">
        <v>27</v>
      </c>
      <c r="B5" t="s">
        <v>28</v>
      </c>
      <c r="C5" s="9" t="s">
        <v>364</v>
      </c>
      <c r="D5" s="48">
        <v>1</v>
      </c>
      <c r="E5">
        <f>VLOOKUP(TBL_Grundstudium[[#This Row],[Grundfächer]],Übersicht_Fächer!$A$2:$E$32,5,0)</f>
        <v>72</v>
      </c>
      <c r="F5">
        <f>TBL_Grundstudium[[#This Row],[Mastery Max]]+TBL_Grundstudium[[#This Row],[ATL Max]]+TBL_Grundstudium[[#This Row],[Präsenz Max]]</f>
        <v>8</v>
      </c>
      <c r="G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5">
        <f>TBL_Grundstudium[[#This Row],[Mastery]]+TBL_Grundstudium[[#This Row],[ATL]]+TBL_Grundstudium[[#This Row],[Präsenz]]</f>
        <v>0</v>
      </c>
      <c r="I5" s="50"/>
      <c r="J5" s="50"/>
      <c r="K5" s="50"/>
      <c r="L5" s="50"/>
      <c r="M5">
        <f>VLOOKUP(TBL_Grundstudium[[#This Row],[Grundfächer]],Übersicht_Fächer!$A$2:$D$32,4,0)</f>
        <v>8</v>
      </c>
      <c r="N5">
        <f>SUM(TBL_Grundstudium[[#This Row],[01.02.2022]:[26.06.2025]])</f>
        <v>0</v>
      </c>
      <c r="O5" s="51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52"/>
      <c r="BK5" s="51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4"/>
      <c r="CY5" s="48" t="s">
        <v>19</v>
      </c>
      <c r="CZ5" s="48" t="s">
        <v>19</v>
      </c>
      <c r="DA5" s="48" t="s">
        <v>19</v>
      </c>
      <c r="DB5" s="48" t="s">
        <v>19</v>
      </c>
      <c r="DC5" s="48" t="s">
        <v>19</v>
      </c>
      <c r="DD5" s="48" t="s">
        <v>19</v>
      </c>
      <c r="DE5" s="48" t="s">
        <v>19</v>
      </c>
      <c r="DF5" s="48" t="s">
        <v>19</v>
      </c>
      <c r="DG5" s="48" t="s">
        <v>19</v>
      </c>
      <c r="DH5" s="48" t="s">
        <v>19</v>
      </c>
      <c r="DI5" s="48" t="s">
        <v>19</v>
      </c>
      <c r="DJ5" s="48" t="s">
        <v>19</v>
      </c>
      <c r="DK5" s="48" t="s">
        <v>19</v>
      </c>
      <c r="DL5" s="48" t="s">
        <v>19</v>
      </c>
      <c r="DM5" s="48" t="s">
        <v>19</v>
      </c>
      <c r="DN5" s="48" t="s">
        <v>19</v>
      </c>
      <c r="DO5" s="48" t="s">
        <v>19</v>
      </c>
      <c r="DP5" s="48" t="s">
        <v>19</v>
      </c>
      <c r="DQ5" s="48" t="s">
        <v>19</v>
      </c>
      <c r="DR5" s="48" t="s">
        <v>19</v>
      </c>
      <c r="DS5" s="48" t="s">
        <v>19</v>
      </c>
      <c r="DT5" s="48" t="s">
        <v>19</v>
      </c>
      <c r="DU5" s="48" t="s">
        <v>19</v>
      </c>
      <c r="DV5" s="48" t="s">
        <v>19</v>
      </c>
      <c r="DW5" s="48" t="s">
        <v>19</v>
      </c>
      <c r="DX5" s="48" t="s">
        <v>19</v>
      </c>
      <c r="DY5" s="48" t="s">
        <v>19</v>
      </c>
      <c r="DZ5" s="48" t="s">
        <v>19</v>
      </c>
      <c r="EA5" s="48" t="s">
        <v>19</v>
      </c>
      <c r="EB5" s="48" t="s">
        <v>19</v>
      </c>
      <c r="EC5" s="48" t="s">
        <v>19</v>
      </c>
      <c r="ED5" s="48" t="s">
        <v>19</v>
      </c>
      <c r="EE5" s="48" t="s">
        <v>19</v>
      </c>
      <c r="EF5" s="48" t="s">
        <v>19</v>
      </c>
      <c r="EG5" s="48" t="s">
        <v>19</v>
      </c>
      <c r="EH5" s="48" t="s">
        <v>19</v>
      </c>
      <c r="EI5" s="48" t="s">
        <v>19</v>
      </c>
      <c r="EJ5" s="48" t="s">
        <v>19</v>
      </c>
      <c r="EK5" s="51" t="s">
        <v>19</v>
      </c>
      <c r="EL5" s="48" t="s">
        <v>19</v>
      </c>
      <c r="EM5" s="48" t="s">
        <v>19</v>
      </c>
      <c r="EN5" s="48" t="s">
        <v>19</v>
      </c>
      <c r="EO5" s="48" t="s">
        <v>19</v>
      </c>
      <c r="EP5" s="48" t="s">
        <v>19</v>
      </c>
      <c r="EQ5" s="48" t="s">
        <v>19</v>
      </c>
      <c r="ER5" s="48" t="s">
        <v>19</v>
      </c>
      <c r="ES5" s="48" t="s">
        <v>19</v>
      </c>
      <c r="ET5" s="48" t="s">
        <v>19</v>
      </c>
      <c r="EU5" s="48" t="s">
        <v>19</v>
      </c>
      <c r="EV5" s="48" t="s">
        <v>19</v>
      </c>
      <c r="EW5" s="48" t="s">
        <v>19</v>
      </c>
      <c r="EX5" s="48" t="s">
        <v>19</v>
      </c>
      <c r="EY5" s="48" t="s">
        <v>19</v>
      </c>
      <c r="EZ5" s="48" t="s">
        <v>19</v>
      </c>
      <c r="FA5" s="48" t="s">
        <v>19</v>
      </c>
      <c r="FB5" s="48" t="s">
        <v>19</v>
      </c>
      <c r="FC5" s="48" t="s">
        <v>19</v>
      </c>
      <c r="FD5" s="48" t="s">
        <v>19</v>
      </c>
      <c r="FE5" s="48" t="s">
        <v>19</v>
      </c>
      <c r="FF5" s="48" t="s">
        <v>19</v>
      </c>
      <c r="FG5" s="48" t="s">
        <v>19</v>
      </c>
      <c r="FH5" s="48" t="s">
        <v>19</v>
      </c>
      <c r="FI5" s="48" t="s">
        <v>19</v>
      </c>
      <c r="FJ5" s="48" t="s">
        <v>19</v>
      </c>
      <c r="FK5" s="48" t="s">
        <v>19</v>
      </c>
      <c r="FL5" s="48" t="s">
        <v>19</v>
      </c>
      <c r="FM5" s="48" t="s">
        <v>19</v>
      </c>
      <c r="FN5" s="48" t="s">
        <v>19</v>
      </c>
      <c r="FO5" s="48" t="s">
        <v>19</v>
      </c>
      <c r="FP5" s="48" t="s">
        <v>19</v>
      </c>
      <c r="FQ5" s="48" t="s">
        <v>19</v>
      </c>
      <c r="FR5" s="48" t="s">
        <v>19</v>
      </c>
      <c r="FS5" s="48" t="s">
        <v>19</v>
      </c>
      <c r="FT5" s="48" t="s">
        <v>19</v>
      </c>
      <c r="FU5" s="48" t="s">
        <v>19</v>
      </c>
      <c r="FV5" s="52" t="s">
        <v>19</v>
      </c>
      <c r="FW5" s="51" t="s">
        <v>19</v>
      </c>
      <c r="FX5" s="48" t="s">
        <v>19</v>
      </c>
      <c r="FY5" s="48" t="s">
        <v>19</v>
      </c>
      <c r="FZ5" s="48" t="s">
        <v>19</v>
      </c>
      <c r="GA5" s="48" t="s">
        <v>19</v>
      </c>
      <c r="GB5" s="48" t="s">
        <v>19</v>
      </c>
      <c r="GC5" s="48" t="s">
        <v>19</v>
      </c>
      <c r="GD5" s="48" t="s">
        <v>19</v>
      </c>
      <c r="GE5" s="48" t="s">
        <v>19</v>
      </c>
      <c r="GF5" s="48" t="s">
        <v>19</v>
      </c>
      <c r="GG5" s="48" t="s">
        <v>19</v>
      </c>
      <c r="GH5" s="48" t="s">
        <v>19</v>
      </c>
      <c r="GI5" s="48" t="s">
        <v>19</v>
      </c>
      <c r="GJ5" s="48" t="s">
        <v>19</v>
      </c>
      <c r="GK5" s="48" t="s">
        <v>19</v>
      </c>
      <c r="GL5" s="48" t="s">
        <v>19</v>
      </c>
      <c r="GM5" s="48" t="s">
        <v>19</v>
      </c>
      <c r="GN5" s="48" t="s">
        <v>19</v>
      </c>
      <c r="GO5" s="48" t="s">
        <v>19</v>
      </c>
      <c r="GP5" s="48" t="s">
        <v>19</v>
      </c>
      <c r="GQ5" s="48" t="s">
        <v>19</v>
      </c>
      <c r="GR5" s="48" t="s">
        <v>19</v>
      </c>
      <c r="GS5" s="48" t="s">
        <v>19</v>
      </c>
      <c r="GT5" s="48" t="s">
        <v>19</v>
      </c>
      <c r="GU5" s="48" t="s">
        <v>19</v>
      </c>
      <c r="GV5" s="48" t="s">
        <v>19</v>
      </c>
      <c r="GW5" s="48" t="s">
        <v>19</v>
      </c>
      <c r="GX5" s="48" t="s">
        <v>19</v>
      </c>
      <c r="GY5" s="48" t="s">
        <v>19</v>
      </c>
      <c r="GZ5" s="48" t="s">
        <v>19</v>
      </c>
      <c r="HA5" s="48" t="s">
        <v>19</v>
      </c>
      <c r="HB5" s="48" t="s">
        <v>19</v>
      </c>
      <c r="HC5" s="48" t="s">
        <v>19</v>
      </c>
      <c r="HD5" s="48" t="s">
        <v>19</v>
      </c>
      <c r="HE5" s="48" t="s">
        <v>19</v>
      </c>
      <c r="HF5" s="48" t="s">
        <v>19</v>
      </c>
      <c r="HG5" s="48" t="s">
        <v>19</v>
      </c>
      <c r="HH5" s="52" t="s">
        <v>19</v>
      </c>
      <c r="HI5" s="51" t="s">
        <v>19</v>
      </c>
      <c r="HJ5" s="48" t="s">
        <v>19</v>
      </c>
      <c r="HK5" s="48" t="s">
        <v>19</v>
      </c>
      <c r="HL5" s="48" t="s">
        <v>19</v>
      </c>
      <c r="HM5" s="48" t="s">
        <v>19</v>
      </c>
      <c r="HN5" s="48" t="s">
        <v>19</v>
      </c>
      <c r="HO5" s="48" t="s">
        <v>19</v>
      </c>
      <c r="HP5" s="48" t="s">
        <v>19</v>
      </c>
      <c r="HQ5" s="48" t="s">
        <v>19</v>
      </c>
      <c r="HR5" s="48" t="s">
        <v>19</v>
      </c>
      <c r="HS5" s="48" t="s">
        <v>19</v>
      </c>
      <c r="HT5" s="48" t="s">
        <v>19</v>
      </c>
      <c r="HU5" s="48" t="s">
        <v>19</v>
      </c>
      <c r="HV5" s="48" t="s">
        <v>19</v>
      </c>
      <c r="HW5" s="48" t="s">
        <v>19</v>
      </c>
      <c r="HX5" s="48" t="s">
        <v>19</v>
      </c>
      <c r="HY5" s="48" t="s">
        <v>19</v>
      </c>
      <c r="HZ5" s="48" t="s">
        <v>19</v>
      </c>
      <c r="IA5" s="48" t="s">
        <v>19</v>
      </c>
      <c r="IB5" s="48" t="s">
        <v>19</v>
      </c>
      <c r="IC5" s="48" t="s">
        <v>19</v>
      </c>
      <c r="ID5" s="48" t="s">
        <v>19</v>
      </c>
      <c r="IE5" s="48" t="s">
        <v>19</v>
      </c>
      <c r="IF5" s="48" t="s">
        <v>19</v>
      </c>
      <c r="IG5" s="48" t="s">
        <v>19</v>
      </c>
      <c r="IH5" s="48" t="s">
        <v>19</v>
      </c>
      <c r="II5" s="48" t="s">
        <v>19</v>
      </c>
      <c r="IJ5" s="48" t="s">
        <v>19</v>
      </c>
      <c r="IK5" s="48" t="s">
        <v>19</v>
      </c>
      <c r="IL5" s="48" t="s">
        <v>19</v>
      </c>
      <c r="IM5" s="48" t="s">
        <v>19</v>
      </c>
      <c r="IN5" s="48" t="s">
        <v>19</v>
      </c>
      <c r="IO5" s="48" t="s">
        <v>19</v>
      </c>
      <c r="IP5" s="48" t="s">
        <v>19</v>
      </c>
      <c r="IQ5" s="48" t="s">
        <v>19</v>
      </c>
      <c r="IR5" s="48" t="s">
        <v>19</v>
      </c>
      <c r="IS5" s="48" t="s">
        <v>19</v>
      </c>
      <c r="IT5" s="52" t="s">
        <v>19</v>
      </c>
    </row>
    <row r="6" spans="1:254" x14ac:dyDescent="0.25">
      <c r="A6" t="s">
        <v>30</v>
      </c>
      <c r="B6" t="s">
        <v>31</v>
      </c>
      <c r="C6" s="9" t="s">
        <v>364</v>
      </c>
      <c r="D6" s="48">
        <v>1</v>
      </c>
      <c r="E6">
        <f>VLOOKUP(TBL_Grundstudium[[#This Row],[Grundfächer]],Übersicht_Fächer!$A$2:$E$32,5,0)</f>
        <v>144</v>
      </c>
      <c r="F6">
        <f>TBL_Grundstudium[[#This Row],[Mastery Max]]+TBL_Grundstudium[[#This Row],[ATL Max]]+TBL_Grundstudium[[#This Row],[Präsenz Max]]</f>
        <v>16</v>
      </c>
      <c r="G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6">
        <f>TBL_Grundstudium[[#This Row],[Mastery]]+TBL_Grundstudium[[#This Row],[ATL]]+TBL_Grundstudium[[#This Row],[Präsenz]]</f>
        <v>0</v>
      </c>
      <c r="I6" s="50"/>
      <c r="J6" s="50"/>
      <c r="K6" s="50"/>
      <c r="L6" s="50"/>
      <c r="M6">
        <f>VLOOKUP(TBL_Grundstudium[[#This Row],[Grundfächer]],Übersicht_Fächer!$A$2:$D$32,4,0)</f>
        <v>16</v>
      </c>
      <c r="N6">
        <f>SUM(TBL_Grundstudium[[#This Row],[01.02.2022]:[26.06.2025]])</f>
        <v>0</v>
      </c>
      <c r="O6" s="51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52"/>
      <c r="BK6" s="51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4"/>
      <c r="CY6" s="48" t="s">
        <v>19</v>
      </c>
      <c r="CZ6" s="48" t="s">
        <v>19</v>
      </c>
      <c r="DA6" s="48" t="s">
        <v>19</v>
      </c>
      <c r="DB6" s="48" t="s">
        <v>19</v>
      </c>
      <c r="DC6" s="48" t="s">
        <v>19</v>
      </c>
      <c r="DD6" s="48" t="s">
        <v>19</v>
      </c>
      <c r="DE6" s="48" t="s">
        <v>19</v>
      </c>
      <c r="DF6" s="48" t="s">
        <v>19</v>
      </c>
      <c r="DG6" s="48" t="s">
        <v>19</v>
      </c>
      <c r="DH6" s="48" t="s">
        <v>19</v>
      </c>
      <c r="DI6" s="48" t="s">
        <v>19</v>
      </c>
      <c r="DJ6" s="48" t="s">
        <v>19</v>
      </c>
      <c r="DK6" s="48" t="s">
        <v>19</v>
      </c>
      <c r="DL6" s="48" t="s">
        <v>19</v>
      </c>
      <c r="DM6" s="48" t="s">
        <v>19</v>
      </c>
      <c r="DN6" s="48" t="s">
        <v>19</v>
      </c>
      <c r="DO6" s="48" t="s">
        <v>19</v>
      </c>
      <c r="DP6" s="48" t="s">
        <v>19</v>
      </c>
      <c r="DQ6" s="48" t="s">
        <v>19</v>
      </c>
      <c r="DR6" s="48" t="s">
        <v>19</v>
      </c>
      <c r="DS6" s="48" t="s">
        <v>19</v>
      </c>
      <c r="DT6" s="48" t="s">
        <v>19</v>
      </c>
      <c r="DU6" s="48" t="s">
        <v>19</v>
      </c>
      <c r="DV6" s="48" t="s">
        <v>19</v>
      </c>
      <c r="DW6" s="48" t="s">
        <v>19</v>
      </c>
      <c r="DX6" s="48" t="s">
        <v>19</v>
      </c>
      <c r="DY6" s="48" t="s">
        <v>19</v>
      </c>
      <c r="DZ6" s="48" t="s">
        <v>19</v>
      </c>
      <c r="EA6" s="48" t="s">
        <v>19</v>
      </c>
      <c r="EB6" s="48" t="s">
        <v>19</v>
      </c>
      <c r="EC6" s="48" t="s">
        <v>19</v>
      </c>
      <c r="ED6" s="48" t="s">
        <v>19</v>
      </c>
      <c r="EE6" s="48" t="s">
        <v>19</v>
      </c>
      <c r="EF6" s="48" t="s">
        <v>19</v>
      </c>
      <c r="EG6" s="48" t="s">
        <v>19</v>
      </c>
      <c r="EH6" s="48" t="s">
        <v>19</v>
      </c>
      <c r="EI6" s="48" t="s">
        <v>19</v>
      </c>
      <c r="EJ6" s="48" t="s">
        <v>19</v>
      </c>
      <c r="EK6" s="51" t="s">
        <v>19</v>
      </c>
      <c r="EL6" s="48" t="s">
        <v>19</v>
      </c>
      <c r="EM6" s="48" t="s">
        <v>19</v>
      </c>
      <c r="EN6" s="48" t="s">
        <v>19</v>
      </c>
      <c r="EO6" s="48" t="s">
        <v>19</v>
      </c>
      <c r="EP6" s="48" t="s">
        <v>19</v>
      </c>
      <c r="EQ6" s="48" t="s">
        <v>19</v>
      </c>
      <c r="ER6" s="48" t="s">
        <v>19</v>
      </c>
      <c r="ES6" s="48" t="s">
        <v>19</v>
      </c>
      <c r="ET6" s="48" t="s">
        <v>19</v>
      </c>
      <c r="EU6" s="48" t="s">
        <v>19</v>
      </c>
      <c r="EV6" s="48" t="s">
        <v>19</v>
      </c>
      <c r="EW6" s="48" t="s">
        <v>19</v>
      </c>
      <c r="EX6" s="48" t="s">
        <v>19</v>
      </c>
      <c r="EY6" s="48" t="s">
        <v>19</v>
      </c>
      <c r="EZ6" s="48" t="s">
        <v>19</v>
      </c>
      <c r="FA6" s="48" t="s">
        <v>19</v>
      </c>
      <c r="FB6" s="48" t="s">
        <v>19</v>
      </c>
      <c r="FC6" s="48" t="s">
        <v>19</v>
      </c>
      <c r="FD6" s="48" t="s">
        <v>19</v>
      </c>
      <c r="FE6" s="48" t="s">
        <v>19</v>
      </c>
      <c r="FF6" s="48" t="s">
        <v>19</v>
      </c>
      <c r="FG6" s="48" t="s">
        <v>19</v>
      </c>
      <c r="FH6" s="48" t="s">
        <v>19</v>
      </c>
      <c r="FI6" s="48" t="s">
        <v>19</v>
      </c>
      <c r="FJ6" s="48" t="s">
        <v>19</v>
      </c>
      <c r="FK6" s="48" t="s">
        <v>19</v>
      </c>
      <c r="FL6" s="48" t="s">
        <v>19</v>
      </c>
      <c r="FM6" s="48" t="s">
        <v>19</v>
      </c>
      <c r="FN6" s="48" t="s">
        <v>19</v>
      </c>
      <c r="FO6" s="48" t="s">
        <v>19</v>
      </c>
      <c r="FP6" s="48" t="s">
        <v>19</v>
      </c>
      <c r="FQ6" s="48" t="s">
        <v>19</v>
      </c>
      <c r="FR6" s="48" t="s">
        <v>19</v>
      </c>
      <c r="FS6" s="48" t="s">
        <v>19</v>
      </c>
      <c r="FT6" s="48" t="s">
        <v>19</v>
      </c>
      <c r="FU6" s="48" t="s">
        <v>19</v>
      </c>
      <c r="FV6" s="52" t="s">
        <v>19</v>
      </c>
      <c r="FW6" s="51" t="s">
        <v>19</v>
      </c>
      <c r="FX6" s="48" t="s">
        <v>19</v>
      </c>
      <c r="FY6" s="48" t="s">
        <v>19</v>
      </c>
      <c r="FZ6" s="48" t="s">
        <v>19</v>
      </c>
      <c r="GA6" s="48" t="s">
        <v>19</v>
      </c>
      <c r="GB6" s="48" t="s">
        <v>19</v>
      </c>
      <c r="GC6" s="48" t="s">
        <v>19</v>
      </c>
      <c r="GD6" s="48" t="s">
        <v>19</v>
      </c>
      <c r="GE6" s="48" t="s">
        <v>19</v>
      </c>
      <c r="GF6" s="48" t="s">
        <v>19</v>
      </c>
      <c r="GG6" s="48" t="s">
        <v>19</v>
      </c>
      <c r="GH6" s="48" t="s">
        <v>19</v>
      </c>
      <c r="GI6" s="48" t="s">
        <v>19</v>
      </c>
      <c r="GJ6" s="48" t="s">
        <v>19</v>
      </c>
      <c r="GK6" s="48" t="s">
        <v>19</v>
      </c>
      <c r="GL6" s="48" t="s">
        <v>19</v>
      </c>
      <c r="GM6" s="48" t="s">
        <v>19</v>
      </c>
      <c r="GN6" s="48" t="s">
        <v>19</v>
      </c>
      <c r="GO6" s="48" t="s">
        <v>19</v>
      </c>
      <c r="GP6" s="48" t="s">
        <v>19</v>
      </c>
      <c r="GQ6" s="48" t="s">
        <v>19</v>
      </c>
      <c r="GR6" s="48" t="s">
        <v>19</v>
      </c>
      <c r="GS6" s="48" t="s">
        <v>19</v>
      </c>
      <c r="GT6" s="48" t="s">
        <v>19</v>
      </c>
      <c r="GU6" s="48" t="s">
        <v>19</v>
      </c>
      <c r="GV6" s="48" t="s">
        <v>19</v>
      </c>
      <c r="GW6" s="48" t="s">
        <v>19</v>
      </c>
      <c r="GX6" s="48" t="s">
        <v>19</v>
      </c>
      <c r="GY6" s="48" t="s">
        <v>19</v>
      </c>
      <c r="GZ6" s="48" t="s">
        <v>19</v>
      </c>
      <c r="HA6" s="48" t="s">
        <v>19</v>
      </c>
      <c r="HB6" s="48" t="s">
        <v>19</v>
      </c>
      <c r="HC6" s="48" t="s">
        <v>19</v>
      </c>
      <c r="HD6" s="48" t="s">
        <v>19</v>
      </c>
      <c r="HE6" s="48" t="s">
        <v>19</v>
      </c>
      <c r="HF6" s="48" t="s">
        <v>19</v>
      </c>
      <c r="HG6" s="48" t="s">
        <v>19</v>
      </c>
      <c r="HH6" s="52" t="s">
        <v>19</v>
      </c>
      <c r="HI6" s="51" t="s">
        <v>19</v>
      </c>
      <c r="HJ6" s="48" t="s">
        <v>19</v>
      </c>
      <c r="HK6" s="48" t="s">
        <v>19</v>
      </c>
      <c r="HL6" s="48" t="s">
        <v>19</v>
      </c>
      <c r="HM6" s="48" t="s">
        <v>19</v>
      </c>
      <c r="HN6" s="48" t="s">
        <v>19</v>
      </c>
      <c r="HO6" s="48" t="s">
        <v>19</v>
      </c>
      <c r="HP6" s="48" t="s">
        <v>19</v>
      </c>
      <c r="HQ6" s="48" t="s">
        <v>19</v>
      </c>
      <c r="HR6" s="48" t="s">
        <v>19</v>
      </c>
      <c r="HS6" s="48" t="s">
        <v>19</v>
      </c>
      <c r="HT6" s="48" t="s">
        <v>19</v>
      </c>
      <c r="HU6" s="48" t="s">
        <v>19</v>
      </c>
      <c r="HV6" s="48" t="s">
        <v>19</v>
      </c>
      <c r="HW6" s="48" t="s">
        <v>19</v>
      </c>
      <c r="HX6" s="48" t="s">
        <v>19</v>
      </c>
      <c r="HY6" s="48" t="s">
        <v>19</v>
      </c>
      <c r="HZ6" s="48" t="s">
        <v>19</v>
      </c>
      <c r="IA6" s="48" t="s">
        <v>19</v>
      </c>
      <c r="IB6" s="48" t="s">
        <v>19</v>
      </c>
      <c r="IC6" s="48" t="s">
        <v>19</v>
      </c>
      <c r="ID6" s="48" t="s">
        <v>19</v>
      </c>
      <c r="IE6" s="48" t="s">
        <v>19</v>
      </c>
      <c r="IF6" s="48" t="s">
        <v>19</v>
      </c>
      <c r="IG6" s="48" t="s">
        <v>19</v>
      </c>
      <c r="IH6" s="48" t="s">
        <v>19</v>
      </c>
      <c r="II6" s="48" t="s">
        <v>19</v>
      </c>
      <c r="IJ6" s="48" t="s">
        <v>19</v>
      </c>
      <c r="IK6" s="48" t="s">
        <v>19</v>
      </c>
      <c r="IL6" s="48" t="s">
        <v>19</v>
      </c>
      <c r="IM6" s="48" t="s">
        <v>19</v>
      </c>
      <c r="IN6" s="48" t="s">
        <v>19</v>
      </c>
      <c r="IO6" s="48" t="s">
        <v>19</v>
      </c>
      <c r="IP6" s="48" t="s">
        <v>19</v>
      </c>
      <c r="IQ6" s="48" t="s">
        <v>19</v>
      </c>
      <c r="IR6" s="48" t="s">
        <v>19</v>
      </c>
      <c r="IS6" s="48" t="s">
        <v>19</v>
      </c>
      <c r="IT6" s="52" t="s">
        <v>19</v>
      </c>
    </row>
    <row r="7" spans="1:254" x14ac:dyDescent="0.25">
      <c r="A7" t="s">
        <v>33</v>
      </c>
      <c r="B7" t="s">
        <v>34</v>
      </c>
      <c r="C7" s="9" t="s">
        <v>364</v>
      </c>
      <c r="D7" s="48">
        <v>1</v>
      </c>
      <c r="E7">
        <f>VLOOKUP(TBL_Grundstudium[[#This Row],[Grundfächer]],Übersicht_Fächer!$A$2:$E$32,5,0)</f>
        <v>144</v>
      </c>
      <c r="F7">
        <f>TBL_Grundstudium[[#This Row],[Mastery Max]]+TBL_Grundstudium[[#This Row],[ATL Max]]+TBL_Grundstudium[[#This Row],[Präsenz Max]]</f>
        <v>16</v>
      </c>
      <c r="G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7">
        <f>TBL_Grundstudium[[#This Row],[Mastery]]+TBL_Grundstudium[[#This Row],[ATL]]+TBL_Grundstudium[[#This Row],[Präsenz]]</f>
        <v>0</v>
      </c>
      <c r="I7" s="50"/>
      <c r="J7" s="50"/>
      <c r="K7" s="50"/>
      <c r="L7" s="50"/>
      <c r="M7">
        <f>VLOOKUP(TBL_Grundstudium[[#This Row],[Grundfächer]],Übersicht_Fächer!$A$2:$D$32,4,0)</f>
        <v>16</v>
      </c>
      <c r="N7">
        <f>SUM(TBL_Grundstudium[[#This Row],[01.02.2022]:[26.06.2025]])</f>
        <v>0</v>
      </c>
      <c r="O7" s="51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52"/>
      <c r="BK7" s="51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4"/>
      <c r="CY7" s="48" t="s">
        <v>19</v>
      </c>
      <c r="CZ7" s="48" t="s">
        <v>19</v>
      </c>
      <c r="DA7" s="48" t="s">
        <v>19</v>
      </c>
      <c r="DB7" s="48" t="s">
        <v>19</v>
      </c>
      <c r="DC7" s="48" t="s">
        <v>19</v>
      </c>
      <c r="DD7" s="48" t="s">
        <v>19</v>
      </c>
      <c r="DE7" s="48" t="s">
        <v>19</v>
      </c>
      <c r="DF7" s="48" t="s">
        <v>19</v>
      </c>
      <c r="DG7" s="48" t="s">
        <v>19</v>
      </c>
      <c r="DH7" s="48" t="s">
        <v>19</v>
      </c>
      <c r="DI7" s="48" t="s">
        <v>19</v>
      </c>
      <c r="DJ7" s="48" t="s">
        <v>19</v>
      </c>
      <c r="DK7" s="48" t="s">
        <v>19</v>
      </c>
      <c r="DL7" s="48" t="s">
        <v>19</v>
      </c>
      <c r="DM7" s="48" t="s">
        <v>19</v>
      </c>
      <c r="DN7" s="48" t="s">
        <v>19</v>
      </c>
      <c r="DO7" s="48" t="s">
        <v>19</v>
      </c>
      <c r="DP7" s="48" t="s">
        <v>19</v>
      </c>
      <c r="DQ7" s="48" t="s">
        <v>19</v>
      </c>
      <c r="DR7" s="48" t="s">
        <v>19</v>
      </c>
      <c r="DS7" s="48" t="s">
        <v>19</v>
      </c>
      <c r="DT7" s="48" t="s">
        <v>19</v>
      </c>
      <c r="DU7" s="48" t="s">
        <v>19</v>
      </c>
      <c r="DV7" s="48" t="s">
        <v>19</v>
      </c>
      <c r="DW7" s="48" t="s">
        <v>19</v>
      </c>
      <c r="DX7" s="48" t="s">
        <v>19</v>
      </c>
      <c r="DY7" s="48" t="s">
        <v>19</v>
      </c>
      <c r="DZ7" s="48" t="s">
        <v>19</v>
      </c>
      <c r="EA7" s="48" t="s">
        <v>19</v>
      </c>
      <c r="EB7" s="48" t="s">
        <v>19</v>
      </c>
      <c r="EC7" s="48" t="s">
        <v>19</v>
      </c>
      <c r="ED7" s="48" t="s">
        <v>19</v>
      </c>
      <c r="EE7" s="48" t="s">
        <v>19</v>
      </c>
      <c r="EF7" s="48" t="s">
        <v>19</v>
      </c>
      <c r="EG7" s="48" t="s">
        <v>19</v>
      </c>
      <c r="EH7" s="48" t="s">
        <v>19</v>
      </c>
      <c r="EI7" s="48" t="s">
        <v>19</v>
      </c>
      <c r="EJ7" s="48" t="s">
        <v>19</v>
      </c>
      <c r="EK7" s="51" t="s">
        <v>19</v>
      </c>
      <c r="EL7" s="48" t="s">
        <v>19</v>
      </c>
      <c r="EM7" s="48" t="s">
        <v>19</v>
      </c>
      <c r="EN7" s="48" t="s">
        <v>19</v>
      </c>
      <c r="EO7" s="48" t="s">
        <v>19</v>
      </c>
      <c r="EP7" s="48" t="s">
        <v>19</v>
      </c>
      <c r="EQ7" s="48" t="s">
        <v>19</v>
      </c>
      <c r="ER7" s="48" t="s">
        <v>19</v>
      </c>
      <c r="ES7" s="48" t="s">
        <v>19</v>
      </c>
      <c r="ET7" s="48" t="s">
        <v>19</v>
      </c>
      <c r="EU7" s="48" t="s">
        <v>19</v>
      </c>
      <c r="EV7" s="48" t="s">
        <v>19</v>
      </c>
      <c r="EW7" s="48" t="s">
        <v>19</v>
      </c>
      <c r="EX7" s="48" t="s">
        <v>19</v>
      </c>
      <c r="EY7" s="48" t="s">
        <v>19</v>
      </c>
      <c r="EZ7" s="48" t="s">
        <v>19</v>
      </c>
      <c r="FA7" s="48" t="s">
        <v>19</v>
      </c>
      <c r="FB7" s="48" t="s">
        <v>19</v>
      </c>
      <c r="FC7" s="48" t="s">
        <v>19</v>
      </c>
      <c r="FD7" s="48" t="s">
        <v>19</v>
      </c>
      <c r="FE7" s="48" t="s">
        <v>19</v>
      </c>
      <c r="FF7" s="48" t="s">
        <v>19</v>
      </c>
      <c r="FG7" s="48" t="s">
        <v>19</v>
      </c>
      <c r="FH7" s="48" t="s">
        <v>19</v>
      </c>
      <c r="FI7" s="48" t="s">
        <v>19</v>
      </c>
      <c r="FJ7" s="48" t="s">
        <v>19</v>
      </c>
      <c r="FK7" s="48" t="s">
        <v>19</v>
      </c>
      <c r="FL7" s="48" t="s">
        <v>19</v>
      </c>
      <c r="FM7" s="48" t="s">
        <v>19</v>
      </c>
      <c r="FN7" s="48" t="s">
        <v>19</v>
      </c>
      <c r="FO7" s="48" t="s">
        <v>19</v>
      </c>
      <c r="FP7" s="48" t="s">
        <v>19</v>
      </c>
      <c r="FQ7" s="48" t="s">
        <v>19</v>
      </c>
      <c r="FR7" s="48" t="s">
        <v>19</v>
      </c>
      <c r="FS7" s="48" t="s">
        <v>19</v>
      </c>
      <c r="FT7" s="48" t="s">
        <v>19</v>
      </c>
      <c r="FU7" s="48" t="s">
        <v>19</v>
      </c>
      <c r="FV7" s="52" t="s">
        <v>19</v>
      </c>
      <c r="FW7" s="51" t="s">
        <v>19</v>
      </c>
      <c r="FX7" s="48" t="s">
        <v>19</v>
      </c>
      <c r="FY7" s="48" t="s">
        <v>19</v>
      </c>
      <c r="FZ7" s="48" t="s">
        <v>19</v>
      </c>
      <c r="GA7" s="48" t="s">
        <v>19</v>
      </c>
      <c r="GB7" s="48" t="s">
        <v>19</v>
      </c>
      <c r="GC7" s="48" t="s">
        <v>19</v>
      </c>
      <c r="GD7" s="48" t="s">
        <v>19</v>
      </c>
      <c r="GE7" s="48" t="s">
        <v>19</v>
      </c>
      <c r="GF7" s="48" t="s">
        <v>19</v>
      </c>
      <c r="GG7" s="48" t="s">
        <v>19</v>
      </c>
      <c r="GH7" s="48" t="s">
        <v>19</v>
      </c>
      <c r="GI7" s="48" t="s">
        <v>19</v>
      </c>
      <c r="GJ7" s="48" t="s">
        <v>19</v>
      </c>
      <c r="GK7" s="48" t="s">
        <v>19</v>
      </c>
      <c r="GL7" s="48" t="s">
        <v>19</v>
      </c>
      <c r="GM7" s="48" t="s">
        <v>19</v>
      </c>
      <c r="GN7" s="48" t="s">
        <v>19</v>
      </c>
      <c r="GO7" s="48" t="s">
        <v>19</v>
      </c>
      <c r="GP7" s="48" t="s">
        <v>19</v>
      </c>
      <c r="GQ7" s="48" t="s">
        <v>19</v>
      </c>
      <c r="GR7" s="48" t="s">
        <v>19</v>
      </c>
      <c r="GS7" s="48" t="s">
        <v>19</v>
      </c>
      <c r="GT7" s="48" t="s">
        <v>19</v>
      </c>
      <c r="GU7" s="48" t="s">
        <v>19</v>
      </c>
      <c r="GV7" s="48" t="s">
        <v>19</v>
      </c>
      <c r="GW7" s="48" t="s">
        <v>19</v>
      </c>
      <c r="GX7" s="48" t="s">
        <v>19</v>
      </c>
      <c r="GY7" s="48" t="s">
        <v>19</v>
      </c>
      <c r="GZ7" s="48" t="s">
        <v>19</v>
      </c>
      <c r="HA7" s="48" t="s">
        <v>19</v>
      </c>
      <c r="HB7" s="48" t="s">
        <v>19</v>
      </c>
      <c r="HC7" s="48" t="s">
        <v>19</v>
      </c>
      <c r="HD7" s="48" t="s">
        <v>19</v>
      </c>
      <c r="HE7" s="48" t="s">
        <v>19</v>
      </c>
      <c r="HF7" s="48" t="s">
        <v>19</v>
      </c>
      <c r="HG7" s="48" t="s">
        <v>19</v>
      </c>
      <c r="HH7" s="52" t="s">
        <v>19</v>
      </c>
      <c r="HI7" s="51" t="s">
        <v>19</v>
      </c>
      <c r="HJ7" s="48" t="s">
        <v>19</v>
      </c>
      <c r="HK7" s="48" t="s">
        <v>19</v>
      </c>
      <c r="HL7" s="48" t="s">
        <v>19</v>
      </c>
      <c r="HM7" s="48" t="s">
        <v>19</v>
      </c>
      <c r="HN7" s="48" t="s">
        <v>19</v>
      </c>
      <c r="HO7" s="48" t="s">
        <v>19</v>
      </c>
      <c r="HP7" s="48" t="s">
        <v>19</v>
      </c>
      <c r="HQ7" s="48" t="s">
        <v>19</v>
      </c>
      <c r="HR7" s="48" t="s">
        <v>19</v>
      </c>
      <c r="HS7" s="48" t="s">
        <v>19</v>
      </c>
      <c r="HT7" s="48" t="s">
        <v>19</v>
      </c>
      <c r="HU7" s="48" t="s">
        <v>19</v>
      </c>
      <c r="HV7" s="48" t="s">
        <v>19</v>
      </c>
      <c r="HW7" s="48" t="s">
        <v>19</v>
      </c>
      <c r="HX7" s="48" t="s">
        <v>19</v>
      </c>
      <c r="HY7" s="48" t="s">
        <v>19</v>
      </c>
      <c r="HZ7" s="48" t="s">
        <v>19</v>
      </c>
      <c r="IA7" s="48" t="s">
        <v>19</v>
      </c>
      <c r="IB7" s="48" t="s">
        <v>19</v>
      </c>
      <c r="IC7" s="48" t="s">
        <v>19</v>
      </c>
      <c r="ID7" s="48" t="s">
        <v>19</v>
      </c>
      <c r="IE7" s="48" t="s">
        <v>19</v>
      </c>
      <c r="IF7" s="48" t="s">
        <v>19</v>
      </c>
      <c r="IG7" s="48" t="s">
        <v>19</v>
      </c>
      <c r="IH7" s="48" t="s">
        <v>19</v>
      </c>
      <c r="II7" s="48" t="s">
        <v>19</v>
      </c>
      <c r="IJ7" s="48" t="s">
        <v>19</v>
      </c>
      <c r="IK7" s="48" t="s">
        <v>19</v>
      </c>
      <c r="IL7" s="48" t="s">
        <v>19</v>
      </c>
      <c r="IM7" s="48" t="s">
        <v>19</v>
      </c>
      <c r="IN7" s="48" t="s">
        <v>19</v>
      </c>
      <c r="IO7" s="48" t="s">
        <v>19</v>
      </c>
      <c r="IP7" s="48" t="s">
        <v>19</v>
      </c>
      <c r="IQ7" s="48" t="s">
        <v>19</v>
      </c>
      <c r="IR7" s="48" t="s">
        <v>19</v>
      </c>
      <c r="IS7" s="48" t="s">
        <v>19</v>
      </c>
      <c r="IT7" s="52" t="s">
        <v>19</v>
      </c>
    </row>
    <row r="8" spans="1:254" x14ac:dyDescent="0.25">
      <c r="A8" t="s">
        <v>35</v>
      </c>
      <c r="B8" t="s">
        <v>36</v>
      </c>
      <c r="C8" s="9" t="s">
        <v>364</v>
      </c>
      <c r="D8" s="48">
        <v>1</v>
      </c>
      <c r="E8">
        <f>VLOOKUP(TBL_Grundstudium[[#This Row],[Grundfächer]],Übersicht_Fächer!$A$2:$E$32,5,0)</f>
        <v>72</v>
      </c>
      <c r="F8">
        <f>TBL_Grundstudium[[#This Row],[Mastery Max]]+TBL_Grundstudium[[#This Row],[ATL Max]]+TBL_Grundstudium[[#This Row],[Präsenz Max]]</f>
        <v>8</v>
      </c>
      <c r="G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8">
        <f>TBL_Grundstudium[[#This Row],[Mastery]]+TBL_Grundstudium[[#This Row],[ATL]]+TBL_Grundstudium[[#This Row],[Präsenz]]</f>
        <v>0</v>
      </c>
      <c r="I8" s="50"/>
      <c r="J8" s="50"/>
      <c r="K8" s="50"/>
      <c r="L8" s="50"/>
      <c r="M8">
        <f>VLOOKUP(TBL_Grundstudium[[#This Row],[Grundfächer]],Übersicht_Fächer!$A$2:$D$32,4,0)</f>
        <v>8</v>
      </c>
      <c r="N8">
        <f>SUM(TBL_Grundstudium[[#This Row],[01.02.2022]:[26.06.2025]])</f>
        <v>0</v>
      </c>
      <c r="O8" s="51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52"/>
      <c r="BK8" s="51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4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51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52"/>
      <c r="FW8" s="51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52"/>
      <c r="HI8" s="51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52"/>
    </row>
    <row r="9" spans="1:254" x14ac:dyDescent="0.25">
      <c r="A9" t="s">
        <v>37</v>
      </c>
      <c r="B9" t="s">
        <v>38</v>
      </c>
      <c r="C9" s="9" t="s">
        <v>364</v>
      </c>
      <c r="D9" s="48">
        <v>1</v>
      </c>
      <c r="E9">
        <f>VLOOKUP(TBL_Grundstudium[[#This Row],[Grundfächer]],Übersicht_Fächer!$A$2:$E$32,5,0)</f>
        <v>144</v>
      </c>
      <c r="F9">
        <f>TBL_Grundstudium[[#This Row],[Mastery Max]]+TBL_Grundstudium[[#This Row],[ATL Max]]+TBL_Grundstudium[[#This Row],[Präsenz Max]]</f>
        <v>16</v>
      </c>
      <c r="G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9">
        <f>TBL_Grundstudium[[#This Row],[Mastery]]+TBL_Grundstudium[[#This Row],[ATL]]+TBL_Grundstudium[[#This Row],[Präsenz]]</f>
        <v>0</v>
      </c>
      <c r="I9" s="50"/>
      <c r="J9" s="50"/>
      <c r="K9" s="50"/>
      <c r="L9" s="50"/>
      <c r="M9">
        <f>VLOOKUP(TBL_Grundstudium[[#This Row],[Grundfächer]],Übersicht_Fächer!$A$2:$D$32,4,0)</f>
        <v>16</v>
      </c>
      <c r="N9">
        <f>SUM(TBL_Grundstudium[[#This Row],[01.02.2022]:[26.06.2025]])</f>
        <v>0</v>
      </c>
      <c r="O9" s="51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52"/>
      <c r="BK9" s="51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4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51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52"/>
      <c r="FW9" s="51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52"/>
      <c r="HI9" s="51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52"/>
    </row>
    <row r="10" spans="1:254" x14ac:dyDescent="0.25">
      <c r="A10" t="s">
        <v>39</v>
      </c>
      <c r="B10" t="s">
        <v>40</v>
      </c>
      <c r="C10" s="9" t="s">
        <v>364</v>
      </c>
      <c r="D10" s="48">
        <v>1</v>
      </c>
      <c r="E10">
        <f>VLOOKUP(TBL_Grundstudium[[#This Row],[Grundfächer]],Übersicht_Fächer!$A$2:$E$32,5,0)</f>
        <v>144</v>
      </c>
      <c r="F10">
        <f>TBL_Grundstudium[[#This Row],[Mastery Max]]+TBL_Grundstudium[[#This Row],[ATL Max]]+TBL_Grundstudium[[#This Row],[Präsenz Max]]</f>
        <v>16</v>
      </c>
      <c r="G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0">
        <f>TBL_Grundstudium[[#This Row],[Mastery]]+TBL_Grundstudium[[#This Row],[ATL]]+TBL_Grundstudium[[#This Row],[Präsenz]]</f>
        <v>0</v>
      </c>
      <c r="I10" s="50"/>
      <c r="J10" s="50"/>
      <c r="K10" s="50"/>
      <c r="L10" s="50"/>
      <c r="M10">
        <f>VLOOKUP(TBL_Grundstudium[[#This Row],[Grundfächer]],Übersicht_Fächer!$A$2:$D$32,4,0)</f>
        <v>16</v>
      </c>
      <c r="N10">
        <f>SUM(TBL_Grundstudium[[#This Row],[01.02.2022]:[26.06.2025]])</f>
        <v>0</v>
      </c>
      <c r="O10" s="51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52"/>
      <c r="BK10" s="51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4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51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52"/>
      <c r="FW10" s="51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52"/>
      <c r="HI10" s="51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52"/>
    </row>
    <row r="11" spans="1:254" x14ac:dyDescent="0.25">
      <c r="A11" t="s">
        <v>41</v>
      </c>
      <c r="B11" t="s">
        <v>42</v>
      </c>
      <c r="C11" s="9" t="s">
        <v>364</v>
      </c>
      <c r="D11" s="48">
        <v>1</v>
      </c>
      <c r="E11">
        <f>VLOOKUP(TBL_Grundstudium[[#This Row],[Grundfächer]],Übersicht_Fächer!$A$2:$E$32,5,0)</f>
        <v>72</v>
      </c>
      <c r="F11">
        <f>TBL_Grundstudium[[#This Row],[Mastery Max]]+TBL_Grundstudium[[#This Row],[ATL Max]]+TBL_Grundstudium[[#This Row],[Präsenz Max]]</f>
        <v>8</v>
      </c>
      <c r="G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1">
        <f>TBL_Grundstudium[[#This Row],[Mastery]]+TBL_Grundstudium[[#This Row],[ATL]]+TBL_Grundstudium[[#This Row],[Präsenz]]</f>
        <v>0</v>
      </c>
      <c r="I11" s="50"/>
      <c r="J11" s="50"/>
      <c r="K11" s="50"/>
      <c r="L11" s="50"/>
      <c r="M11">
        <f>VLOOKUP(TBL_Grundstudium[[#This Row],[Grundfächer]],Übersicht_Fächer!$A$2:$D$32,4,0)</f>
        <v>8</v>
      </c>
      <c r="N11">
        <f>SUM(TBL_Grundstudium[[#This Row],[01.02.2022]:[26.06.2025]])</f>
        <v>0</v>
      </c>
      <c r="O11" s="51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52"/>
      <c r="BK11" s="51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4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51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52"/>
      <c r="FW11" s="51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52"/>
      <c r="HI11" s="51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52"/>
    </row>
    <row r="12" spans="1:254" x14ac:dyDescent="0.25">
      <c r="A12" t="s">
        <v>43</v>
      </c>
      <c r="B12" t="s">
        <v>44</v>
      </c>
      <c r="C12" s="9" t="s">
        <v>364</v>
      </c>
      <c r="D12" s="48">
        <v>1</v>
      </c>
      <c r="E12">
        <f>VLOOKUP(TBL_Grundstudium[[#This Row],[Grundfächer]],Übersicht_Fächer!$A$2:$E$32,5,0)</f>
        <v>72</v>
      </c>
      <c r="F12">
        <f>TBL_Grundstudium[[#This Row],[Mastery Max]]+TBL_Grundstudium[[#This Row],[ATL Max]]+TBL_Grundstudium[[#This Row],[Präsenz Max]]</f>
        <v>8</v>
      </c>
      <c r="G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2">
        <f>TBL_Grundstudium[[#This Row],[Mastery]]+TBL_Grundstudium[[#This Row],[ATL]]+TBL_Grundstudium[[#This Row],[Präsenz]]</f>
        <v>0</v>
      </c>
      <c r="I12" s="50"/>
      <c r="J12" s="50"/>
      <c r="K12" s="50"/>
      <c r="L12" s="50"/>
      <c r="M12">
        <f>VLOOKUP(TBL_Grundstudium[[#This Row],[Grundfächer]],Übersicht_Fächer!$A$2:$D$32,4,0)</f>
        <v>8</v>
      </c>
      <c r="N12">
        <f>SUM(TBL_Grundstudium[[#This Row],[01.02.2022]:[26.06.2025]])</f>
        <v>0</v>
      </c>
      <c r="O12" s="51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52"/>
      <c r="BK12" s="51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51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52"/>
      <c r="FW12" s="51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52"/>
      <c r="HI12" s="51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52"/>
    </row>
    <row r="13" spans="1:254" x14ac:dyDescent="0.25">
      <c r="A13" t="s">
        <v>45</v>
      </c>
      <c r="B13" t="s">
        <v>46</v>
      </c>
      <c r="C13" s="9" t="s">
        <v>364</v>
      </c>
      <c r="D13" s="48">
        <v>1</v>
      </c>
      <c r="E13">
        <f>VLOOKUP(TBL_Grundstudium[[#This Row],[Grundfächer]],Übersicht_Fächer!$A$2:$E$32,5,0)</f>
        <v>72</v>
      </c>
      <c r="F13">
        <f>TBL_Grundstudium[[#This Row],[Mastery Max]]+TBL_Grundstudium[[#This Row],[ATL Max]]+TBL_Grundstudium[[#This Row],[Präsenz Max]]</f>
        <v>8</v>
      </c>
      <c r="G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3">
        <f>TBL_Grundstudium[[#This Row],[Mastery]]+TBL_Grundstudium[[#This Row],[ATL]]+TBL_Grundstudium[[#This Row],[Präsenz]]</f>
        <v>0</v>
      </c>
      <c r="I13" s="50"/>
      <c r="J13" s="50"/>
      <c r="K13" s="50"/>
      <c r="L13" s="50"/>
      <c r="M13">
        <f>VLOOKUP(TBL_Grundstudium[[#This Row],[Grundfächer]],Übersicht_Fächer!$A$2:$D$32,4,0)</f>
        <v>8</v>
      </c>
      <c r="N13">
        <f>SUM(TBL_Grundstudium[[#This Row],[01.02.2022]:[26.06.2025]])</f>
        <v>0</v>
      </c>
      <c r="O13" s="51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52"/>
      <c r="BK13" s="51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4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51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52"/>
      <c r="FW13" s="51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52"/>
      <c r="HI13" s="51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52"/>
    </row>
    <row r="14" spans="1:254" x14ac:dyDescent="0.25">
      <c r="A14" t="s">
        <v>47</v>
      </c>
      <c r="B14" t="s">
        <v>48</v>
      </c>
      <c r="C14" s="9" t="s">
        <v>364</v>
      </c>
      <c r="D14" s="48">
        <v>1</v>
      </c>
      <c r="E14">
        <f>VLOOKUP(TBL_Grundstudium[[#This Row],[Grundfächer]],Übersicht_Fächer!$A$2:$E$32,5,0)</f>
        <v>72</v>
      </c>
      <c r="F14">
        <f>TBL_Grundstudium[[#This Row],[Mastery Max]]+TBL_Grundstudium[[#This Row],[ATL Max]]+TBL_Grundstudium[[#This Row],[Präsenz Max]]</f>
        <v>8</v>
      </c>
      <c r="G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4">
        <f>TBL_Grundstudium[[#This Row],[Mastery]]+TBL_Grundstudium[[#This Row],[ATL]]+TBL_Grundstudium[[#This Row],[Präsenz]]</f>
        <v>0</v>
      </c>
      <c r="I14" s="50"/>
      <c r="J14" s="50"/>
      <c r="K14" s="50"/>
      <c r="L14" s="50"/>
      <c r="M14">
        <f>VLOOKUP(TBL_Grundstudium[[#This Row],[Grundfächer]],Übersicht_Fächer!$A$2:$D$32,4,0)</f>
        <v>8</v>
      </c>
      <c r="N14">
        <f>SUM(TBL_Grundstudium[[#This Row],[01.02.2022]:[26.06.2025]])</f>
        <v>0</v>
      </c>
      <c r="O14" s="51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52"/>
      <c r="BK14" s="51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4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51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52"/>
      <c r="FW14" s="51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52"/>
      <c r="HI14" s="51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52"/>
    </row>
    <row r="15" spans="1:254" x14ac:dyDescent="0.25">
      <c r="A15" t="s">
        <v>49</v>
      </c>
      <c r="B15" t="s">
        <v>50</v>
      </c>
      <c r="C15" s="9" t="s">
        <v>368</v>
      </c>
      <c r="D15" s="48">
        <v>1</v>
      </c>
      <c r="E15">
        <f>VLOOKUP(TBL_Grundstudium[[#This Row],[Grundfächer]],Übersicht_Fächer!$A$2:$E$32,5,0)</f>
        <v>144</v>
      </c>
      <c r="F15">
        <f>TBL_Grundstudium[[#This Row],[Mastery Max]]+TBL_Grundstudium[[#This Row],[ATL Max]]+TBL_Grundstudium[[#This Row],[Präsenz Max]]</f>
        <v>16</v>
      </c>
      <c r="G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5">
        <f>TBL_Grundstudium[[#This Row],[Mastery]]+TBL_Grundstudium[[#This Row],[ATL]]+TBL_Grundstudium[[#This Row],[Präsenz]]</f>
        <v>0</v>
      </c>
      <c r="I15" s="50"/>
      <c r="J15" s="50"/>
      <c r="K15" s="50"/>
      <c r="L15" s="50"/>
      <c r="M15">
        <f>VLOOKUP(TBL_Grundstudium[[#This Row],[Grundfächer]],Übersicht_Fächer!$A$2:$D$32,4,0)</f>
        <v>16</v>
      </c>
      <c r="N15">
        <f>SUM(TBL_Grundstudium[[#This Row],[01.02.2022]:[26.06.2025]])</f>
        <v>0</v>
      </c>
      <c r="O15" s="51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52"/>
      <c r="BK15" s="51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4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51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52"/>
      <c r="FW15" s="51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52"/>
      <c r="HI15" s="51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52"/>
    </row>
    <row r="16" spans="1:254" x14ac:dyDescent="0.25">
      <c r="A16" t="s">
        <v>51</v>
      </c>
      <c r="B16" t="s">
        <v>52</v>
      </c>
      <c r="C16" s="9" t="s">
        <v>368</v>
      </c>
      <c r="D16" s="48">
        <v>1</v>
      </c>
      <c r="E16">
        <f>VLOOKUP(TBL_Grundstudium[[#This Row],[Grundfächer]],Übersicht_Fächer!$A$2:$E$32,5,0)</f>
        <v>144</v>
      </c>
      <c r="F16">
        <f>TBL_Grundstudium[[#This Row],[Mastery Max]]+TBL_Grundstudium[[#This Row],[ATL Max]]+TBL_Grundstudium[[#This Row],[Präsenz Max]]</f>
        <v>16</v>
      </c>
      <c r="G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6">
        <f>TBL_Grundstudium[[#This Row],[Mastery]]+TBL_Grundstudium[[#This Row],[ATL]]+TBL_Grundstudium[[#This Row],[Präsenz]]</f>
        <v>0</v>
      </c>
      <c r="I16" s="50"/>
      <c r="J16" s="50"/>
      <c r="K16" s="50"/>
      <c r="L16" s="50"/>
      <c r="M16">
        <f>VLOOKUP(TBL_Grundstudium[[#This Row],[Grundfächer]],Übersicht_Fächer!$A$2:$D$32,4,0)</f>
        <v>16</v>
      </c>
      <c r="N16">
        <f>SUM(TBL_Grundstudium[[#This Row],[01.02.2022]:[26.06.2025]])</f>
        <v>0</v>
      </c>
      <c r="O16" s="51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52"/>
      <c r="BK16" s="51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51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52"/>
      <c r="FW16" s="51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52"/>
      <c r="HI16" s="51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52"/>
    </row>
    <row r="17" spans="1:254" ht="15.75" thickBot="1" x14ac:dyDescent="0.3">
      <c r="A17" t="s">
        <v>53</v>
      </c>
      <c r="B17" t="s">
        <v>54</v>
      </c>
      <c r="C17" s="9" t="s">
        <v>368</v>
      </c>
      <c r="D17" s="48">
        <v>1</v>
      </c>
      <c r="E17">
        <f>VLOOKUP(TBL_Grundstudium[[#This Row],[Grundfächer]],Übersicht_Fächer!$A$2:$E$32,5,0)</f>
        <v>72</v>
      </c>
      <c r="F17">
        <f>TBL_Grundstudium[[#This Row],[Mastery Max]]+TBL_Grundstudium[[#This Row],[ATL Max]]+TBL_Grundstudium[[#This Row],[Präsenz Max]]</f>
        <v>8</v>
      </c>
      <c r="G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7">
        <f>TBL_Grundstudium[[#This Row],[Mastery]]+TBL_Grundstudium[[#This Row],[ATL]]+TBL_Grundstudium[[#This Row],[Präsenz]]</f>
        <v>0</v>
      </c>
      <c r="I17" s="50"/>
      <c r="J17" s="50"/>
      <c r="K17" s="50"/>
      <c r="L17" s="50"/>
      <c r="M17">
        <f>VLOOKUP(TBL_Grundstudium[[#This Row],[Grundfächer]],Übersicht_Fächer!$A$2:$D$32,4,0)</f>
        <v>8</v>
      </c>
      <c r="N17">
        <f>SUM(TBL_Grundstudium[[#This Row],[01.02.2022]:[26.06.2025]])</f>
        <v>0</v>
      </c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7"/>
      <c r="BK17" s="55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9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5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7"/>
      <c r="HI17" s="55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7"/>
    </row>
    <row r="18" spans="1:254" ht="15.75" thickBot="1" x14ac:dyDescent="0.3"/>
    <row r="19" spans="1:254" ht="80.25" customHeight="1" x14ac:dyDescent="0.25">
      <c r="A19" t="s">
        <v>55</v>
      </c>
      <c r="B19" t="s">
        <v>2</v>
      </c>
      <c r="C19" t="s">
        <v>21</v>
      </c>
      <c r="D19" t="s">
        <v>3</v>
      </c>
      <c r="E19" t="s">
        <v>4</v>
      </c>
      <c r="F19" t="s">
        <v>116</v>
      </c>
      <c r="G19" t="s">
        <v>6</v>
      </c>
      <c r="H19" t="s">
        <v>117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  <c r="O19" s="64" t="s">
        <v>124</v>
      </c>
      <c r="P19" s="65" t="s">
        <v>125</v>
      </c>
      <c r="Q19" s="65" t="s">
        <v>126</v>
      </c>
      <c r="R19" s="65" t="s">
        <v>127</v>
      </c>
      <c r="S19" s="65" t="s">
        <v>128</v>
      </c>
      <c r="T19" s="65" t="s">
        <v>129</v>
      </c>
      <c r="U19" s="65" t="s">
        <v>130</v>
      </c>
      <c r="V19" s="65" t="s">
        <v>131</v>
      </c>
      <c r="W19" s="65" t="s">
        <v>132</v>
      </c>
      <c r="X19" s="65" t="s">
        <v>133</v>
      </c>
      <c r="Y19" s="65" t="s">
        <v>134</v>
      </c>
      <c r="Z19" s="65" t="s">
        <v>135</v>
      </c>
      <c r="AA19" s="65" t="s">
        <v>136</v>
      </c>
      <c r="AB19" s="65" t="s">
        <v>137</v>
      </c>
      <c r="AC19" s="65" t="s">
        <v>138</v>
      </c>
      <c r="AD19" s="65" t="s">
        <v>139</v>
      </c>
      <c r="AE19" s="65" t="s">
        <v>140</v>
      </c>
      <c r="AF19" s="65" t="s">
        <v>141</v>
      </c>
      <c r="AG19" s="65" t="s">
        <v>142</v>
      </c>
      <c r="AH19" s="65" t="s">
        <v>143</v>
      </c>
      <c r="AI19" s="65" t="s">
        <v>144</v>
      </c>
      <c r="AJ19" s="65" t="s">
        <v>145</v>
      </c>
      <c r="AK19" s="65" t="s">
        <v>146</v>
      </c>
      <c r="AL19" s="65" t="s">
        <v>147</v>
      </c>
      <c r="AM19" s="65" t="s">
        <v>148</v>
      </c>
      <c r="AN19" s="65" t="s">
        <v>149</v>
      </c>
      <c r="AO19" s="65" t="s">
        <v>150</v>
      </c>
      <c r="AP19" s="65" t="s">
        <v>151</v>
      </c>
      <c r="AQ19" s="65" t="s">
        <v>152</v>
      </c>
      <c r="AR19" s="65" t="s">
        <v>153</v>
      </c>
      <c r="AS19" s="65" t="s">
        <v>154</v>
      </c>
      <c r="AT19" s="65" t="s">
        <v>155</v>
      </c>
      <c r="AU19" s="65" t="s">
        <v>156</v>
      </c>
      <c r="AV19" s="65" t="s">
        <v>157</v>
      </c>
      <c r="AW19" s="65" t="s">
        <v>158</v>
      </c>
      <c r="AX19" s="66" t="s">
        <v>159</v>
      </c>
      <c r="AY19" s="66" t="s">
        <v>160</v>
      </c>
      <c r="AZ19" s="66" t="s">
        <v>161</v>
      </c>
      <c r="BA19" s="66" t="s">
        <v>162</v>
      </c>
      <c r="BB19" s="66" t="s">
        <v>163</v>
      </c>
      <c r="BC19" s="66" t="s">
        <v>164</v>
      </c>
      <c r="BD19" s="66" t="s">
        <v>165</v>
      </c>
      <c r="BE19" s="66" t="s">
        <v>166</v>
      </c>
      <c r="BF19" s="66" t="s">
        <v>167</v>
      </c>
      <c r="BG19" s="66" t="s">
        <v>168</v>
      </c>
      <c r="BH19" s="66" t="s">
        <v>169</v>
      </c>
      <c r="BI19" s="66" t="s">
        <v>170</v>
      </c>
      <c r="BJ19" s="67" t="s">
        <v>171</v>
      </c>
      <c r="BK19" s="29" t="s">
        <v>172</v>
      </c>
      <c r="BL19" s="30" t="s">
        <v>173</v>
      </c>
      <c r="BM19" s="30" t="s">
        <v>174</v>
      </c>
      <c r="BN19" s="30" t="s">
        <v>175</v>
      </c>
      <c r="BO19" s="30" t="s">
        <v>176</v>
      </c>
      <c r="BP19" s="30" t="s">
        <v>177</v>
      </c>
      <c r="BQ19" s="30" t="s">
        <v>178</v>
      </c>
      <c r="BR19" s="30" t="s">
        <v>179</v>
      </c>
      <c r="BS19" s="30" t="s">
        <v>180</v>
      </c>
      <c r="BT19" s="30" t="s">
        <v>181</v>
      </c>
      <c r="BU19" s="30" t="s">
        <v>182</v>
      </c>
      <c r="BV19" s="30" t="s">
        <v>183</v>
      </c>
      <c r="BW19" s="30" t="s">
        <v>184</v>
      </c>
      <c r="BX19" s="30" t="s">
        <v>185</v>
      </c>
      <c r="BY19" s="30" t="s">
        <v>186</v>
      </c>
      <c r="BZ19" s="30" t="s">
        <v>187</v>
      </c>
      <c r="CA19" s="30" t="s">
        <v>188</v>
      </c>
      <c r="CB19" s="30" t="s">
        <v>189</v>
      </c>
      <c r="CC19" s="30" t="s">
        <v>190</v>
      </c>
      <c r="CD19" s="30" t="s">
        <v>191</v>
      </c>
      <c r="CE19" s="30" t="s">
        <v>192</v>
      </c>
      <c r="CF19" s="30" t="s">
        <v>193</v>
      </c>
      <c r="CG19" s="30" t="s">
        <v>194</v>
      </c>
      <c r="CH19" s="30" t="s">
        <v>195</v>
      </c>
      <c r="CI19" s="15" t="s">
        <v>196</v>
      </c>
      <c r="CJ19" s="15" t="s">
        <v>197</v>
      </c>
      <c r="CK19" s="15" t="s">
        <v>198</v>
      </c>
      <c r="CL19" s="15" t="s">
        <v>199</v>
      </c>
      <c r="CM19" s="15" t="s">
        <v>200</v>
      </c>
      <c r="CN19" s="15" t="s">
        <v>201</v>
      </c>
      <c r="CO19" s="15" t="s">
        <v>202</v>
      </c>
      <c r="CP19" s="15" t="s">
        <v>203</v>
      </c>
      <c r="CQ19" s="15" t="s">
        <v>204</v>
      </c>
      <c r="CR19" s="15" t="s">
        <v>205</v>
      </c>
      <c r="CS19" s="15" t="s">
        <v>206</v>
      </c>
      <c r="CT19" s="15" t="s">
        <v>207</v>
      </c>
      <c r="CU19" s="15" t="s">
        <v>208</v>
      </c>
      <c r="CV19" s="15" t="s">
        <v>209</v>
      </c>
      <c r="CW19" s="15" t="s">
        <v>210</v>
      </c>
      <c r="CX19" s="16" t="s">
        <v>211</v>
      </c>
      <c r="CY19" s="22" t="s">
        <v>212</v>
      </c>
      <c r="CZ19" s="15" t="s">
        <v>213</v>
      </c>
      <c r="DA19" s="15" t="s">
        <v>214</v>
      </c>
      <c r="DB19" s="15" t="s">
        <v>215</v>
      </c>
      <c r="DC19" s="15" t="s">
        <v>216</v>
      </c>
      <c r="DD19" s="15" t="s">
        <v>217</v>
      </c>
      <c r="DE19" s="15" t="s">
        <v>218</v>
      </c>
      <c r="DF19" s="15" t="s">
        <v>219</v>
      </c>
      <c r="DG19" s="15" t="s">
        <v>220</v>
      </c>
      <c r="DH19" s="15" t="s">
        <v>221</v>
      </c>
      <c r="DI19" s="15" t="s">
        <v>222</v>
      </c>
      <c r="DJ19" s="15" t="s">
        <v>223</v>
      </c>
      <c r="DK19" s="15" t="s">
        <v>224</v>
      </c>
      <c r="DL19" s="15" t="s">
        <v>225</v>
      </c>
      <c r="DM19" s="15" t="s">
        <v>226</v>
      </c>
      <c r="DN19" s="15" t="s">
        <v>227</v>
      </c>
      <c r="DO19" s="15" t="s">
        <v>228</v>
      </c>
      <c r="DP19" s="15" t="s">
        <v>229</v>
      </c>
      <c r="DQ19" s="15" t="s">
        <v>230</v>
      </c>
      <c r="DR19" s="15" t="s">
        <v>231</v>
      </c>
      <c r="DS19" s="15" t="s">
        <v>232</v>
      </c>
      <c r="DT19" s="15" t="s">
        <v>233</v>
      </c>
      <c r="DU19" s="15" t="s">
        <v>234</v>
      </c>
      <c r="DV19" s="15" t="s">
        <v>235</v>
      </c>
      <c r="DW19" s="15" t="s">
        <v>236</v>
      </c>
      <c r="DX19" s="15" t="s">
        <v>237</v>
      </c>
      <c r="DY19" s="15" t="s">
        <v>238</v>
      </c>
      <c r="DZ19" s="15" t="s">
        <v>239</v>
      </c>
      <c r="EA19" s="15" t="s">
        <v>240</v>
      </c>
      <c r="EB19" s="15" t="s">
        <v>241</v>
      </c>
      <c r="EC19" s="15" t="s">
        <v>242</v>
      </c>
      <c r="ED19" s="15" t="s">
        <v>243</v>
      </c>
      <c r="EE19" s="15" t="s">
        <v>244</v>
      </c>
      <c r="EF19" s="15" t="s">
        <v>245</v>
      </c>
      <c r="EG19" s="15" t="s">
        <v>246</v>
      </c>
      <c r="EH19" s="15" t="s">
        <v>247</v>
      </c>
      <c r="EI19" s="15" t="s">
        <v>248</v>
      </c>
      <c r="EJ19" s="16" t="s">
        <v>249</v>
      </c>
      <c r="EK19" s="22" t="s">
        <v>250</v>
      </c>
      <c r="EL19" s="15" t="s">
        <v>251</v>
      </c>
      <c r="EM19" s="15" t="s">
        <v>252</v>
      </c>
      <c r="EN19" s="15" t="s">
        <v>253</v>
      </c>
      <c r="EO19" s="15" t="s">
        <v>254</v>
      </c>
      <c r="EP19" s="15" t="s">
        <v>255</v>
      </c>
      <c r="EQ19" s="15" t="s">
        <v>256</v>
      </c>
      <c r="ER19" s="15" t="s">
        <v>257</v>
      </c>
      <c r="ES19" s="15" t="s">
        <v>258</v>
      </c>
      <c r="ET19" s="15" t="s">
        <v>259</v>
      </c>
      <c r="EU19" s="15" t="s">
        <v>260</v>
      </c>
      <c r="EV19" s="15" t="s">
        <v>261</v>
      </c>
      <c r="EW19" s="15" t="s">
        <v>262</v>
      </c>
      <c r="EX19" s="15" t="s">
        <v>263</v>
      </c>
      <c r="EY19" s="15" t="s">
        <v>264</v>
      </c>
      <c r="EZ19" s="15" t="s">
        <v>265</v>
      </c>
      <c r="FA19" s="15" t="s">
        <v>266</v>
      </c>
      <c r="FB19" s="15" t="s">
        <v>267</v>
      </c>
      <c r="FC19" s="15" t="s">
        <v>268</v>
      </c>
      <c r="FD19" s="15" t="s">
        <v>269</v>
      </c>
      <c r="FE19" s="15" t="s">
        <v>270</v>
      </c>
      <c r="FF19" s="15" t="s">
        <v>271</v>
      </c>
      <c r="FG19" s="15" t="s">
        <v>272</v>
      </c>
      <c r="FH19" s="15" t="s">
        <v>273</v>
      </c>
      <c r="FI19" s="15" t="s">
        <v>274</v>
      </c>
      <c r="FJ19" s="15" t="s">
        <v>275</v>
      </c>
      <c r="FK19" s="15" t="s">
        <v>276</v>
      </c>
      <c r="FL19" s="15" t="s">
        <v>277</v>
      </c>
      <c r="FM19" s="15" t="s">
        <v>278</v>
      </c>
      <c r="FN19" s="15" t="s">
        <v>279</v>
      </c>
      <c r="FO19" s="15" t="s">
        <v>280</v>
      </c>
      <c r="FP19" s="15" t="s">
        <v>281</v>
      </c>
      <c r="FQ19" s="15" t="s">
        <v>282</v>
      </c>
      <c r="FR19" s="15" t="s">
        <v>283</v>
      </c>
      <c r="FS19" s="15" t="s">
        <v>284</v>
      </c>
      <c r="FT19" s="15" t="s">
        <v>285</v>
      </c>
      <c r="FU19" s="15" t="s">
        <v>286</v>
      </c>
      <c r="FV19" s="16" t="s">
        <v>287</v>
      </c>
      <c r="FW19" s="22" t="s">
        <v>288</v>
      </c>
      <c r="FX19" s="15" t="s">
        <v>289</v>
      </c>
      <c r="FY19" s="15" t="s">
        <v>290</v>
      </c>
      <c r="FZ19" s="15" t="s">
        <v>291</v>
      </c>
      <c r="GA19" s="15" t="s">
        <v>292</v>
      </c>
      <c r="GB19" s="15" t="s">
        <v>293</v>
      </c>
      <c r="GC19" s="15" t="s">
        <v>294</v>
      </c>
      <c r="GD19" s="15" t="s">
        <v>295</v>
      </c>
      <c r="GE19" s="15" t="s">
        <v>296</v>
      </c>
      <c r="GF19" s="15" t="s">
        <v>297</v>
      </c>
      <c r="GG19" s="15" t="s">
        <v>298</v>
      </c>
      <c r="GH19" s="15" t="s">
        <v>299</v>
      </c>
      <c r="GI19" s="15" t="s">
        <v>300</v>
      </c>
      <c r="GJ19" s="15" t="s">
        <v>301</v>
      </c>
      <c r="GK19" s="15" t="s">
        <v>302</v>
      </c>
      <c r="GL19" s="15" t="s">
        <v>303</v>
      </c>
      <c r="GM19" s="15" t="s">
        <v>304</v>
      </c>
      <c r="GN19" s="15" t="s">
        <v>305</v>
      </c>
      <c r="GO19" s="15" t="s">
        <v>306</v>
      </c>
      <c r="GP19" s="15" t="s">
        <v>307</v>
      </c>
      <c r="GQ19" s="15" t="s">
        <v>308</v>
      </c>
      <c r="GR19" s="15" t="s">
        <v>309</v>
      </c>
      <c r="GS19" s="15" t="s">
        <v>310</v>
      </c>
      <c r="GT19" s="15" t="s">
        <v>311</v>
      </c>
      <c r="GU19" s="15" t="s">
        <v>312</v>
      </c>
      <c r="GV19" s="15" t="s">
        <v>313</v>
      </c>
      <c r="GW19" s="15" t="s">
        <v>314</v>
      </c>
      <c r="GX19" s="15" t="s">
        <v>315</v>
      </c>
      <c r="GY19" s="15" t="s">
        <v>316</v>
      </c>
      <c r="GZ19" s="15" t="s">
        <v>317</v>
      </c>
      <c r="HA19" s="15" t="s">
        <v>318</v>
      </c>
      <c r="HB19" s="15" t="s">
        <v>319</v>
      </c>
      <c r="HC19" s="15" t="s">
        <v>320</v>
      </c>
      <c r="HD19" s="15" t="s">
        <v>321</v>
      </c>
      <c r="HE19" s="15" t="s">
        <v>322</v>
      </c>
      <c r="HF19" s="15" t="s">
        <v>323</v>
      </c>
      <c r="HG19" s="15" t="s">
        <v>324</v>
      </c>
      <c r="HH19" s="16" t="s">
        <v>325</v>
      </c>
      <c r="HI19" s="22" t="s">
        <v>326</v>
      </c>
      <c r="HJ19" s="15" t="s">
        <v>327</v>
      </c>
      <c r="HK19" s="15" t="s">
        <v>328</v>
      </c>
      <c r="HL19" s="15" t="s">
        <v>329</v>
      </c>
      <c r="HM19" s="15" t="s">
        <v>330</v>
      </c>
      <c r="HN19" s="15" t="s">
        <v>331</v>
      </c>
      <c r="HO19" s="15" t="s">
        <v>332</v>
      </c>
      <c r="HP19" s="15" t="s">
        <v>333</v>
      </c>
      <c r="HQ19" s="15" t="s">
        <v>334</v>
      </c>
      <c r="HR19" s="15" t="s">
        <v>335</v>
      </c>
      <c r="HS19" s="15" t="s">
        <v>336</v>
      </c>
      <c r="HT19" s="15" t="s">
        <v>337</v>
      </c>
      <c r="HU19" s="15" t="s">
        <v>338</v>
      </c>
      <c r="HV19" s="15" t="s">
        <v>339</v>
      </c>
      <c r="HW19" s="15" t="s">
        <v>340</v>
      </c>
      <c r="HX19" s="15" t="s">
        <v>341</v>
      </c>
      <c r="HY19" s="15" t="s">
        <v>342</v>
      </c>
      <c r="HZ19" s="15" t="s">
        <v>343</v>
      </c>
      <c r="IA19" s="15" t="s">
        <v>344</v>
      </c>
      <c r="IB19" s="15" t="s">
        <v>345</v>
      </c>
      <c r="IC19" s="15" t="s">
        <v>346</v>
      </c>
      <c r="ID19" s="15" t="s">
        <v>347</v>
      </c>
      <c r="IE19" s="15" t="s">
        <v>348</v>
      </c>
      <c r="IF19" s="15" t="s">
        <v>349</v>
      </c>
      <c r="IG19" s="15" t="s">
        <v>350</v>
      </c>
      <c r="IH19" s="15" t="s">
        <v>351</v>
      </c>
      <c r="II19" s="15" t="s">
        <v>352</v>
      </c>
      <c r="IJ19" s="15" t="s">
        <v>353</v>
      </c>
      <c r="IK19" s="15" t="s">
        <v>354</v>
      </c>
      <c r="IL19" s="15" t="s">
        <v>355</v>
      </c>
      <c r="IM19" s="15" t="s">
        <v>356</v>
      </c>
      <c r="IN19" s="15" t="s">
        <v>357</v>
      </c>
      <c r="IO19" s="15" t="s">
        <v>358</v>
      </c>
      <c r="IP19" s="15" t="s">
        <v>359</v>
      </c>
      <c r="IQ19" s="15" t="s">
        <v>360</v>
      </c>
      <c r="IR19" s="15" t="s">
        <v>361</v>
      </c>
      <c r="IS19" s="15" t="s">
        <v>362</v>
      </c>
      <c r="IT19" s="16" t="s">
        <v>363</v>
      </c>
    </row>
    <row r="20" spans="1:254" x14ac:dyDescent="0.25">
      <c r="A20" t="s">
        <v>56</v>
      </c>
      <c r="B20" t="s">
        <v>369</v>
      </c>
      <c r="C20" s="9" t="s">
        <v>364</v>
      </c>
      <c r="D20" s="48">
        <v>1</v>
      </c>
      <c r="E20">
        <f>VLOOKUP(TBL_Kommunikation[[#This Row],[Kommunikation &amp; Führung]],Übersicht_Fächer!$A$2:$E$32,5,0)</f>
        <v>144</v>
      </c>
      <c r="F20">
        <f>TBL_Kommunikation[[#This Row],[Mastery Max]]+TBL_Kommunikation[[#This Row],[ATL Max]]+TBL_Kommunikation[[#This Row],[Präsenz Max]]</f>
        <v>16</v>
      </c>
      <c r="G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0">
        <f>TBL_Kommunikation[[#This Row],[Mastery]]+TBL_Kommunikation[[#This Row],[ATL]]+TBL_Kommunikation[[#This Row],[Präsenz]]</f>
        <v>0</v>
      </c>
      <c r="I20" s="50"/>
      <c r="J20" s="50"/>
      <c r="K20" s="50"/>
      <c r="L20" s="50"/>
      <c r="M20">
        <f>VLOOKUP(TBL_Kommunikation[[#This Row],[Kommunikation &amp; Führung]],Übersicht_Fächer!$A$2:$D$32,4,0)</f>
        <v>16</v>
      </c>
      <c r="N20">
        <f>SUM(TBL_Kommunikation[[#This Row],[01.02.2022]:[26.06.2025]])</f>
        <v>0</v>
      </c>
      <c r="O20" s="51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52"/>
      <c r="BK20" s="51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4"/>
      <c r="CY20" s="51" t="s">
        <v>19</v>
      </c>
      <c r="CZ20" s="48" t="s">
        <v>19</v>
      </c>
      <c r="DA20" s="48" t="s">
        <v>19</v>
      </c>
      <c r="DB20" s="48" t="s">
        <v>19</v>
      </c>
      <c r="DC20" s="48" t="s">
        <v>19</v>
      </c>
      <c r="DD20" s="48" t="s">
        <v>19</v>
      </c>
      <c r="DE20" s="48" t="s">
        <v>19</v>
      </c>
      <c r="DF20" s="48" t="s">
        <v>19</v>
      </c>
      <c r="DG20" s="48" t="s">
        <v>19</v>
      </c>
      <c r="DH20" s="48" t="s">
        <v>19</v>
      </c>
      <c r="DI20" s="48" t="s">
        <v>19</v>
      </c>
      <c r="DJ20" s="48" t="s">
        <v>19</v>
      </c>
      <c r="DK20" s="48" t="s">
        <v>19</v>
      </c>
      <c r="DL20" s="48" t="s">
        <v>19</v>
      </c>
      <c r="DM20" s="48" t="s">
        <v>19</v>
      </c>
      <c r="DN20" s="48" t="s">
        <v>19</v>
      </c>
      <c r="DO20" s="48" t="s">
        <v>19</v>
      </c>
      <c r="DP20" s="48" t="s">
        <v>19</v>
      </c>
      <c r="DQ20" s="48" t="s">
        <v>19</v>
      </c>
      <c r="DR20" s="48" t="s">
        <v>19</v>
      </c>
      <c r="DS20" s="48" t="s">
        <v>19</v>
      </c>
      <c r="DT20" s="48" t="s">
        <v>19</v>
      </c>
      <c r="DU20" s="48" t="s">
        <v>19</v>
      </c>
      <c r="DV20" s="48" t="s">
        <v>19</v>
      </c>
      <c r="DW20" s="48" t="s">
        <v>19</v>
      </c>
      <c r="DX20" s="48" t="s">
        <v>19</v>
      </c>
      <c r="DY20" s="48" t="s">
        <v>19</v>
      </c>
      <c r="DZ20" s="48" t="s">
        <v>19</v>
      </c>
      <c r="EA20" s="48" t="s">
        <v>19</v>
      </c>
      <c r="EB20" s="48" t="s">
        <v>19</v>
      </c>
      <c r="EC20" s="48" t="s">
        <v>19</v>
      </c>
      <c r="ED20" s="48" t="s">
        <v>19</v>
      </c>
      <c r="EE20" s="48" t="s">
        <v>19</v>
      </c>
      <c r="EF20" s="48" t="s">
        <v>19</v>
      </c>
      <c r="EG20" s="48" t="s">
        <v>19</v>
      </c>
      <c r="EH20" s="48" t="s">
        <v>19</v>
      </c>
      <c r="EI20" s="48" t="s">
        <v>19</v>
      </c>
      <c r="EJ20" s="52" t="s">
        <v>19</v>
      </c>
      <c r="EK20" s="51" t="s">
        <v>19</v>
      </c>
      <c r="EL20" s="48" t="s">
        <v>19</v>
      </c>
      <c r="EM20" s="48" t="s">
        <v>19</v>
      </c>
      <c r="EN20" s="48" t="s">
        <v>19</v>
      </c>
      <c r="EO20" s="48" t="s">
        <v>19</v>
      </c>
      <c r="EP20" s="48" t="s">
        <v>19</v>
      </c>
      <c r="EQ20" s="48" t="s">
        <v>19</v>
      </c>
      <c r="ER20" s="48" t="s">
        <v>19</v>
      </c>
      <c r="ES20" s="48" t="s">
        <v>19</v>
      </c>
      <c r="ET20" s="48" t="s">
        <v>19</v>
      </c>
      <c r="EU20" s="48" t="s">
        <v>19</v>
      </c>
      <c r="EV20" s="48" t="s">
        <v>19</v>
      </c>
      <c r="EW20" s="48" t="s">
        <v>19</v>
      </c>
      <c r="EX20" s="48" t="s">
        <v>19</v>
      </c>
      <c r="EY20" s="48" t="s">
        <v>19</v>
      </c>
      <c r="EZ20" s="48" t="s">
        <v>19</v>
      </c>
      <c r="FA20" s="48" t="s">
        <v>19</v>
      </c>
      <c r="FB20" s="48" t="s">
        <v>19</v>
      </c>
      <c r="FC20" s="48" t="s">
        <v>19</v>
      </c>
      <c r="FD20" s="48" t="s">
        <v>19</v>
      </c>
      <c r="FE20" s="48" t="s">
        <v>19</v>
      </c>
      <c r="FF20" s="48" t="s">
        <v>19</v>
      </c>
      <c r="FG20" s="48" t="s">
        <v>19</v>
      </c>
      <c r="FH20" s="48" t="s">
        <v>19</v>
      </c>
      <c r="FI20" s="48" t="s">
        <v>19</v>
      </c>
      <c r="FJ20" s="48" t="s">
        <v>19</v>
      </c>
      <c r="FK20" s="48" t="s">
        <v>19</v>
      </c>
      <c r="FL20" s="48" t="s">
        <v>19</v>
      </c>
      <c r="FM20" s="48" t="s">
        <v>19</v>
      </c>
      <c r="FN20" s="48" t="s">
        <v>19</v>
      </c>
      <c r="FO20" s="48" t="s">
        <v>19</v>
      </c>
      <c r="FP20" s="48" t="s">
        <v>19</v>
      </c>
      <c r="FQ20" s="48" t="s">
        <v>19</v>
      </c>
      <c r="FR20" s="48" t="s">
        <v>19</v>
      </c>
      <c r="FS20" s="48" t="s">
        <v>19</v>
      </c>
      <c r="FT20" s="48" t="s">
        <v>19</v>
      </c>
      <c r="FU20" s="48" t="s">
        <v>19</v>
      </c>
      <c r="FV20" s="52" t="s">
        <v>19</v>
      </c>
      <c r="FW20" s="51" t="s">
        <v>19</v>
      </c>
      <c r="FX20" s="48" t="s">
        <v>19</v>
      </c>
      <c r="FY20" s="48" t="s">
        <v>19</v>
      </c>
      <c r="FZ20" s="48" t="s">
        <v>19</v>
      </c>
      <c r="GA20" s="48" t="s">
        <v>19</v>
      </c>
      <c r="GB20" s="48" t="s">
        <v>19</v>
      </c>
      <c r="GC20" s="48" t="s">
        <v>19</v>
      </c>
      <c r="GD20" s="48" t="s">
        <v>19</v>
      </c>
      <c r="GE20" s="48" t="s">
        <v>19</v>
      </c>
      <c r="GF20" s="48" t="s">
        <v>19</v>
      </c>
      <c r="GG20" s="48" t="s">
        <v>19</v>
      </c>
      <c r="GH20" s="48" t="s">
        <v>19</v>
      </c>
      <c r="GI20" s="48" t="s">
        <v>19</v>
      </c>
      <c r="GJ20" s="48" t="s">
        <v>19</v>
      </c>
      <c r="GK20" s="48" t="s">
        <v>19</v>
      </c>
      <c r="GL20" s="48" t="s">
        <v>19</v>
      </c>
      <c r="GM20" s="48" t="s">
        <v>19</v>
      </c>
      <c r="GN20" s="48" t="s">
        <v>19</v>
      </c>
      <c r="GO20" s="48" t="s">
        <v>19</v>
      </c>
      <c r="GP20" s="48" t="s">
        <v>19</v>
      </c>
      <c r="GQ20" s="48" t="s">
        <v>19</v>
      </c>
      <c r="GR20" s="48" t="s">
        <v>19</v>
      </c>
      <c r="GS20" s="48" t="s">
        <v>19</v>
      </c>
      <c r="GT20" s="48" t="s">
        <v>19</v>
      </c>
      <c r="GU20" s="48" t="s">
        <v>19</v>
      </c>
      <c r="GV20" s="48" t="s">
        <v>19</v>
      </c>
      <c r="GW20" s="48" t="s">
        <v>19</v>
      </c>
      <c r="GX20" s="48" t="s">
        <v>19</v>
      </c>
      <c r="GY20" s="48" t="s">
        <v>19</v>
      </c>
      <c r="GZ20" s="48" t="s">
        <v>19</v>
      </c>
      <c r="HA20" s="48" t="s">
        <v>19</v>
      </c>
      <c r="HB20" s="48" t="s">
        <v>19</v>
      </c>
      <c r="HC20" s="48" t="s">
        <v>19</v>
      </c>
      <c r="HD20" s="48" t="s">
        <v>19</v>
      </c>
      <c r="HE20" s="48" t="s">
        <v>19</v>
      </c>
      <c r="HF20" s="48" t="s">
        <v>19</v>
      </c>
      <c r="HG20" s="48" t="s">
        <v>19</v>
      </c>
      <c r="HH20" s="52" t="s">
        <v>19</v>
      </c>
      <c r="HI20" s="51" t="s">
        <v>19</v>
      </c>
      <c r="HJ20" s="48" t="s">
        <v>19</v>
      </c>
      <c r="HK20" s="48" t="s">
        <v>19</v>
      </c>
      <c r="HL20" s="48" t="s">
        <v>19</v>
      </c>
      <c r="HM20" s="48" t="s">
        <v>19</v>
      </c>
      <c r="HN20" s="48" t="s">
        <v>19</v>
      </c>
      <c r="HO20" s="48" t="s">
        <v>19</v>
      </c>
      <c r="HP20" s="48" t="s">
        <v>19</v>
      </c>
      <c r="HQ20" s="48" t="s">
        <v>19</v>
      </c>
      <c r="HR20" s="48" t="s">
        <v>19</v>
      </c>
      <c r="HS20" s="48" t="s">
        <v>19</v>
      </c>
      <c r="HT20" s="48" t="s">
        <v>19</v>
      </c>
      <c r="HU20" s="48" t="s">
        <v>19</v>
      </c>
      <c r="HV20" s="48" t="s">
        <v>19</v>
      </c>
      <c r="HW20" s="48" t="s">
        <v>19</v>
      </c>
      <c r="HX20" s="48" t="s">
        <v>19</v>
      </c>
      <c r="HY20" s="48" t="s">
        <v>19</v>
      </c>
      <c r="HZ20" s="48" t="s">
        <v>19</v>
      </c>
      <c r="IA20" s="48" t="s">
        <v>19</v>
      </c>
      <c r="IB20" s="48" t="s">
        <v>19</v>
      </c>
      <c r="IC20" s="48" t="s">
        <v>19</v>
      </c>
      <c r="ID20" s="48" t="s">
        <v>19</v>
      </c>
      <c r="IE20" s="48" t="s">
        <v>19</v>
      </c>
      <c r="IF20" s="48" t="s">
        <v>19</v>
      </c>
      <c r="IG20" s="48" t="s">
        <v>19</v>
      </c>
      <c r="IH20" s="48" t="s">
        <v>19</v>
      </c>
      <c r="II20" s="48" t="s">
        <v>19</v>
      </c>
      <c r="IJ20" s="48" t="s">
        <v>19</v>
      </c>
      <c r="IK20" s="48" t="s">
        <v>19</v>
      </c>
      <c r="IL20" s="48" t="s">
        <v>19</v>
      </c>
      <c r="IM20" s="48" t="s">
        <v>19</v>
      </c>
      <c r="IN20" s="48" t="s">
        <v>19</v>
      </c>
      <c r="IO20" s="48" t="s">
        <v>19</v>
      </c>
      <c r="IP20" s="48" t="s">
        <v>19</v>
      </c>
      <c r="IQ20" s="48" t="s">
        <v>19</v>
      </c>
      <c r="IR20" s="48" t="s">
        <v>19</v>
      </c>
      <c r="IS20" s="48" t="s">
        <v>19</v>
      </c>
      <c r="IT20" s="52" t="s">
        <v>19</v>
      </c>
    </row>
    <row r="21" spans="1:254" x14ac:dyDescent="0.25">
      <c r="A21" t="s">
        <v>58</v>
      </c>
      <c r="B21" t="s">
        <v>370</v>
      </c>
      <c r="C21" s="9" t="s">
        <v>364</v>
      </c>
      <c r="D21" s="48">
        <v>1</v>
      </c>
      <c r="E21">
        <f>VLOOKUP(TBL_Kommunikation[[#This Row],[Kommunikation &amp; Führung]],Übersicht_Fächer!$A$2:$E$32,5,0)</f>
        <v>144</v>
      </c>
      <c r="F21">
        <f>TBL_Kommunikation[[#This Row],[Mastery Max]]+TBL_Kommunikation[[#This Row],[ATL Max]]+TBL_Kommunikation[[#This Row],[Präsenz Max]]</f>
        <v>16</v>
      </c>
      <c r="G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1">
        <f>TBL_Kommunikation[[#This Row],[Mastery]]+TBL_Kommunikation[[#This Row],[ATL]]+TBL_Kommunikation[[#This Row],[Präsenz]]</f>
        <v>0</v>
      </c>
      <c r="I21" s="50"/>
      <c r="J21" s="50"/>
      <c r="K21" s="50"/>
      <c r="L21" s="50"/>
      <c r="M21">
        <f>VLOOKUP(TBL_Kommunikation[[#This Row],[Kommunikation &amp; Führung]],Übersicht_Fächer!$A$2:$D$32,4,0)</f>
        <v>16</v>
      </c>
      <c r="N21">
        <f>SUM(TBL_Kommunikation[[#This Row],[01.02.2022]:[26.06.2025]])</f>
        <v>0</v>
      </c>
      <c r="O21" s="51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2"/>
      <c r="BK21" s="51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60"/>
      <c r="BW21" s="48"/>
      <c r="BX21" s="60"/>
      <c r="BY21" s="48"/>
      <c r="BZ21" s="48"/>
      <c r="CA21" s="48"/>
      <c r="CB21" s="48"/>
      <c r="CC21" s="48"/>
      <c r="CD21" s="48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4"/>
      <c r="CY21" s="51" t="s">
        <v>19</v>
      </c>
      <c r="CZ21" s="48" t="s">
        <v>19</v>
      </c>
      <c r="DA21" s="48" t="s">
        <v>19</v>
      </c>
      <c r="DB21" s="48" t="s">
        <v>19</v>
      </c>
      <c r="DC21" s="48" t="s">
        <v>19</v>
      </c>
      <c r="DD21" s="48" t="s">
        <v>19</v>
      </c>
      <c r="DE21" s="48" t="s">
        <v>19</v>
      </c>
      <c r="DF21" s="48" t="s">
        <v>19</v>
      </c>
      <c r="DG21" s="48" t="s">
        <v>19</v>
      </c>
      <c r="DH21" s="48" t="s">
        <v>19</v>
      </c>
      <c r="DI21" s="48" t="s">
        <v>19</v>
      </c>
      <c r="DJ21" s="48" t="s">
        <v>19</v>
      </c>
      <c r="DK21" s="48" t="s">
        <v>19</v>
      </c>
      <c r="DL21" s="48" t="s">
        <v>19</v>
      </c>
      <c r="DM21" s="48" t="s">
        <v>19</v>
      </c>
      <c r="DN21" s="48" t="s">
        <v>19</v>
      </c>
      <c r="DO21" s="48" t="s">
        <v>19</v>
      </c>
      <c r="DP21" s="48" t="s">
        <v>19</v>
      </c>
      <c r="DQ21" s="48" t="s">
        <v>19</v>
      </c>
      <c r="DR21" s="48" t="s">
        <v>19</v>
      </c>
      <c r="DS21" s="48" t="s">
        <v>19</v>
      </c>
      <c r="DT21" s="48" t="s">
        <v>19</v>
      </c>
      <c r="DU21" s="48" t="s">
        <v>19</v>
      </c>
      <c r="DV21" s="48" t="s">
        <v>19</v>
      </c>
      <c r="DW21" s="48" t="s">
        <v>19</v>
      </c>
      <c r="DX21" s="48" t="s">
        <v>19</v>
      </c>
      <c r="DY21" s="48" t="s">
        <v>19</v>
      </c>
      <c r="DZ21" s="48" t="s">
        <v>19</v>
      </c>
      <c r="EA21" s="48" t="s">
        <v>19</v>
      </c>
      <c r="EB21" s="48" t="s">
        <v>19</v>
      </c>
      <c r="EC21" s="48" t="s">
        <v>19</v>
      </c>
      <c r="ED21" s="48" t="s">
        <v>19</v>
      </c>
      <c r="EE21" s="48" t="s">
        <v>19</v>
      </c>
      <c r="EF21" s="48" t="s">
        <v>19</v>
      </c>
      <c r="EG21" s="48" t="s">
        <v>19</v>
      </c>
      <c r="EH21" s="48" t="s">
        <v>19</v>
      </c>
      <c r="EI21" s="48" t="s">
        <v>19</v>
      </c>
      <c r="EJ21" s="52" t="s">
        <v>19</v>
      </c>
      <c r="EK21" s="51" t="s">
        <v>19</v>
      </c>
      <c r="EL21" s="48" t="s">
        <v>19</v>
      </c>
      <c r="EM21" s="48" t="s">
        <v>19</v>
      </c>
      <c r="EN21" s="48" t="s">
        <v>19</v>
      </c>
      <c r="EO21" s="48" t="s">
        <v>19</v>
      </c>
      <c r="EP21" s="48" t="s">
        <v>19</v>
      </c>
      <c r="EQ21" s="48" t="s">
        <v>19</v>
      </c>
      <c r="ER21" s="48" t="s">
        <v>19</v>
      </c>
      <c r="ES21" s="48" t="s">
        <v>19</v>
      </c>
      <c r="ET21" s="48" t="s">
        <v>19</v>
      </c>
      <c r="EU21" s="48" t="s">
        <v>19</v>
      </c>
      <c r="EV21" s="48" t="s">
        <v>19</v>
      </c>
      <c r="EW21" s="48" t="s">
        <v>19</v>
      </c>
      <c r="EX21" s="48" t="s">
        <v>19</v>
      </c>
      <c r="EY21" s="48" t="s">
        <v>19</v>
      </c>
      <c r="EZ21" s="48" t="s">
        <v>19</v>
      </c>
      <c r="FA21" s="48" t="s">
        <v>19</v>
      </c>
      <c r="FB21" s="48" t="s">
        <v>19</v>
      </c>
      <c r="FC21" s="48" t="s">
        <v>19</v>
      </c>
      <c r="FD21" s="48" t="s">
        <v>19</v>
      </c>
      <c r="FE21" s="48" t="s">
        <v>19</v>
      </c>
      <c r="FF21" s="48" t="s">
        <v>19</v>
      </c>
      <c r="FG21" s="48" t="s">
        <v>19</v>
      </c>
      <c r="FH21" s="48" t="s">
        <v>19</v>
      </c>
      <c r="FI21" s="48" t="s">
        <v>19</v>
      </c>
      <c r="FJ21" s="48" t="s">
        <v>19</v>
      </c>
      <c r="FK21" s="48" t="s">
        <v>19</v>
      </c>
      <c r="FL21" s="48" t="s">
        <v>19</v>
      </c>
      <c r="FM21" s="48" t="s">
        <v>19</v>
      </c>
      <c r="FN21" s="48" t="s">
        <v>19</v>
      </c>
      <c r="FO21" s="48" t="s">
        <v>19</v>
      </c>
      <c r="FP21" s="48" t="s">
        <v>19</v>
      </c>
      <c r="FQ21" s="48" t="s">
        <v>19</v>
      </c>
      <c r="FR21" s="48" t="s">
        <v>19</v>
      </c>
      <c r="FS21" s="48" t="s">
        <v>19</v>
      </c>
      <c r="FT21" s="48" t="s">
        <v>19</v>
      </c>
      <c r="FU21" s="48" t="s">
        <v>19</v>
      </c>
      <c r="FV21" s="52" t="s">
        <v>19</v>
      </c>
      <c r="FW21" s="51" t="s">
        <v>19</v>
      </c>
      <c r="FX21" s="48" t="s">
        <v>19</v>
      </c>
      <c r="FY21" s="48" t="s">
        <v>19</v>
      </c>
      <c r="FZ21" s="48" t="s">
        <v>19</v>
      </c>
      <c r="GA21" s="48" t="s">
        <v>19</v>
      </c>
      <c r="GB21" s="48" t="s">
        <v>19</v>
      </c>
      <c r="GC21" s="48" t="s">
        <v>19</v>
      </c>
      <c r="GD21" s="48" t="s">
        <v>19</v>
      </c>
      <c r="GE21" s="48" t="s">
        <v>19</v>
      </c>
      <c r="GF21" s="48" t="s">
        <v>19</v>
      </c>
      <c r="GG21" s="48" t="s">
        <v>19</v>
      </c>
      <c r="GH21" s="48" t="s">
        <v>19</v>
      </c>
      <c r="GI21" s="48" t="s">
        <v>19</v>
      </c>
      <c r="GJ21" s="48" t="s">
        <v>19</v>
      </c>
      <c r="GK21" s="48" t="s">
        <v>19</v>
      </c>
      <c r="GL21" s="48" t="s">
        <v>19</v>
      </c>
      <c r="GM21" s="48" t="s">
        <v>19</v>
      </c>
      <c r="GN21" s="48" t="s">
        <v>19</v>
      </c>
      <c r="GO21" s="48" t="s">
        <v>19</v>
      </c>
      <c r="GP21" s="48" t="s">
        <v>19</v>
      </c>
      <c r="GQ21" s="48" t="s">
        <v>19</v>
      </c>
      <c r="GR21" s="48" t="s">
        <v>19</v>
      </c>
      <c r="GS21" s="48" t="s">
        <v>19</v>
      </c>
      <c r="GT21" s="48" t="s">
        <v>19</v>
      </c>
      <c r="GU21" s="48" t="s">
        <v>19</v>
      </c>
      <c r="GV21" s="48" t="s">
        <v>19</v>
      </c>
      <c r="GW21" s="48" t="s">
        <v>19</v>
      </c>
      <c r="GX21" s="48" t="s">
        <v>19</v>
      </c>
      <c r="GY21" s="48" t="s">
        <v>19</v>
      </c>
      <c r="GZ21" s="48" t="s">
        <v>19</v>
      </c>
      <c r="HA21" s="48" t="s">
        <v>19</v>
      </c>
      <c r="HB21" s="48" t="s">
        <v>19</v>
      </c>
      <c r="HC21" s="48" t="s">
        <v>19</v>
      </c>
      <c r="HD21" s="48" t="s">
        <v>19</v>
      </c>
      <c r="HE21" s="48" t="s">
        <v>19</v>
      </c>
      <c r="HF21" s="48" t="s">
        <v>19</v>
      </c>
      <c r="HG21" s="48" t="s">
        <v>19</v>
      </c>
      <c r="HH21" s="52" t="s">
        <v>19</v>
      </c>
      <c r="HI21" s="51" t="s">
        <v>19</v>
      </c>
      <c r="HJ21" s="48" t="s">
        <v>19</v>
      </c>
      <c r="HK21" s="48" t="s">
        <v>19</v>
      </c>
      <c r="HL21" s="48" t="s">
        <v>19</v>
      </c>
      <c r="HM21" s="48" t="s">
        <v>19</v>
      </c>
      <c r="HN21" s="48" t="s">
        <v>19</v>
      </c>
      <c r="HO21" s="48" t="s">
        <v>19</v>
      </c>
      <c r="HP21" s="48" t="s">
        <v>19</v>
      </c>
      <c r="HQ21" s="48" t="s">
        <v>19</v>
      </c>
      <c r="HR21" s="48" t="s">
        <v>19</v>
      </c>
      <c r="HS21" s="48" t="s">
        <v>19</v>
      </c>
      <c r="HT21" s="48" t="s">
        <v>19</v>
      </c>
      <c r="HU21" s="48" t="s">
        <v>19</v>
      </c>
      <c r="HV21" s="48" t="s">
        <v>19</v>
      </c>
      <c r="HW21" s="48" t="s">
        <v>19</v>
      </c>
      <c r="HX21" s="48" t="s">
        <v>19</v>
      </c>
      <c r="HY21" s="48" t="s">
        <v>19</v>
      </c>
      <c r="HZ21" s="48" t="s">
        <v>19</v>
      </c>
      <c r="IA21" s="48" t="s">
        <v>19</v>
      </c>
      <c r="IB21" s="48" t="s">
        <v>19</v>
      </c>
      <c r="IC21" s="48" t="s">
        <v>19</v>
      </c>
      <c r="ID21" s="48" t="s">
        <v>19</v>
      </c>
      <c r="IE21" s="48" t="s">
        <v>19</v>
      </c>
      <c r="IF21" s="48" t="s">
        <v>19</v>
      </c>
      <c r="IG21" s="48" t="s">
        <v>19</v>
      </c>
      <c r="IH21" s="48" t="s">
        <v>19</v>
      </c>
      <c r="II21" s="48" t="s">
        <v>19</v>
      </c>
      <c r="IJ21" s="48" t="s">
        <v>19</v>
      </c>
      <c r="IK21" s="48" t="s">
        <v>19</v>
      </c>
      <c r="IL21" s="48" t="s">
        <v>19</v>
      </c>
      <c r="IM21" s="48" t="s">
        <v>19</v>
      </c>
      <c r="IN21" s="48" t="s">
        <v>19</v>
      </c>
      <c r="IO21" s="48" t="s">
        <v>19</v>
      </c>
      <c r="IP21" s="48" t="s">
        <v>19</v>
      </c>
      <c r="IQ21" s="48" t="s">
        <v>19</v>
      </c>
      <c r="IR21" s="48" t="s">
        <v>19</v>
      </c>
      <c r="IS21" s="48" t="s">
        <v>19</v>
      </c>
      <c r="IT21" s="52" t="s">
        <v>19</v>
      </c>
    </row>
    <row r="22" spans="1:254" x14ac:dyDescent="0.25">
      <c r="A22" t="s">
        <v>62</v>
      </c>
      <c r="B22" t="s">
        <v>63</v>
      </c>
      <c r="C22" s="9" t="s">
        <v>364</v>
      </c>
      <c r="D22" s="48">
        <v>1</v>
      </c>
      <c r="E22">
        <f>VLOOKUP(TBL_Kommunikation[[#This Row],[Kommunikation &amp; Führung]],Übersicht_Fächer!$A$2:$E$32,5,0)</f>
        <v>72</v>
      </c>
      <c r="F22">
        <f>TBL_Kommunikation[[#This Row],[Mastery Max]]+TBL_Kommunikation[[#This Row],[ATL Max]]+TBL_Kommunikation[[#This Row],[Präsenz Max]]</f>
        <v>8</v>
      </c>
      <c r="G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2">
        <f>TBL_Kommunikation[[#This Row],[Mastery]]+TBL_Kommunikation[[#This Row],[ATL]]+TBL_Kommunikation[[#This Row],[Präsenz]]</f>
        <v>0</v>
      </c>
      <c r="I22" s="50"/>
      <c r="J22" s="50"/>
      <c r="K22" s="50"/>
      <c r="L22" s="50"/>
      <c r="M22">
        <f>VLOOKUP(TBL_Kommunikation[[#This Row],[Kommunikation &amp; Führung]],Übersicht_Fächer!$A$2:$D$32,4,0)</f>
        <v>8</v>
      </c>
      <c r="N22">
        <f>SUM(TBL_Kommunikation[[#This Row],[01.02.2022]:[26.06.2025]])</f>
        <v>0</v>
      </c>
      <c r="O22" s="51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52"/>
      <c r="BK22" s="51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4"/>
      <c r="CY22" s="51" t="s">
        <v>19</v>
      </c>
      <c r="CZ22" s="48" t="s">
        <v>19</v>
      </c>
      <c r="DA22" s="48" t="s">
        <v>19</v>
      </c>
      <c r="DB22" s="48" t="s">
        <v>19</v>
      </c>
      <c r="DC22" s="48" t="s">
        <v>19</v>
      </c>
      <c r="DD22" s="48" t="s">
        <v>19</v>
      </c>
      <c r="DE22" s="48" t="s">
        <v>19</v>
      </c>
      <c r="DF22" s="48" t="s">
        <v>19</v>
      </c>
      <c r="DG22" s="48" t="s">
        <v>19</v>
      </c>
      <c r="DH22" s="48" t="s">
        <v>19</v>
      </c>
      <c r="DI22" s="48" t="s">
        <v>19</v>
      </c>
      <c r="DJ22" s="48" t="s">
        <v>19</v>
      </c>
      <c r="DK22" s="48" t="s">
        <v>19</v>
      </c>
      <c r="DL22" s="48" t="s">
        <v>19</v>
      </c>
      <c r="DM22" s="48" t="s">
        <v>19</v>
      </c>
      <c r="DN22" s="48" t="s">
        <v>19</v>
      </c>
      <c r="DO22" s="48" t="s">
        <v>19</v>
      </c>
      <c r="DP22" s="48" t="s">
        <v>19</v>
      </c>
      <c r="DQ22" s="48" t="s">
        <v>19</v>
      </c>
      <c r="DR22" s="48" t="s">
        <v>19</v>
      </c>
      <c r="DS22" s="48" t="s">
        <v>19</v>
      </c>
      <c r="DT22" s="48" t="s">
        <v>19</v>
      </c>
      <c r="DU22" s="48" t="s">
        <v>19</v>
      </c>
      <c r="DV22" s="48" t="s">
        <v>19</v>
      </c>
      <c r="DW22" s="48" t="s">
        <v>19</v>
      </c>
      <c r="DX22" s="48" t="s">
        <v>19</v>
      </c>
      <c r="DY22" s="48" t="s">
        <v>19</v>
      </c>
      <c r="DZ22" s="48" t="s">
        <v>19</v>
      </c>
      <c r="EA22" s="48" t="s">
        <v>19</v>
      </c>
      <c r="EB22" s="48" t="s">
        <v>19</v>
      </c>
      <c r="EC22" s="48" t="s">
        <v>19</v>
      </c>
      <c r="ED22" s="48" t="s">
        <v>19</v>
      </c>
      <c r="EE22" s="48" t="s">
        <v>19</v>
      </c>
      <c r="EF22" s="48" t="s">
        <v>19</v>
      </c>
      <c r="EG22" s="48" t="s">
        <v>19</v>
      </c>
      <c r="EH22" s="48" t="s">
        <v>19</v>
      </c>
      <c r="EI22" s="48" t="s">
        <v>19</v>
      </c>
      <c r="EJ22" s="52" t="s">
        <v>19</v>
      </c>
      <c r="EK22" s="51" t="s">
        <v>19</v>
      </c>
      <c r="EL22" s="48" t="s">
        <v>19</v>
      </c>
      <c r="EM22" s="48" t="s">
        <v>19</v>
      </c>
      <c r="EN22" s="48" t="s">
        <v>19</v>
      </c>
      <c r="EO22" s="48" t="s">
        <v>19</v>
      </c>
      <c r="EP22" s="48" t="s">
        <v>19</v>
      </c>
      <c r="EQ22" s="48" t="s">
        <v>19</v>
      </c>
      <c r="ER22" s="48" t="s">
        <v>19</v>
      </c>
      <c r="ES22" s="48" t="s">
        <v>19</v>
      </c>
      <c r="ET22" s="48" t="s">
        <v>19</v>
      </c>
      <c r="EU22" s="48" t="s">
        <v>19</v>
      </c>
      <c r="EV22" s="48" t="s">
        <v>19</v>
      </c>
      <c r="EW22" s="48" t="s">
        <v>19</v>
      </c>
      <c r="EX22" s="48" t="s">
        <v>19</v>
      </c>
      <c r="EY22" s="48" t="s">
        <v>19</v>
      </c>
      <c r="EZ22" s="48" t="s">
        <v>19</v>
      </c>
      <c r="FA22" s="48" t="s">
        <v>19</v>
      </c>
      <c r="FB22" s="48" t="s">
        <v>19</v>
      </c>
      <c r="FC22" s="48" t="s">
        <v>19</v>
      </c>
      <c r="FD22" s="48" t="s">
        <v>19</v>
      </c>
      <c r="FE22" s="48" t="s">
        <v>19</v>
      </c>
      <c r="FF22" s="48" t="s">
        <v>19</v>
      </c>
      <c r="FG22" s="48" t="s">
        <v>19</v>
      </c>
      <c r="FH22" s="48" t="s">
        <v>19</v>
      </c>
      <c r="FI22" s="48" t="s">
        <v>19</v>
      </c>
      <c r="FJ22" s="48" t="s">
        <v>19</v>
      </c>
      <c r="FK22" s="48" t="s">
        <v>19</v>
      </c>
      <c r="FL22" s="48" t="s">
        <v>19</v>
      </c>
      <c r="FM22" s="48" t="s">
        <v>19</v>
      </c>
      <c r="FN22" s="48" t="s">
        <v>19</v>
      </c>
      <c r="FO22" s="48" t="s">
        <v>19</v>
      </c>
      <c r="FP22" s="48" t="s">
        <v>19</v>
      </c>
      <c r="FQ22" s="48" t="s">
        <v>19</v>
      </c>
      <c r="FR22" s="48" t="s">
        <v>19</v>
      </c>
      <c r="FS22" s="48" t="s">
        <v>19</v>
      </c>
      <c r="FT22" s="48" t="s">
        <v>19</v>
      </c>
      <c r="FU22" s="48" t="s">
        <v>19</v>
      </c>
      <c r="FV22" s="52" t="s">
        <v>19</v>
      </c>
      <c r="FW22" s="51" t="s">
        <v>19</v>
      </c>
      <c r="FX22" s="48" t="s">
        <v>19</v>
      </c>
      <c r="FY22" s="48" t="s">
        <v>19</v>
      </c>
      <c r="FZ22" s="48" t="s">
        <v>19</v>
      </c>
      <c r="GA22" s="48" t="s">
        <v>19</v>
      </c>
      <c r="GB22" s="48" t="s">
        <v>19</v>
      </c>
      <c r="GC22" s="48" t="s">
        <v>19</v>
      </c>
      <c r="GD22" s="48" t="s">
        <v>19</v>
      </c>
      <c r="GE22" s="48" t="s">
        <v>19</v>
      </c>
      <c r="GF22" s="48" t="s">
        <v>19</v>
      </c>
      <c r="GG22" s="48" t="s">
        <v>19</v>
      </c>
      <c r="GH22" s="48" t="s">
        <v>19</v>
      </c>
      <c r="GI22" s="48" t="s">
        <v>19</v>
      </c>
      <c r="GJ22" s="48" t="s">
        <v>19</v>
      </c>
      <c r="GK22" s="48" t="s">
        <v>19</v>
      </c>
      <c r="GL22" s="48" t="s">
        <v>19</v>
      </c>
      <c r="GM22" s="48" t="s">
        <v>19</v>
      </c>
      <c r="GN22" s="48" t="s">
        <v>19</v>
      </c>
      <c r="GO22" s="48" t="s">
        <v>19</v>
      </c>
      <c r="GP22" s="48" t="s">
        <v>19</v>
      </c>
      <c r="GQ22" s="48" t="s">
        <v>19</v>
      </c>
      <c r="GR22" s="48" t="s">
        <v>19</v>
      </c>
      <c r="GS22" s="48" t="s">
        <v>19</v>
      </c>
      <c r="GT22" s="48" t="s">
        <v>19</v>
      </c>
      <c r="GU22" s="48" t="s">
        <v>19</v>
      </c>
      <c r="GV22" s="48" t="s">
        <v>19</v>
      </c>
      <c r="GW22" s="48" t="s">
        <v>19</v>
      </c>
      <c r="GX22" s="48" t="s">
        <v>19</v>
      </c>
      <c r="GY22" s="48" t="s">
        <v>19</v>
      </c>
      <c r="GZ22" s="48" t="s">
        <v>19</v>
      </c>
      <c r="HA22" s="48" t="s">
        <v>19</v>
      </c>
      <c r="HB22" s="48" t="s">
        <v>19</v>
      </c>
      <c r="HC22" s="48" t="s">
        <v>19</v>
      </c>
      <c r="HD22" s="48" t="s">
        <v>19</v>
      </c>
      <c r="HE22" s="48" t="s">
        <v>19</v>
      </c>
      <c r="HF22" s="48" t="s">
        <v>19</v>
      </c>
      <c r="HG22" s="48" t="s">
        <v>19</v>
      </c>
      <c r="HH22" s="52" t="s">
        <v>19</v>
      </c>
      <c r="HI22" s="51" t="s">
        <v>19</v>
      </c>
      <c r="HJ22" s="48" t="s">
        <v>19</v>
      </c>
      <c r="HK22" s="48" t="s">
        <v>19</v>
      </c>
      <c r="HL22" s="48" t="s">
        <v>19</v>
      </c>
      <c r="HM22" s="48" t="s">
        <v>19</v>
      </c>
      <c r="HN22" s="48" t="s">
        <v>19</v>
      </c>
      <c r="HO22" s="48" t="s">
        <v>19</v>
      </c>
      <c r="HP22" s="48" t="s">
        <v>19</v>
      </c>
      <c r="HQ22" s="48" t="s">
        <v>19</v>
      </c>
      <c r="HR22" s="48" t="s">
        <v>19</v>
      </c>
      <c r="HS22" s="48" t="s">
        <v>19</v>
      </c>
      <c r="HT22" s="48" t="s">
        <v>19</v>
      </c>
      <c r="HU22" s="48" t="s">
        <v>19</v>
      </c>
      <c r="HV22" s="48" t="s">
        <v>19</v>
      </c>
      <c r="HW22" s="48" t="s">
        <v>19</v>
      </c>
      <c r="HX22" s="48" t="s">
        <v>19</v>
      </c>
      <c r="HY22" s="48" t="s">
        <v>19</v>
      </c>
      <c r="HZ22" s="48" t="s">
        <v>19</v>
      </c>
      <c r="IA22" s="48" t="s">
        <v>19</v>
      </c>
      <c r="IB22" s="48" t="s">
        <v>19</v>
      </c>
      <c r="IC22" s="48" t="s">
        <v>19</v>
      </c>
      <c r="ID22" s="48" t="s">
        <v>19</v>
      </c>
      <c r="IE22" s="48" t="s">
        <v>19</v>
      </c>
      <c r="IF22" s="48" t="s">
        <v>19</v>
      </c>
      <c r="IG22" s="48" t="s">
        <v>19</v>
      </c>
      <c r="IH22" s="48" t="s">
        <v>19</v>
      </c>
      <c r="II22" s="48" t="s">
        <v>19</v>
      </c>
      <c r="IJ22" s="48" t="s">
        <v>19</v>
      </c>
      <c r="IK22" s="48" t="s">
        <v>19</v>
      </c>
      <c r="IL22" s="48" t="s">
        <v>19</v>
      </c>
      <c r="IM22" s="48" t="s">
        <v>19</v>
      </c>
      <c r="IN22" s="48" t="s">
        <v>19</v>
      </c>
      <c r="IO22" s="48" t="s">
        <v>19</v>
      </c>
      <c r="IP22" s="48" t="s">
        <v>19</v>
      </c>
      <c r="IQ22" s="48" t="s">
        <v>19</v>
      </c>
      <c r="IR22" s="48" t="s">
        <v>19</v>
      </c>
      <c r="IS22" s="48" t="s">
        <v>19</v>
      </c>
      <c r="IT22" s="52" t="s">
        <v>19</v>
      </c>
    </row>
    <row r="23" spans="1:254" x14ac:dyDescent="0.25">
      <c r="A23" t="s">
        <v>60</v>
      </c>
      <c r="B23" t="s">
        <v>61</v>
      </c>
      <c r="C23" s="9" t="s">
        <v>368</v>
      </c>
      <c r="D23" s="48">
        <v>1</v>
      </c>
      <c r="E23">
        <f>VLOOKUP(TBL_Kommunikation[[#This Row],[Kommunikation &amp; Führung]],Übersicht_Fächer!$A$2:$E$32,5,0)</f>
        <v>72</v>
      </c>
      <c r="F23">
        <f>TBL_Kommunikation[[#This Row],[Mastery Max]]+TBL_Kommunikation[[#This Row],[ATL Max]]+TBL_Kommunikation[[#This Row],[Präsenz Max]]</f>
        <v>8</v>
      </c>
      <c r="G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3">
        <f>TBL_Kommunikation[[#This Row],[Mastery]]+TBL_Kommunikation[[#This Row],[ATL]]+TBL_Kommunikation[[#This Row],[Präsenz]]</f>
        <v>0</v>
      </c>
      <c r="I23" s="50"/>
      <c r="J23" s="50"/>
      <c r="K23" s="50"/>
      <c r="L23" s="50"/>
      <c r="M23">
        <f>VLOOKUP(TBL_Kommunikation[[#This Row],[Kommunikation &amp; Führung]],Übersicht_Fächer!$A$2:$D$32,4,0)</f>
        <v>8</v>
      </c>
      <c r="N23">
        <f>SUM(TBL_Kommunikation[[#This Row],[01.02.2022]:[26.06.2025]])</f>
        <v>0</v>
      </c>
      <c r="O23" s="51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52"/>
      <c r="BK23" s="51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51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52"/>
      <c r="EK23" s="51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52"/>
      <c r="FW23" s="51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52"/>
      <c r="HI23" s="51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  <c r="IR23" s="48"/>
      <c r="IS23" s="48"/>
      <c r="IT23" s="52"/>
    </row>
    <row r="24" spans="1:254" x14ac:dyDescent="0.25">
      <c r="A24" t="s">
        <v>64</v>
      </c>
      <c r="B24" t="s">
        <v>65</v>
      </c>
      <c r="C24" s="9" t="s">
        <v>364</v>
      </c>
      <c r="D24" s="48">
        <v>1</v>
      </c>
      <c r="E24">
        <f>VLOOKUP(TBL_Kommunikation[[#This Row],[Kommunikation &amp; Führung]],Übersicht_Fächer!$A$2:$E$32,5,0)</f>
        <v>72</v>
      </c>
      <c r="F24">
        <f>TBL_Kommunikation[[#This Row],[Mastery Max]]+TBL_Kommunikation[[#This Row],[ATL Max]]+TBL_Kommunikation[[#This Row],[Präsenz Max]]</f>
        <v>8</v>
      </c>
      <c r="G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4">
        <f>TBL_Kommunikation[[#This Row],[Mastery]]+TBL_Kommunikation[[#This Row],[ATL]]+TBL_Kommunikation[[#This Row],[Präsenz]]</f>
        <v>0</v>
      </c>
      <c r="I24" s="50"/>
      <c r="J24" s="50"/>
      <c r="K24" s="50"/>
      <c r="L24" s="50"/>
      <c r="M24">
        <f>VLOOKUP(TBL_Kommunikation[[#This Row],[Kommunikation &amp; Führung]],Übersicht_Fächer!$A$2:$D$32,4,0)</f>
        <v>8</v>
      </c>
      <c r="N24">
        <f>SUM(TBL_Kommunikation[[#This Row],[01.02.2022]:[26.06.2025]])</f>
        <v>0</v>
      </c>
      <c r="O24" s="51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52"/>
      <c r="BK24" s="51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4"/>
      <c r="CY24" s="51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52"/>
      <c r="EK24" s="51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52"/>
      <c r="FW24" s="51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52"/>
      <c r="HI24" s="51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52"/>
    </row>
    <row r="25" spans="1:254" ht="15.75" thickBot="1" x14ac:dyDescent="0.3">
      <c r="A25" t="s">
        <v>66</v>
      </c>
      <c r="B25" t="s">
        <v>67</v>
      </c>
      <c r="C25" s="9" t="s">
        <v>368</v>
      </c>
      <c r="D25" s="48">
        <v>1</v>
      </c>
      <c r="E25">
        <f>VLOOKUP(TBL_Kommunikation[[#This Row],[Kommunikation &amp; Führung]],Übersicht_Fächer!$A$2:$E$32,5,0)</f>
        <v>72</v>
      </c>
      <c r="F25">
        <f>TBL_Kommunikation[[#This Row],[Mastery Max]]+TBL_Kommunikation[[#This Row],[ATL Max]]+TBL_Kommunikation[[#This Row],[Präsenz Max]]</f>
        <v>8</v>
      </c>
      <c r="G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5">
        <f>TBL_Kommunikation[[#This Row],[Mastery]]+TBL_Kommunikation[[#This Row],[ATL]]+TBL_Kommunikation[[#This Row],[Präsenz]]</f>
        <v>0</v>
      </c>
      <c r="I25" s="50"/>
      <c r="J25" s="50"/>
      <c r="K25" s="50"/>
      <c r="L25" s="50"/>
      <c r="M25">
        <f>VLOOKUP(TBL_Kommunikation[[#This Row],[Kommunikation &amp; Führung]],Übersicht_Fächer!$A$2:$D$32,4,0)</f>
        <v>8</v>
      </c>
      <c r="N25">
        <f>SUM(TBL_Kommunikation[[#This Row],[01.02.2022]:[26.06.2025]])</f>
        <v>0</v>
      </c>
      <c r="O25" s="55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7"/>
      <c r="BK25" s="55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9"/>
      <c r="CY25" s="55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7"/>
      <c r="EK25" s="55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7"/>
      <c r="HI25" s="55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7"/>
    </row>
    <row r="26" spans="1:254" ht="15.75" thickBot="1" x14ac:dyDescent="0.3"/>
    <row r="27" spans="1:254" ht="80.25" customHeight="1" x14ac:dyDescent="0.25">
      <c r="A27" t="s">
        <v>68</v>
      </c>
      <c r="B27" t="s">
        <v>2</v>
      </c>
      <c r="C27" t="s">
        <v>21</v>
      </c>
      <c r="D27" t="s">
        <v>3</v>
      </c>
      <c r="E27" t="s">
        <v>4</v>
      </c>
      <c r="F27" t="s">
        <v>116</v>
      </c>
      <c r="G27" t="s">
        <v>6</v>
      </c>
      <c r="H27" t="s">
        <v>117</v>
      </c>
      <c r="I27" t="s">
        <v>118</v>
      </c>
      <c r="J27" t="s">
        <v>119</v>
      </c>
      <c r="K27" t="s">
        <v>120</v>
      </c>
      <c r="L27" t="s">
        <v>121</v>
      </c>
      <c r="M27" t="s">
        <v>122</v>
      </c>
      <c r="N27" t="s">
        <v>123</v>
      </c>
      <c r="O27" s="64" t="s">
        <v>124</v>
      </c>
      <c r="P27" s="65" t="s">
        <v>125</v>
      </c>
      <c r="Q27" s="65" t="s">
        <v>126</v>
      </c>
      <c r="R27" s="65" t="s">
        <v>127</v>
      </c>
      <c r="S27" s="65" t="s">
        <v>128</v>
      </c>
      <c r="T27" s="65" t="s">
        <v>129</v>
      </c>
      <c r="U27" s="65" t="s">
        <v>130</v>
      </c>
      <c r="V27" s="65" t="s">
        <v>131</v>
      </c>
      <c r="W27" s="65" t="s">
        <v>132</v>
      </c>
      <c r="X27" s="65" t="s">
        <v>133</v>
      </c>
      <c r="Y27" s="65" t="s">
        <v>134</v>
      </c>
      <c r="Z27" s="65" t="s">
        <v>135</v>
      </c>
      <c r="AA27" s="65" t="s">
        <v>136</v>
      </c>
      <c r="AB27" s="65" t="s">
        <v>137</v>
      </c>
      <c r="AC27" s="65" t="s">
        <v>138</v>
      </c>
      <c r="AD27" s="65" t="s">
        <v>139</v>
      </c>
      <c r="AE27" s="65" t="s">
        <v>140</v>
      </c>
      <c r="AF27" s="65" t="s">
        <v>141</v>
      </c>
      <c r="AG27" s="65" t="s">
        <v>142</v>
      </c>
      <c r="AH27" s="65" t="s">
        <v>143</v>
      </c>
      <c r="AI27" s="65" t="s">
        <v>144</v>
      </c>
      <c r="AJ27" s="65" t="s">
        <v>145</v>
      </c>
      <c r="AK27" s="65" t="s">
        <v>146</v>
      </c>
      <c r="AL27" s="65" t="s">
        <v>147</v>
      </c>
      <c r="AM27" s="65" t="s">
        <v>148</v>
      </c>
      <c r="AN27" s="65" t="s">
        <v>149</v>
      </c>
      <c r="AO27" s="65" t="s">
        <v>150</v>
      </c>
      <c r="AP27" s="65" t="s">
        <v>151</v>
      </c>
      <c r="AQ27" s="65" t="s">
        <v>152</v>
      </c>
      <c r="AR27" s="65" t="s">
        <v>153</v>
      </c>
      <c r="AS27" s="65" t="s">
        <v>154</v>
      </c>
      <c r="AT27" s="65" t="s">
        <v>155</v>
      </c>
      <c r="AU27" s="65" t="s">
        <v>156</v>
      </c>
      <c r="AV27" s="65" t="s">
        <v>157</v>
      </c>
      <c r="AW27" s="65" t="s">
        <v>158</v>
      </c>
      <c r="AX27" s="66" t="s">
        <v>159</v>
      </c>
      <c r="AY27" s="66" t="s">
        <v>160</v>
      </c>
      <c r="AZ27" s="66" t="s">
        <v>161</v>
      </c>
      <c r="BA27" s="66" t="s">
        <v>162</v>
      </c>
      <c r="BB27" s="66" t="s">
        <v>163</v>
      </c>
      <c r="BC27" s="66" t="s">
        <v>164</v>
      </c>
      <c r="BD27" s="66" t="s">
        <v>165</v>
      </c>
      <c r="BE27" s="66" t="s">
        <v>166</v>
      </c>
      <c r="BF27" s="66" t="s">
        <v>167</v>
      </c>
      <c r="BG27" s="66" t="s">
        <v>168</v>
      </c>
      <c r="BH27" s="66" t="s">
        <v>169</v>
      </c>
      <c r="BI27" s="66" t="s">
        <v>170</v>
      </c>
      <c r="BJ27" s="67" t="s">
        <v>171</v>
      </c>
      <c r="BK27" s="29" t="s">
        <v>172</v>
      </c>
      <c r="BL27" s="30" t="s">
        <v>173</v>
      </c>
      <c r="BM27" s="30" t="s">
        <v>174</v>
      </c>
      <c r="BN27" s="30" t="s">
        <v>175</v>
      </c>
      <c r="BO27" s="30" t="s">
        <v>176</v>
      </c>
      <c r="BP27" s="30" t="s">
        <v>177</v>
      </c>
      <c r="BQ27" s="30" t="s">
        <v>178</v>
      </c>
      <c r="BR27" s="30" t="s">
        <v>179</v>
      </c>
      <c r="BS27" s="30" t="s">
        <v>180</v>
      </c>
      <c r="BT27" s="30" t="s">
        <v>181</v>
      </c>
      <c r="BU27" s="30" t="s">
        <v>182</v>
      </c>
      <c r="BV27" s="30" t="s">
        <v>183</v>
      </c>
      <c r="BW27" s="30" t="s">
        <v>184</v>
      </c>
      <c r="BX27" s="30" t="s">
        <v>185</v>
      </c>
      <c r="BY27" s="30" t="s">
        <v>186</v>
      </c>
      <c r="BZ27" s="30" t="s">
        <v>187</v>
      </c>
      <c r="CA27" s="30" t="s">
        <v>188</v>
      </c>
      <c r="CB27" s="30" t="s">
        <v>189</v>
      </c>
      <c r="CC27" s="30" t="s">
        <v>190</v>
      </c>
      <c r="CD27" s="30" t="s">
        <v>191</v>
      </c>
      <c r="CE27" s="30" t="s">
        <v>192</v>
      </c>
      <c r="CF27" s="30" t="s">
        <v>193</v>
      </c>
      <c r="CG27" s="30" t="s">
        <v>194</v>
      </c>
      <c r="CH27" s="30" t="s">
        <v>195</v>
      </c>
      <c r="CI27" s="30" t="s">
        <v>371</v>
      </c>
      <c r="CJ27" s="15" t="s">
        <v>197</v>
      </c>
      <c r="CK27" s="15" t="s">
        <v>198</v>
      </c>
      <c r="CL27" s="15" t="s">
        <v>199</v>
      </c>
      <c r="CM27" s="15" t="s">
        <v>200</v>
      </c>
      <c r="CN27" s="15" t="s">
        <v>201</v>
      </c>
      <c r="CO27" s="15" t="s">
        <v>202</v>
      </c>
      <c r="CP27" s="15" t="s">
        <v>203</v>
      </c>
      <c r="CQ27" s="15" t="s">
        <v>204</v>
      </c>
      <c r="CR27" s="15" t="s">
        <v>205</v>
      </c>
      <c r="CS27" s="15" t="s">
        <v>206</v>
      </c>
      <c r="CT27" s="15" t="s">
        <v>207</v>
      </c>
      <c r="CU27" s="15" t="s">
        <v>208</v>
      </c>
      <c r="CV27" s="15" t="s">
        <v>209</v>
      </c>
      <c r="CW27" s="15" t="s">
        <v>210</v>
      </c>
      <c r="CX27" s="16" t="s">
        <v>211</v>
      </c>
      <c r="CY27" s="22" t="s">
        <v>212</v>
      </c>
      <c r="CZ27" s="15" t="s">
        <v>213</v>
      </c>
      <c r="DA27" s="15" t="s">
        <v>214</v>
      </c>
      <c r="DB27" s="15" t="s">
        <v>215</v>
      </c>
      <c r="DC27" s="15" t="s">
        <v>216</v>
      </c>
      <c r="DD27" s="15" t="s">
        <v>217</v>
      </c>
      <c r="DE27" s="15" t="s">
        <v>218</v>
      </c>
      <c r="DF27" s="15" t="s">
        <v>219</v>
      </c>
      <c r="DG27" s="15" t="s">
        <v>220</v>
      </c>
      <c r="DH27" s="15" t="s">
        <v>221</v>
      </c>
      <c r="DI27" s="15" t="s">
        <v>222</v>
      </c>
      <c r="DJ27" s="15" t="s">
        <v>223</v>
      </c>
      <c r="DK27" s="15" t="s">
        <v>224</v>
      </c>
      <c r="DL27" s="15" t="s">
        <v>225</v>
      </c>
      <c r="DM27" s="15" t="s">
        <v>226</v>
      </c>
      <c r="DN27" s="15" t="s">
        <v>227</v>
      </c>
      <c r="DO27" s="15" t="s">
        <v>228</v>
      </c>
      <c r="DP27" s="15" t="s">
        <v>229</v>
      </c>
      <c r="DQ27" s="15" t="s">
        <v>230</v>
      </c>
      <c r="DR27" s="15" t="s">
        <v>231</v>
      </c>
      <c r="DS27" s="15" t="s">
        <v>232</v>
      </c>
      <c r="DT27" s="15" t="s">
        <v>233</v>
      </c>
      <c r="DU27" s="15" t="s">
        <v>234</v>
      </c>
      <c r="DV27" s="15" t="s">
        <v>235</v>
      </c>
      <c r="DW27" s="15" t="s">
        <v>236</v>
      </c>
      <c r="DX27" s="15" t="s">
        <v>237</v>
      </c>
      <c r="DY27" s="15" t="s">
        <v>238</v>
      </c>
      <c r="DZ27" s="15" t="s">
        <v>239</v>
      </c>
      <c r="EA27" s="15" t="s">
        <v>240</v>
      </c>
      <c r="EB27" s="15" t="s">
        <v>241</v>
      </c>
      <c r="EC27" s="15" t="s">
        <v>242</v>
      </c>
      <c r="ED27" s="15" t="s">
        <v>243</v>
      </c>
      <c r="EE27" s="15" t="s">
        <v>244</v>
      </c>
      <c r="EF27" s="15" t="s">
        <v>245</v>
      </c>
      <c r="EG27" s="15" t="s">
        <v>246</v>
      </c>
      <c r="EH27" s="15" t="s">
        <v>247</v>
      </c>
      <c r="EI27" s="15" t="s">
        <v>248</v>
      </c>
      <c r="EJ27" s="16" t="s">
        <v>249</v>
      </c>
      <c r="EK27" s="22" t="s">
        <v>250</v>
      </c>
      <c r="EL27" s="15" t="s">
        <v>251</v>
      </c>
      <c r="EM27" s="15" t="s">
        <v>252</v>
      </c>
      <c r="EN27" s="15" t="s">
        <v>253</v>
      </c>
      <c r="EO27" s="15" t="s">
        <v>254</v>
      </c>
      <c r="EP27" s="15" t="s">
        <v>255</v>
      </c>
      <c r="EQ27" s="15" t="s">
        <v>256</v>
      </c>
      <c r="ER27" s="15" t="s">
        <v>257</v>
      </c>
      <c r="ES27" s="15" t="s">
        <v>258</v>
      </c>
      <c r="ET27" s="15" t="s">
        <v>259</v>
      </c>
      <c r="EU27" s="15" t="s">
        <v>260</v>
      </c>
      <c r="EV27" s="15" t="s">
        <v>261</v>
      </c>
      <c r="EW27" s="15" t="s">
        <v>262</v>
      </c>
      <c r="EX27" s="15" t="s">
        <v>263</v>
      </c>
      <c r="EY27" s="15" t="s">
        <v>264</v>
      </c>
      <c r="EZ27" s="15" t="s">
        <v>265</v>
      </c>
      <c r="FA27" s="15" t="s">
        <v>266</v>
      </c>
      <c r="FB27" s="15" t="s">
        <v>267</v>
      </c>
      <c r="FC27" s="15" t="s">
        <v>268</v>
      </c>
      <c r="FD27" s="15" t="s">
        <v>269</v>
      </c>
      <c r="FE27" s="15" t="s">
        <v>270</v>
      </c>
      <c r="FF27" s="15" t="s">
        <v>271</v>
      </c>
      <c r="FG27" s="15" t="s">
        <v>272</v>
      </c>
      <c r="FH27" s="15" t="s">
        <v>273</v>
      </c>
      <c r="FI27" s="15" t="s">
        <v>274</v>
      </c>
      <c r="FJ27" s="15" t="s">
        <v>275</v>
      </c>
      <c r="FK27" s="15" t="s">
        <v>276</v>
      </c>
      <c r="FL27" s="15" t="s">
        <v>277</v>
      </c>
      <c r="FM27" s="15" t="s">
        <v>278</v>
      </c>
      <c r="FN27" s="15" t="s">
        <v>279</v>
      </c>
      <c r="FO27" s="15" t="s">
        <v>280</v>
      </c>
      <c r="FP27" s="15" t="s">
        <v>281</v>
      </c>
      <c r="FQ27" s="15" t="s">
        <v>282</v>
      </c>
      <c r="FR27" s="15" t="s">
        <v>283</v>
      </c>
      <c r="FS27" s="15" t="s">
        <v>284</v>
      </c>
      <c r="FT27" s="15" t="s">
        <v>285</v>
      </c>
      <c r="FU27" s="15" t="s">
        <v>286</v>
      </c>
      <c r="FV27" s="16" t="s">
        <v>287</v>
      </c>
      <c r="FW27" s="22" t="s">
        <v>288</v>
      </c>
      <c r="FX27" s="15" t="s">
        <v>289</v>
      </c>
      <c r="FY27" s="15" t="s">
        <v>290</v>
      </c>
      <c r="FZ27" s="15" t="s">
        <v>291</v>
      </c>
      <c r="GA27" s="15" t="s">
        <v>292</v>
      </c>
      <c r="GB27" s="15" t="s">
        <v>293</v>
      </c>
      <c r="GC27" s="15" t="s">
        <v>294</v>
      </c>
      <c r="GD27" s="15" t="s">
        <v>295</v>
      </c>
      <c r="GE27" s="15" t="s">
        <v>296</v>
      </c>
      <c r="GF27" s="15" t="s">
        <v>297</v>
      </c>
      <c r="GG27" s="15" t="s">
        <v>298</v>
      </c>
      <c r="GH27" s="15" t="s">
        <v>299</v>
      </c>
      <c r="GI27" s="15" t="s">
        <v>300</v>
      </c>
      <c r="GJ27" s="15" t="s">
        <v>301</v>
      </c>
      <c r="GK27" s="15" t="s">
        <v>302</v>
      </c>
      <c r="GL27" s="15" t="s">
        <v>303</v>
      </c>
      <c r="GM27" s="15" t="s">
        <v>304</v>
      </c>
      <c r="GN27" s="15" t="s">
        <v>305</v>
      </c>
      <c r="GO27" s="15" t="s">
        <v>306</v>
      </c>
      <c r="GP27" s="15" t="s">
        <v>307</v>
      </c>
      <c r="GQ27" s="15" t="s">
        <v>308</v>
      </c>
      <c r="GR27" s="15" t="s">
        <v>309</v>
      </c>
      <c r="GS27" s="15" t="s">
        <v>310</v>
      </c>
      <c r="GT27" s="15" t="s">
        <v>311</v>
      </c>
      <c r="GU27" s="15" t="s">
        <v>312</v>
      </c>
      <c r="GV27" s="15" t="s">
        <v>313</v>
      </c>
      <c r="GW27" s="15" t="s">
        <v>314</v>
      </c>
      <c r="GX27" s="15" t="s">
        <v>315</v>
      </c>
      <c r="GY27" s="15" t="s">
        <v>316</v>
      </c>
      <c r="GZ27" s="15" t="s">
        <v>317</v>
      </c>
      <c r="HA27" s="15" t="s">
        <v>318</v>
      </c>
      <c r="HB27" s="15" t="s">
        <v>319</v>
      </c>
      <c r="HC27" s="15" t="s">
        <v>320</v>
      </c>
      <c r="HD27" s="15" t="s">
        <v>321</v>
      </c>
      <c r="HE27" s="15" t="s">
        <v>322</v>
      </c>
      <c r="HF27" s="15" t="s">
        <v>323</v>
      </c>
      <c r="HG27" s="15" t="s">
        <v>324</v>
      </c>
      <c r="HH27" s="16" t="s">
        <v>325</v>
      </c>
      <c r="HI27" s="22" t="s">
        <v>326</v>
      </c>
      <c r="HJ27" s="15" t="s">
        <v>327</v>
      </c>
      <c r="HK27" s="15" t="s">
        <v>328</v>
      </c>
      <c r="HL27" s="15" t="s">
        <v>329</v>
      </c>
      <c r="HM27" s="15" t="s">
        <v>330</v>
      </c>
      <c r="HN27" s="15" t="s">
        <v>331</v>
      </c>
      <c r="HO27" s="15" t="s">
        <v>332</v>
      </c>
      <c r="HP27" s="15" t="s">
        <v>333</v>
      </c>
      <c r="HQ27" s="15" t="s">
        <v>334</v>
      </c>
      <c r="HR27" s="15" t="s">
        <v>335</v>
      </c>
      <c r="HS27" s="15" t="s">
        <v>336</v>
      </c>
      <c r="HT27" s="15" t="s">
        <v>337</v>
      </c>
      <c r="HU27" s="15" t="s">
        <v>338</v>
      </c>
      <c r="HV27" s="15" t="s">
        <v>339</v>
      </c>
      <c r="HW27" s="15" t="s">
        <v>340</v>
      </c>
      <c r="HX27" s="15" t="s">
        <v>341</v>
      </c>
      <c r="HY27" s="15" t="s">
        <v>342</v>
      </c>
      <c r="HZ27" s="15" t="s">
        <v>343</v>
      </c>
      <c r="IA27" s="15" t="s">
        <v>344</v>
      </c>
      <c r="IB27" s="15" t="s">
        <v>345</v>
      </c>
      <c r="IC27" s="15" t="s">
        <v>346</v>
      </c>
      <c r="ID27" s="15" t="s">
        <v>347</v>
      </c>
      <c r="IE27" s="15" t="s">
        <v>348</v>
      </c>
      <c r="IF27" s="15" t="s">
        <v>349</v>
      </c>
      <c r="IG27" s="15" t="s">
        <v>350</v>
      </c>
      <c r="IH27" s="15" t="s">
        <v>351</v>
      </c>
      <c r="II27" s="15" t="s">
        <v>352</v>
      </c>
      <c r="IJ27" s="15" t="s">
        <v>353</v>
      </c>
      <c r="IK27" s="15" t="s">
        <v>354</v>
      </c>
      <c r="IL27" s="15" t="s">
        <v>355</v>
      </c>
      <c r="IM27" s="15" t="s">
        <v>356</v>
      </c>
      <c r="IN27" s="15" t="s">
        <v>357</v>
      </c>
      <c r="IO27" s="15" t="s">
        <v>358</v>
      </c>
      <c r="IP27" s="15" t="s">
        <v>359</v>
      </c>
      <c r="IQ27" s="15" t="s">
        <v>360</v>
      </c>
      <c r="IR27" s="15" t="s">
        <v>361</v>
      </c>
      <c r="IS27" s="15" t="s">
        <v>362</v>
      </c>
      <c r="IT27" s="16" t="s">
        <v>363</v>
      </c>
    </row>
    <row r="28" spans="1:254" x14ac:dyDescent="0.25">
      <c r="A28" t="s">
        <v>69</v>
      </c>
      <c r="B28" t="s">
        <v>70</v>
      </c>
      <c r="C28" s="9" t="s">
        <v>368</v>
      </c>
      <c r="D28" s="48">
        <v>1</v>
      </c>
      <c r="E28">
        <f>VLOOKUP(TBL_S_System[[#This Row],[Schwerpunkt Systemtechnik]],Übersicht_Fächer!$A$2:$E$32,5,0)</f>
        <v>144</v>
      </c>
      <c r="F28">
        <f>TBL_S_System[[#This Row],[Mastery Max]]+TBL_S_System[[#This Row],[ATL Max]]+TBL_S_System[[#This Row],[Präsenz Max]]</f>
        <v>16</v>
      </c>
      <c r="G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8">
        <f>TBL_S_System[[#This Row],[Mastery]]+TBL_S_System[[#This Row],[ATL]]+TBL_S_System[[#This Row],[Präsenz]]</f>
        <v>0</v>
      </c>
      <c r="I28" s="50"/>
      <c r="J28" s="50"/>
      <c r="K28" s="50"/>
      <c r="L28" s="50"/>
      <c r="M28">
        <f>VLOOKUP(TBL_S_System[[#This Row],[Schwerpunkt Systemtechnik]],Übersicht_Fächer!$A$2:$D$32,4,0)</f>
        <v>16</v>
      </c>
      <c r="N28">
        <f>SUM(TBL_S_System[[#This Row],[01.02.2022]:[26.06.2025]])</f>
        <v>0</v>
      </c>
      <c r="O28" s="51" t="s">
        <v>19</v>
      </c>
      <c r="P28" s="48" t="s">
        <v>19</v>
      </c>
      <c r="Q28" s="48" t="s">
        <v>19</v>
      </c>
      <c r="R28" s="48" t="s">
        <v>19</v>
      </c>
      <c r="S28" s="48" t="s">
        <v>19</v>
      </c>
      <c r="T28" s="48" t="s">
        <v>19</v>
      </c>
      <c r="U28" s="48" t="s">
        <v>19</v>
      </c>
      <c r="V28" s="48" t="s">
        <v>19</v>
      </c>
      <c r="W28" s="48" t="s">
        <v>19</v>
      </c>
      <c r="X28" s="48" t="s">
        <v>19</v>
      </c>
      <c r="Y28" s="48" t="s">
        <v>19</v>
      </c>
      <c r="Z28" s="48" t="s">
        <v>19</v>
      </c>
      <c r="AA28" s="48" t="s">
        <v>19</v>
      </c>
      <c r="AB28" s="48" t="s">
        <v>19</v>
      </c>
      <c r="AC28" s="48" t="s">
        <v>19</v>
      </c>
      <c r="AD28" s="48" t="s">
        <v>19</v>
      </c>
      <c r="AE28" s="48" t="s">
        <v>19</v>
      </c>
      <c r="AF28" s="48" t="s">
        <v>19</v>
      </c>
      <c r="AG28" s="48" t="s">
        <v>19</v>
      </c>
      <c r="AH28" s="48" t="s">
        <v>19</v>
      </c>
      <c r="AI28" s="48" t="s">
        <v>19</v>
      </c>
      <c r="AJ28" s="48" t="s">
        <v>19</v>
      </c>
      <c r="AK28" s="48" t="s">
        <v>19</v>
      </c>
      <c r="AL28" s="48" t="s">
        <v>19</v>
      </c>
      <c r="AM28" s="48" t="s">
        <v>19</v>
      </c>
      <c r="AN28" s="48" t="s">
        <v>19</v>
      </c>
      <c r="AO28" s="48" t="s">
        <v>19</v>
      </c>
      <c r="AP28" s="48" t="s">
        <v>19</v>
      </c>
      <c r="AQ28" s="48" t="s">
        <v>19</v>
      </c>
      <c r="AR28" s="48" t="s">
        <v>19</v>
      </c>
      <c r="AS28" s="48" t="s">
        <v>19</v>
      </c>
      <c r="AT28" s="48" t="s">
        <v>19</v>
      </c>
      <c r="AU28" s="48" t="s">
        <v>19</v>
      </c>
      <c r="AV28" s="48" t="s">
        <v>19</v>
      </c>
      <c r="AW28" s="48" t="s">
        <v>19</v>
      </c>
      <c r="AX28" s="48" t="s">
        <v>19</v>
      </c>
      <c r="AY28" s="48" t="s">
        <v>19</v>
      </c>
      <c r="AZ28" s="48" t="s">
        <v>19</v>
      </c>
      <c r="BA28" s="48" t="s">
        <v>19</v>
      </c>
      <c r="BB28" s="48" t="s">
        <v>19</v>
      </c>
      <c r="BC28" s="48" t="s">
        <v>19</v>
      </c>
      <c r="BD28" s="48" t="s">
        <v>19</v>
      </c>
      <c r="BE28" s="48" t="s">
        <v>19</v>
      </c>
      <c r="BF28" s="48" t="s">
        <v>19</v>
      </c>
      <c r="BG28" s="48" t="s">
        <v>19</v>
      </c>
      <c r="BH28" s="48" t="s">
        <v>19</v>
      </c>
      <c r="BI28" s="48" t="s">
        <v>19</v>
      </c>
      <c r="BJ28" s="52" t="s">
        <v>19</v>
      </c>
      <c r="BK28" s="68" t="s">
        <v>19</v>
      </c>
      <c r="BL28" s="53" t="s">
        <v>19</v>
      </c>
      <c r="BM28" s="53" t="s">
        <v>19</v>
      </c>
      <c r="BN28" s="53" t="s">
        <v>19</v>
      </c>
      <c r="BO28" s="53" t="s">
        <v>19</v>
      </c>
      <c r="BP28" s="53" t="s">
        <v>19</v>
      </c>
      <c r="BQ28" s="53" t="s">
        <v>19</v>
      </c>
      <c r="BR28" s="53" t="s">
        <v>19</v>
      </c>
      <c r="BS28" s="53" t="s">
        <v>19</v>
      </c>
      <c r="BT28" s="53" t="s">
        <v>19</v>
      </c>
      <c r="BU28" s="53" t="s">
        <v>19</v>
      </c>
      <c r="BV28" s="53" t="s">
        <v>19</v>
      </c>
      <c r="BW28" s="53" t="s">
        <v>19</v>
      </c>
      <c r="BX28" s="53" t="s">
        <v>19</v>
      </c>
      <c r="BY28" s="53" t="s">
        <v>19</v>
      </c>
      <c r="BZ28" s="53" t="s">
        <v>19</v>
      </c>
      <c r="CA28" s="53" t="s">
        <v>19</v>
      </c>
      <c r="CB28" s="53" t="s">
        <v>19</v>
      </c>
      <c r="CC28" s="53" t="s">
        <v>19</v>
      </c>
      <c r="CD28" s="53" t="s">
        <v>19</v>
      </c>
      <c r="CE28" s="53" t="s">
        <v>19</v>
      </c>
      <c r="CF28" s="53" t="s">
        <v>19</v>
      </c>
      <c r="CG28" s="53" t="s">
        <v>19</v>
      </c>
      <c r="CH28" s="53" t="s">
        <v>19</v>
      </c>
      <c r="CI28" s="53" t="s">
        <v>19</v>
      </c>
      <c r="CJ28" s="53" t="s">
        <v>19</v>
      </c>
      <c r="CK28" s="53" t="s">
        <v>19</v>
      </c>
      <c r="CL28" s="53" t="s">
        <v>19</v>
      </c>
      <c r="CM28" s="53" t="s">
        <v>19</v>
      </c>
      <c r="CN28" s="53" t="s">
        <v>19</v>
      </c>
      <c r="CO28" s="53" t="s">
        <v>19</v>
      </c>
      <c r="CP28" s="53" t="s">
        <v>19</v>
      </c>
      <c r="CQ28" s="53" t="s">
        <v>19</v>
      </c>
      <c r="CR28" s="53" t="s">
        <v>19</v>
      </c>
      <c r="CS28" s="53" t="s">
        <v>19</v>
      </c>
      <c r="CT28" s="53" t="s">
        <v>19</v>
      </c>
      <c r="CU28" s="53" t="s">
        <v>19</v>
      </c>
      <c r="CV28" s="53" t="s">
        <v>19</v>
      </c>
      <c r="CW28" s="53" t="s">
        <v>19</v>
      </c>
      <c r="CX28" s="54" t="s">
        <v>19</v>
      </c>
      <c r="CY28" s="68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 t="s">
        <v>19</v>
      </c>
      <c r="EJ28" s="54"/>
      <c r="EK28" s="68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 t="s">
        <v>19</v>
      </c>
      <c r="FV28" s="54"/>
      <c r="FW28" s="68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 t="s">
        <v>19</v>
      </c>
      <c r="HH28" s="54" t="s">
        <v>19</v>
      </c>
      <c r="HI28" s="51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52"/>
    </row>
    <row r="29" spans="1:254" x14ac:dyDescent="0.25">
      <c r="A29" t="s">
        <v>71</v>
      </c>
      <c r="B29" t="s">
        <v>72</v>
      </c>
      <c r="C29" s="9" t="s">
        <v>368</v>
      </c>
      <c r="D29" s="48">
        <v>1</v>
      </c>
      <c r="E29">
        <f>VLOOKUP(TBL_S_System[[#This Row],[Schwerpunkt Systemtechnik]],Übersicht_Fächer!$A$2:$E$32,5,0)</f>
        <v>216</v>
      </c>
      <c r="F29">
        <f>TBL_S_System[[#This Row],[Mastery Max]]+TBL_S_System[[#This Row],[ATL Max]]+TBL_S_System[[#This Row],[Präsenz Max]]</f>
        <v>24</v>
      </c>
      <c r="G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9">
        <f>TBL_S_System[[#This Row],[Mastery]]+TBL_S_System[[#This Row],[ATL]]+TBL_S_System[[#This Row],[Präsenz]]</f>
        <v>0</v>
      </c>
      <c r="I29" s="50"/>
      <c r="J29" s="50"/>
      <c r="K29" s="50"/>
      <c r="L29" s="50"/>
      <c r="M29">
        <f>VLOOKUP(TBL_S_System[[#This Row],[Schwerpunkt Systemtechnik]],Übersicht_Fächer!$A$2:$D$32,4,0)</f>
        <v>24</v>
      </c>
      <c r="N29">
        <f>SUM(TBL_S_System[[#This Row],[01.02.2022]:[26.06.2025]])</f>
        <v>0</v>
      </c>
      <c r="O29" s="51" t="s">
        <v>19</v>
      </c>
      <c r="P29" s="48" t="s">
        <v>19</v>
      </c>
      <c r="Q29" s="48" t="s">
        <v>19</v>
      </c>
      <c r="R29" s="48" t="s">
        <v>19</v>
      </c>
      <c r="S29" s="48" t="s">
        <v>19</v>
      </c>
      <c r="T29" s="48" t="s">
        <v>19</v>
      </c>
      <c r="U29" s="48" t="s">
        <v>19</v>
      </c>
      <c r="V29" s="48" t="s">
        <v>19</v>
      </c>
      <c r="W29" s="48" t="s">
        <v>19</v>
      </c>
      <c r="X29" s="48" t="s">
        <v>19</v>
      </c>
      <c r="Y29" s="48" t="s">
        <v>19</v>
      </c>
      <c r="Z29" s="48" t="s">
        <v>19</v>
      </c>
      <c r="AA29" s="48" t="s">
        <v>19</v>
      </c>
      <c r="AB29" s="48" t="s">
        <v>19</v>
      </c>
      <c r="AC29" s="48" t="s">
        <v>19</v>
      </c>
      <c r="AD29" s="48" t="s">
        <v>19</v>
      </c>
      <c r="AE29" s="48" t="s">
        <v>19</v>
      </c>
      <c r="AF29" s="48" t="s">
        <v>19</v>
      </c>
      <c r="AG29" s="48" t="s">
        <v>19</v>
      </c>
      <c r="AH29" s="48" t="s">
        <v>19</v>
      </c>
      <c r="AI29" s="48" t="s">
        <v>19</v>
      </c>
      <c r="AJ29" s="48" t="s">
        <v>19</v>
      </c>
      <c r="AK29" s="48" t="s">
        <v>19</v>
      </c>
      <c r="AL29" s="48" t="s">
        <v>19</v>
      </c>
      <c r="AM29" s="48" t="s">
        <v>19</v>
      </c>
      <c r="AN29" s="48" t="s">
        <v>19</v>
      </c>
      <c r="AO29" s="48" t="s">
        <v>19</v>
      </c>
      <c r="AP29" s="48" t="s">
        <v>19</v>
      </c>
      <c r="AQ29" s="48" t="s">
        <v>19</v>
      </c>
      <c r="AR29" s="48" t="s">
        <v>19</v>
      </c>
      <c r="AS29" s="48" t="s">
        <v>19</v>
      </c>
      <c r="AT29" s="48" t="s">
        <v>19</v>
      </c>
      <c r="AU29" s="48" t="s">
        <v>19</v>
      </c>
      <c r="AV29" s="48" t="s">
        <v>19</v>
      </c>
      <c r="AW29" s="48" t="s">
        <v>19</v>
      </c>
      <c r="AX29" s="48" t="s">
        <v>19</v>
      </c>
      <c r="AY29" s="48" t="s">
        <v>19</v>
      </c>
      <c r="AZ29" s="48" t="s">
        <v>19</v>
      </c>
      <c r="BA29" s="48" t="s">
        <v>19</v>
      </c>
      <c r="BB29" s="48" t="s">
        <v>19</v>
      </c>
      <c r="BC29" s="48" t="s">
        <v>19</v>
      </c>
      <c r="BD29" s="48" t="s">
        <v>19</v>
      </c>
      <c r="BE29" s="48" t="s">
        <v>19</v>
      </c>
      <c r="BF29" s="48" t="s">
        <v>19</v>
      </c>
      <c r="BG29" s="48" t="s">
        <v>19</v>
      </c>
      <c r="BH29" s="48" t="s">
        <v>19</v>
      </c>
      <c r="BI29" s="48" t="s">
        <v>19</v>
      </c>
      <c r="BJ29" s="52" t="s">
        <v>19</v>
      </c>
      <c r="BK29" s="68" t="s">
        <v>19</v>
      </c>
      <c r="BL29" s="53" t="s">
        <v>19</v>
      </c>
      <c r="BM29" s="53" t="s">
        <v>19</v>
      </c>
      <c r="BN29" s="53" t="s">
        <v>19</v>
      </c>
      <c r="BO29" s="53" t="s">
        <v>19</v>
      </c>
      <c r="BP29" s="53" t="s">
        <v>19</v>
      </c>
      <c r="BQ29" s="53" t="s">
        <v>19</v>
      </c>
      <c r="BR29" s="53" t="s">
        <v>19</v>
      </c>
      <c r="BS29" s="53" t="s">
        <v>19</v>
      </c>
      <c r="BT29" s="53" t="s">
        <v>19</v>
      </c>
      <c r="BU29" s="53" t="s">
        <v>19</v>
      </c>
      <c r="BV29" s="53" t="s">
        <v>19</v>
      </c>
      <c r="BW29" s="53" t="s">
        <v>19</v>
      </c>
      <c r="BX29" s="53" t="s">
        <v>19</v>
      </c>
      <c r="BY29" s="53" t="s">
        <v>19</v>
      </c>
      <c r="BZ29" s="53" t="s">
        <v>19</v>
      </c>
      <c r="CA29" s="53" t="s">
        <v>19</v>
      </c>
      <c r="CB29" s="53" t="s">
        <v>19</v>
      </c>
      <c r="CC29" s="53" t="s">
        <v>19</v>
      </c>
      <c r="CD29" s="53" t="s">
        <v>19</v>
      </c>
      <c r="CE29" s="53" t="s">
        <v>19</v>
      </c>
      <c r="CF29" s="53" t="s">
        <v>19</v>
      </c>
      <c r="CG29" s="53" t="s">
        <v>19</v>
      </c>
      <c r="CH29" s="53" t="s">
        <v>19</v>
      </c>
      <c r="CI29" s="53" t="s">
        <v>19</v>
      </c>
      <c r="CJ29" s="53" t="s">
        <v>19</v>
      </c>
      <c r="CK29" s="53" t="s">
        <v>19</v>
      </c>
      <c r="CL29" s="53" t="s">
        <v>19</v>
      </c>
      <c r="CM29" s="53" t="s">
        <v>19</v>
      </c>
      <c r="CN29" s="53" t="s">
        <v>19</v>
      </c>
      <c r="CO29" s="53" t="s">
        <v>19</v>
      </c>
      <c r="CP29" s="53" t="s">
        <v>19</v>
      </c>
      <c r="CQ29" s="53" t="s">
        <v>19</v>
      </c>
      <c r="CR29" s="53" t="s">
        <v>19</v>
      </c>
      <c r="CS29" s="53" t="s">
        <v>19</v>
      </c>
      <c r="CT29" s="53" t="s">
        <v>19</v>
      </c>
      <c r="CU29" s="53" t="s">
        <v>19</v>
      </c>
      <c r="CV29" s="53" t="s">
        <v>19</v>
      </c>
      <c r="CW29" s="53" t="s">
        <v>19</v>
      </c>
      <c r="CX29" s="54" t="s">
        <v>19</v>
      </c>
      <c r="CY29" s="68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 t="s">
        <v>19</v>
      </c>
      <c r="EJ29" s="54"/>
      <c r="EK29" s="68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 t="s">
        <v>19</v>
      </c>
      <c r="FV29" s="54"/>
      <c r="FW29" s="68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 t="s">
        <v>19</v>
      </c>
      <c r="HH29" s="54" t="s">
        <v>19</v>
      </c>
      <c r="HI29" s="51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52"/>
    </row>
    <row r="30" spans="1:254" x14ac:dyDescent="0.25">
      <c r="A30" t="s">
        <v>73</v>
      </c>
      <c r="B30" t="s">
        <v>74</v>
      </c>
      <c r="C30" s="9" t="s">
        <v>368</v>
      </c>
      <c r="D30" s="48">
        <v>1</v>
      </c>
      <c r="E30">
        <f>VLOOKUP(TBL_S_System[[#This Row],[Schwerpunkt Systemtechnik]],Übersicht_Fächer!$A$2:$E$32,5,0)</f>
        <v>72</v>
      </c>
      <c r="F30">
        <f>TBL_S_System[[#This Row],[Mastery Max]]+TBL_S_System[[#This Row],[ATL Max]]+TBL_S_System[[#This Row],[Präsenz Max]]</f>
        <v>8</v>
      </c>
      <c r="G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0">
        <f>TBL_S_System[[#This Row],[Mastery]]+TBL_S_System[[#This Row],[ATL]]+TBL_S_System[[#This Row],[Präsenz]]</f>
        <v>0</v>
      </c>
      <c r="I30" s="50"/>
      <c r="J30" s="50"/>
      <c r="K30" s="50"/>
      <c r="L30" s="50"/>
      <c r="M30">
        <f>VLOOKUP(TBL_S_System[[#This Row],[Schwerpunkt Systemtechnik]],Übersicht_Fächer!$A$2:$D$32,4,0)</f>
        <v>8</v>
      </c>
      <c r="N30">
        <f>SUM(TBL_S_System[[#This Row],[01.02.2022]:[26.06.2025]])</f>
        <v>0</v>
      </c>
      <c r="O30" s="51" t="s">
        <v>19</v>
      </c>
      <c r="P30" s="48" t="s">
        <v>19</v>
      </c>
      <c r="Q30" s="48" t="s">
        <v>19</v>
      </c>
      <c r="R30" s="48" t="s">
        <v>19</v>
      </c>
      <c r="S30" s="48" t="s">
        <v>19</v>
      </c>
      <c r="T30" s="48" t="s">
        <v>19</v>
      </c>
      <c r="U30" s="48" t="s">
        <v>19</v>
      </c>
      <c r="V30" s="48" t="s">
        <v>19</v>
      </c>
      <c r="W30" s="48" t="s">
        <v>19</v>
      </c>
      <c r="X30" s="48" t="s">
        <v>19</v>
      </c>
      <c r="Y30" s="48" t="s">
        <v>19</v>
      </c>
      <c r="Z30" s="48" t="s">
        <v>19</v>
      </c>
      <c r="AA30" s="48" t="s">
        <v>19</v>
      </c>
      <c r="AB30" s="48" t="s">
        <v>19</v>
      </c>
      <c r="AC30" s="48" t="s">
        <v>19</v>
      </c>
      <c r="AD30" s="48" t="s">
        <v>19</v>
      </c>
      <c r="AE30" s="48" t="s">
        <v>19</v>
      </c>
      <c r="AF30" s="48" t="s">
        <v>19</v>
      </c>
      <c r="AG30" s="48" t="s">
        <v>19</v>
      </c>
      <c r="AH30" s="48" t="s">
        <v>19</v>
      </c>
      <c r="AI30" s="48" t="s">
        <v>19</v>
      </c>
      <c r="AJ30" s="48" t="s">
        <v>19</v>
      </c>
      <c r="AK30" s="48" t="s">
        <v>19</v>
      </c>
      <c r="AL30" s="48" t="s">
        <v>19</v>
      </c>
      <c r="AM30" s="48" t="s">
        <v>19</v>
      </c>
      <c r="AN30" s="48" t="s">
        <v>19</v>
      </c>
      <c r="AO30" s="48" t="s">
        <v>19</v>
      </c>
      <c r="AP30" s="48" t="s">
        <v>19</v>
      </c>
      <c r="AQ30" s="48" t="s">
        <v>19</v>
      </c>
      <c r="AR30" s="48" t="s">
        <v>19</v>
      </c>
      <c r="AS30" s="48" t="s">
        <v>19</v>
      </c>
      <c r="AT30" s="48" t="s">
        <v>19</v>
      </c>
      <c r="AU30" s="48" t="s">
        <v>19</v>
      </c>
      <c r="AV30" s="48" t="s">
        <v>19</v>
      </c>
      <c r="AW30" s="48" t="s">
        <v>19</v>
      </c>
      <c r="AX30" s="48" t="s">
        <v>19</v>
      </c>
      <c r="AY30" s="48" t="s">
        <v>19</v>
      </c>
      <c r="AZ30" s="48" t="s">
        <v>19</v>
      </c>
      <c r="BA30" s="48" t="s">
        <v>19</v>
      </c>
      <c r="BB30" s="48" t="s">
        <v>19</v>
      </c>
      <c r="BC30" s="48" t="s">
        <v>19</v>
      </c>
      <c r="BD30" s="48" t="s">
        <v>19</v>
      </c>
      <c r="BE30" s="48" t="s">
        <v>19</v>
      </c>
      <c r="BF30" s="48" t="s">
        <v>19</v>
      </c>
      <c r="BG30" s="48" t="s">
        <v>19</v>
      </c>
      <c r="BH30" s="48" t="s">
        <v>19</v>
      </c>
      <c r="BI30" s="48" t="s">
        <v>19</v>
      </c>
      <c r="BJ30" s="52" t="s">
        <v>19</v>
      </c>
      <c r="BK30" s="68" t="s">
        <v>19</v>
      </c>
      <c r="BL30" s="53" t="s">
        <v>19</v>
      </c>
      <c r="BM30" s="53" t="s">
        <v>19</v>
      </c>
      <c r="BN30" s="53" t="s">
        <v>19</v>
      </c>
      <c r="BO30" s="53" t="s">
        <v>19</v>
      </c>
      <c r="BP30" s="53" t="s">
        <v>19</v>
      </c>
      <c r="BQ30" s="53" t="s">
        <v>19</v>
      </c>
      <c r="BR30" s="53" t="s">
        <v>19</v>
      </c>
      <c r="BS30" s="53" t="s">
        <v>19</v>
      </c>
      <c r="BT30" s="53" t="s">
        <v>19</v>
      </c>
      <c r="BU30" s="53" t="s">
        <v>19</v>
      </c>
      <c r="BV30" s="53" t="s">
        <v>19</v>
      </c>
      <c r="BW30" s="53" t="s">
        <v>19</v>
      </c>
      <c r="BX30" s="53" t="s">
        <v>19</v>
      </c>
      <c r="BY30" s="53" t="s">
        <v>19</v>
      </c>
      <c r="BZ30" s="53" t="s">
        <v>19</v>
      </c>
      <c r="CA30" s="53" t="s">
        <v>19</v>
      </c>
      <c r="CB30" s="53" t="s">
        <v>19</v>
      </c>
      <c r="CC30" s="53" t="s">
        <v>19</v>
      </c>
      <c r="CD30" s="53" t="s">
        <v>19</v>
      </c>
      <c r="CE30" s="53" t="s">
        <v>19</v>
      </c>
      <c r="CF30" s="53" t="s">
        <v>19</v>
      </c>
      <c r="CG30" s="53" t="s">
        <v>19</v>
      </c>
      <c r="CH30" s="53" t="s">
        <v>19</v>
      </c>
      <c r="CI30" s="53" t="s">
        <v>19</v>
      </c>
      <c r="CJ30" s="53" t="s">
        <v>19</v>
      </c>
      <c r="CK30" s="53" t="s">
        <v>19</v>
      </c>
      <c r="CL30" s="53" t="s">
        <v>19</v>
      </c>
      <c r="CM30" s="53" t="s">
        <v>19</v>
      </c>
      <c r="CN30" s="53" t="s">
        <v>19</v>
      </c>
      <c r="CO30" s="53" t="s">
        <v>19</v>
      </c>
      <c r="CP30" s="53" t="s">
        <v>19</v>
      </c>
      <c r="CQ30" s="53" t="s">
        <v>19</v>
      </c>
      <c r="CR30" s="53" t="s">
        <v>19</v>
      </c>
      <c r="CS30" s="53" t="s">
        <v>19</v>
      </c>
      <c r="CT30" s="53" t="s">
        <v>19</v>
      </c>
      <c r="CU30" s="53" t="s">
        <v>19</v>
      </c>
      <c r="CV30" s="53" t="s">
        <v>19</v>
      </c>
      <c r="CW30" s="53" t="s">
        <v>19</v>
      </c>
      <c r="CX30" s="54" t="s">
        <v>19</v>
      </c>
      <c r="CY30" s="68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 t="s">
        <v>19</v>
      </c>
      <c r="EJ30" s="54"/>
      <c r="EK30" s="68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 t="s">
        <v>19</v>
      </c>
      <c r="FV30" s="54"/>
      <c r="FW30" s="68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 t="s">
        <v>19</v>
      </c>
      <c r="HH30" s="54" t="s">
        <v>19</v>
      </c>
      <c r="HI30" s="51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52"/>
    </row>
    <row r="31" spans="1:254" x14ac:dyDescent="0.25">
      <c r="A31" t="s">
        <v>75</v>
      </c>
      <c r="B31" t="s">
        <v>76</v>
      </c>
      <c r="C31" s="9" t="s">
        <v>368</v>
      </c>
      <c r="D31" s="48">
        <v>1</v>
      </c>
      <c r="E31">
        <f>VLOOKUP(TBL_S_System[[#This Row],[Schwerpunkt Systemtechnik]],Übersicht_Fächer!$A$2:$E$32,5,0)</f>
        <v>72</v>
      </c>
      <c r="F31">
        <f>TBL_S_System[[#This Row],[Mastery Max]]+TBL_S_System[[#This Row],[ATL Max]]+TBL_S_System[[#This Row],[Präsenz Max]]</f>
        <v>8</v>
      </c>
      <c r="G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1">
        <f>TBL_S_System[[#This Row],[Mastery]]+TBL_S_System[[#This Row],[ATL]]+TBL_S_System[[#This Row],[Präsenz]]</f>
        <v>0</v>
      </c>
      <c r="I31" s="50"/>
      <c r="J31" s="50"/>
      <c r="K31" s="50"/>
      <c r="L31" s="50"/>
      <c r="M31">
        <f>VLOOKUP(TBL_S_System[[#This Row],[Schwerpunkt Systemtechnik]],Übersicht_Fächer!$A$2:$D$32,4,0)</f>
        <v>8</v>
      </c>
      <c r="N31">
        <f>SUM(TBL_S_System[[#This Row],[01.02.2022]:[26.06.2025]])</f>
        <v>0</v>
      </c>
      <c r="O31" s="51" t="s">
        <v>19</v>
      </c>
      <c r="P31" s="48" t="s">
        <v>19</v>
      </c>
      <c r="Q31" s="48" t="s">
        <v>19</v>
      </c>
      <c r="R31" s="48" t="s">
        <v>19</v>
      </c>
      <c r="S31" s="48" t="s">
        <v>19</v>
      </c>
      <c r="T31" s="48" t="s">
        <v>19</v>
      </c>
      <c r="U31" s="48" t="s">
        <v>19</v>
      </c>
      <c r="V31" s="48" t="s">
        <v>19</v>
      </c>
      <c r="W31" s="48" t="s">
        <v>19</v>
      </c>
      <c r="X31" s="48" t="s">
        <v>19</v>
      </c>
      <c r="Y31" s="48" t="s">
        <v>19</v>
      </c>
      <c r="Z31" s="48" t="s">
        <v>19</v>
      </c>
      <c r="AA31" s="48" t="s">
        <v>19</v>
      </c>
      <c r="AB31" s="48" t="s">
        <v>19</v>
      </c>
      <c r="AC31" s="48" t="s">
        <v>19</v>
      </c>
      <c r="AD31" s="48" t="s">
        <v>19</v>
      </c>
      <c r="AE31" s="48" t="s">
        <v>19</v>
      </c>
      <c r="AF31" s="48" t="s">
        <v>19</v>
      </c>
      <c r="AG31" s="48" t="s">
        <v>19</v>
      </c>
      <c r="AH31" s="48" t="s">
        <v>19</v>
      </c>
      <c r="AI31" s="48" t="s">
        <v>19</v>
      </c>
      <c r="AJ31" s="48" t="s">
        <v>19</v>
      </c>
      <c r="AK31" s="48" t="s">
        <v>19</v>
      </c>
      <c r="AL31" s="48" t="s">
        <v>19</v>
      </c>
      <c r="AM31" s="48" t="s">
        <v>19</v>
      </c>
      <c r="AN31" s="48" t="s">
        <v>19</v>
      </c>
      <c r="AO31" s="48" t="s">
        <v>19</v>
      </c>
      <c r="AP31" s="48" t="s">
        <v>19</v>
      </c>
      <c r="AQ31" s="48" t="s">
        <v>19</v>
      </c>
      <c r="AR31" s="48" t="s">
        <v>19</v>
      </c>
      <c r="AS31" s="48" t="s">
        <v>19</v>
      </c>
      <c r="AT31" s="48" t="s">
        <v>19</v>
      </c>
      <c r="AU31" s="48" t="s">
        <v>19</v>
      </c>
      <c r="AV31" s="48" t="s">
        <v>19</v>
      </c>
      <c r="AW31" s="48" t="s">
        <v>19</v>
      </c>
      <c r="AX31" s="48" t="s">
        <v>19</v>
      </c>
      <c r="AY31" s="48" t="s">
        <v>19</v>
      </c>
      <c r="AZ31" s="48" t="s">
        <v>19</v>
      </c>
      <c r="BA31" s="48" t="s">
        <v>19</v>
      </c>
      <c r="BB31" s="48" t="s">
        <v>19</v>
      </c>
      <c r="BC31" s="48" t="s">
        <v>19</v>
      </c>
      <c r="BD31" s="48" t="s">
        <v>19</v>
      </c>
      <c r="BE31" s="48" t="s">
        <v>19</v>
      </c>
      <c r="BF31" s="48" t="s">
        <v>19</v>
      </c>
      <c r="BG31" s="48" t="s">
        <v>19</v>
      </c>
      <c r="BH31" s="48" t="s">
        <v>19</v>
      </c>
      <c r="BI31" s="48" t="s">
        <v>19</v>
      </c>
      <c r="BJ31" s="52" t="s">
        <v>19</v>
      </c>
      <c r="BK31" s="68" t="s">
        <v>19</v>
      </c>
      <c r="BL31" s="53" t="s">
        <v>19</v>
      </c>
      <c r="BM31" s="53" t="s">
        <v>19</v>
      </c>
      <c r="BN31" s="53" t="s">
        <v>19</v>
      </c>
      <c r="BO31" s="53" t="s">
        <v>19</v>
      </c>
      <c r="BP31" s="53" t="s">
        <v>19</v>
      </c>
      <c r="BQ31" s="53" t="s">
        <v>19</v>
      </c>
      <c r="BR31" s="53" t="s">
        <v>19</v>
      </c>
      <c r="BS31" s="53" t="s">
        <v>19</v>
      </c>
      <c r="BT31" s="53" t="s">
        <v>19</v>
      </c>
      <c r="BU31" s="53" t="s">
        <v>19</v>
      </c>
      <c r="BV31" s="53" t="s">
        <v>19</v>
      </c>
      <c r="BW31" s="53" t="s">
        <v>19</v>
      </c>
      <c r="BX31" s="53" t="s">
        <v>19</v>
      </c>
      <c r="BY31" s="53" t="s">
        <v>19</v>
      </c>
      <c r="BZ31" s="53" t="s">
        <v>19</v>
      </c>
      <c r="CA31" s="53" t="s">
        <v>19</v>
      </c>
      <c r="CB31" s="53" t="s">
        <v>19</v>
      </c>
      <c r="CC31" s="53" t="s">
        <v>19</v>
      </c>
      <c r="CD31" s="53" t="s">
        <v>19</v>
      </c>
      <c r="CE31" s="53" t="s">
        <v>19</v>
      </c>
      <c r="CF31" s="53" t="s">
        <v>19</v>
      </c>
      <c r="CG31" s="53" t="s">
        <v>19</v>
      </c>
      <c r="CH31" s="53" t="s">
        <v>19</v>
      </c>
      <c r="CI31" s="53" t="s">
        <v>19</v>
      </c>
      <c r="CJ31" s="53" t="s">
        <v>19</v>
      </c>
      <c r="CK31" s="53" t="s">
        <v>19</v>
      </c>
      <c r="CL31" s="53" t="s">
        <v>19</v>
      </c>
      <c r="CM31" s="53" t="s">
        <v>19</v>
      </c>
      <c r="CN31" s="53" t="s">
        <v>19</v>
      </c>
      <c r="CO31" s="53" t="s">
        <v>19</v>
      </c>
      <c r="CP31" s="53" t="s">
        <v>19</v>
      </c>
      <c r="CQ31" s="53" t="s">
        <v>19</v>
      </c>
      <c r="CR31" s="53" t="s">
        <v>19</v>
      </c>
      <c r="CS31" s="53" t="s">
        <v>19</v>
      </c>
      <c r="CT31" s="53" t="s">
        <v>19</v>
      </c>
      <c r="CU31" s="53" t="s">
        <v>19</v>
      </c>
      <c r="CV31" s="53" t="s">
        <v>19</v>
      </c>
      <c r="CW31" s="53" t="s">
        <v>19</v>
      </c>
      <c r="CX31" s="54" t="s">
        <v>19</v>
      </c>
      <c r="CY31" s="68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 t="s">
        <v>19</v>
      </c>
      <c r="EJ31" s="54"/>
      <c r="EK31" s="68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 t="s">
        <v>19</v>
      </c>
      <c r="FV31" s="54"/>
      <c r="FW31" s="68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 t="s">
        <v>19</v>
      </c>
      <c r="HH31" s="54" t="s">
        <v>19</v>
      </c>
      <c r="HI31" s="51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52"/>
    </row>
    <row r="32" spans="1:254" x14ac:dyDescent="0.25">
      <c r="A32" t="s">
        <v>77</v>
      </c>
      <c r="B32" t="s">
        <v>78</v>
      </c>
      <c r="C32" s="9" t="s">
        <v>368</v>
      </c>
      <c r="D32" s="48">
        <v>1</v>
      </c>
      <c r="E32">
        <f>VLOOKUP(TBL_S_System[[#This Row],[Schwerpunkt Systemtechnik]],Übersicht_Fächer!$A$2:$E$32,5,0)</f>
        <v>72</v>
      </c>
      <c r="F32">
        <f>TBL_S_System[[#This Row],[Mastery Max]]+TBL_S_System[[#This Row],[ATL Max]]+TBL_S_System[[#This Row],[Präsenz Max]]</f>
        <v>8</v>
      </c>
      <c r="G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2">
        <f>TBL_S_System[[#This Row],[Mastery]]+TBL_S_System[[#This Row],[ATL]]+TBL_S_System[[#This Row],[Präsenz]]</f>
        <v>0</v>
      </c>
      <c r="I32" s="50"/>
      <c r="J32" s="50"/>
      <c r="K32" s="50"/>
      <c r="L32" s="50"/>
      <c r="M32">
        <f>VLOOKUP(TBL_S_System[[#This Row],[Schwerpunkt Systemtechnik]],Übersicht_Fächer!$A$2:$D$32,4,0)</f>
        <v>8</v>
      </c>
      <c r="N32">
        <f>SUM(TBL_S_System[[#This Row],[01.02.2022]:[26.06.2025]])</f>
        <v>0</v>
      </c>
      <c r="O32" s="51" t="s">
        <v>19</v>
      </c>
      <c r="P32" s="48" t="s">
        <v>19</v>
      </c>
      <c r="Q32" s="48" t="s">
        <v>19</v>
      </c>
      <c r="R32" s="48" t="s">
        <v>19</v>
      </c>
      <c r="S32" s="48" t="s">
        <v>19</v>
      </c>
      <c r="T32" s="48" t="s">
        <v>19</v>
      </c>
      <c r="U32" s="48" t="s">
        <v>19</v>
      </c>
      <c r="V32" s="48" t="s">
        <v>19</v>
      </c>
      <c r="W32" s="48" t="s">
        <v>19</v>
      </c>
      <c r="X32" s="48" t="s">
        <v>19</v>
      </c>
      <c r="Y32" s="48" t="s">
        <v>19</v>
      </c>
      <c r="Z32" s="48" t="s">
        <v>19</v>
      </c>
      <c r="AA32" s="48" t="s">
        <v>19</v>
      </c>
      <c r="AB32" s="48" t="s">
        <v>19</v>
      </c>
      <c r="AC32" s="48" t="s">
        <v>19</v>
      </c>
      <c r="AD32" s="48" t="s">
        <v>19</v>
      </c>
      <c r="AE32" s="48" t="s">
        <v>19</v>
      </c>
      <c r="AF32" s="48" t="s">
        <v>19</v>
      </c>
      <c r="AG32" s="48" t="s">
        <v>19</v>
      </c>
      <c r="AH32" s="48" t="s">
        <v>19</v>
      </c>
      <c r="AI32" s="48" t="s">
        <v>19</v>
      </c>
      <c r="AJ32" s="48" t="s">
        <v>19</v>
      </c>
      <c r="AK32" s="48" t="s">
        <v>19</v>
      </c>
      <c r="AL32" s="48" t="s">
        <v>19</v>
      </c>
      <c r="AM32" s="48" t="s">
        <v>19</v>
      </c>
      <c r="AN32" s="48" t="s">
        <v>19</v>
      </c>
      <c r="AO32" s="48" t="s">
        <v>19</v>
      </c>
      <c r="AP32" s="48" t="s">
        <v>19</v>
      </c>
      <c r="AQ32" s="48" t="s">
        <v>19</v>
      </c>
      <c r="AR32" s="48" t="s">
        <v>19</v>
      </c>
      <c r="AS32" s="48" t="s">
        <v>19</v>
      </c>
      <c r="AT32" s="48" t="s">
        <v>19</v>
      </c>
      <c r="AU32" s="48" t="s">
        <v>19</v>
      </c>
      <c r="AV32" s="48" t="s">
        <v>19</v>
      </c>
      <c r="AW32" s="48" t="s">
        <v>19</v>
      </c>
      <c r="AX32" s="48" t="s">
        <v>19</v>
      </c>
      <c r="AY32" s="48" t="s">
        <v>19</v>
      </c>
      <c r="AZ32" s="48" t="s">
        <v>19</v>
      </c>
      <c r="BA32" s="48" t="s">
        <v>19</v>
      </c>
      <c r="BB32" s="48" t="s">
        <v>19</v>
      </c>
      <c r="BC32" s="48" t="s">
        <v>19</v>
      </c>
      <c r="BD32" s="48" t="s">
        <v>19</v>
      </c>
      <c r="BE32" s="48" t="s">
        <v>19</v>
      </c>
      <c r="BF32" s="48" t="s">
        <v>19</v>
      </c>
      <c r="BG32" s="48" t="s">
        <v>19</v>
      </c>
      <c r="BH32" s="48" t="s">
        <v>19</v>
      </c>
      <c r="BI32" s="48" t="s">
        <v>19</v>
      </c>
      <c r="BJ32" s="52" t="s">
        <v>19</v>
      </c>
      <c r="BK32" s="68" t="s">
        <v>19</v>
      </c>
      <c r="BL32" s="53" t="s">
        <v>19</v>
      </c>
      <c r="BM32" s="53" t="s">
        <v>19</v>
      </c>
      <c r="BN32" s="53" t="s">
        <v>19</v>
      </c>
      <c r="BO32" s="53" t="s">
        <v>19</v>
      </c>
      <c r="BP32" s="53" t="s">
        <v>19</v>
      </c>
      <c r="BQ32" s="53" t="s">
        <v>19</v>
      </c>
      <c r="BR32" s="53" t="s">
        <v>19</v>
      </c>
      <c r="BS32" s="53" t="s">
        <v>19</v>
      </c>
      <c r="BT32" s="53" t="s">
        <v>19</v>
      </c>
      <c r="BU32" s="53" t="s">
        <v>19</v>
      </c>
      <c r="BV32" s="53" t="s">
        <v>19</v>
      </c>
      <c r="BW32" s="53" t="s">
        <v>19</v>
      </c>
      <c r="BX32" s="53" t="s">
        <v>19</v>
      </c>
      <c r="BY32" s="53" t="s">
        <v>19</v>
      </c>
      <c r="BZ32" s="53" t="s">
        <v>19</v>
      </c>
      <c r="CA32" s="53" t="s">
        <v>19</v>
      </c>
      <c r="CB32" s="53" t="s">
        <v>19</v>
      </c>
      <c r="CC32" s="53" t="s">
        <v>19</v>
      </c>
      <c r="CD32" s="53" t="s">
        <v>19</v>
      </c>
      <c r="CE32" s="53" t="s">
        <v>19</v>
      </c>
      <c r="CF32" s="53" t="s">
        <v>19</v>
      </c>
      <c r="CG32" s="53" t="s">
        <v>19</v>
      </c>
      <c r="CH32" s="53" t="s">
        <v>19</v>
      </c>
      <c r="CI32" s="53" t="s">
        <v>19</v>
      </c>
      <c r="CJ32" s="53" t="s">
        <v>19</v>
      </c>
      <c r="CK32" s="53" t="s">
        <v>19</v>
      </c>
      <c r="CL32" s="53" t="s">
        <v>19</v>
      </c>
      <c r="CM32" s="53" t="s">
        <v>19</v>
      </c>
      <c r="CN32" s="53" t="s">
        <v>19</v>
      </c>
      <c r="CO32" s="53" t="s">
        <v>19</v>
      </c>
      <c r="CP32" s="53" t="s">
        <v>19</v>
      </c>
      <c r="CQ32" s="53" t="s">
        <v>19</v>
      </c>
      <c r="CR32" s="53" t="s">
        <v>19</v>
      </c>
      <c r="CS32" s="53" t="s">
        <v>19</v>
      </c>
      <c r="CT32" s="53" t="s">
        <v>19</v>
      </c>
      <c r="CU32" s="53" t="s">
        <v>19</v>
      </c>
      <c r="CV32" s="53" t="s">
        <v>19</v>
      </c>
      <c r="CW32" s="53" t="s">
        <v>19</v>
      </c>
      <c r="CX32" s="54" t="s">
        <v>19</v>
      </c>
      <c r="CY32" s="68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 t="s">
        <v>19</v>
      </c>
      <c r="EJ32" s="54"/>
      <c r="EK32" s="68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 t="s">
        <v>19</v>
      </c>
      <c r="FV32" s="54"/>
      <c r="FW32" s="68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 t="s">
        <v>19</v>
      </c>
      <c r="HH32" s="54" t="s">
        <v>19</v>
      </c>
      <c r="HI32" s="51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52"/>
    </row>
    <row r="33" spans="1:254" x14ac:dyDescent="0.25">
      <c r="A33" t="s">
        <v>79</v>
      </c>
      <c r="B33" t="s">
        <v>80</v>
      </c>
      <c r="C33" s="9" t="s">
        <v>368</v>
      </c>
      <c r="D33" s="48">
        <v>1</v>
      </c>
      <c r="E33">
        <f>VLOOKUP(TBL_S_System[[#This Row],[Schwerpunkt Systemtechnik]],Übersicht_Fächer!$A$2:$E$32,5,0)</f>
        <v>72</v>
      </c>
      <c r="F33">
        <f>TBL_S_System[[#This Row],[Mastery Max]]+TBL_S_System[[#This Row],[ATL Max]]+TBL_S_System[[#This Row],[Präsenz Max]]</f>
        <v>8</v>
      </c>
      <c r="G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3">
        <f>TBL_S_System[[#This Row],[Mastery]]+TBL_S_System[[#This Row],[ATL]]+TBL_S_System[[#This Row],[Präsenz]]</f>
        <v>0</v>
      </c>
      <c r="I33" s="50"/>
      <c r="J33" s="50"/>
      <c r="K33" s="50"/>
      <c r="L33" s="50"/>
      <c r="M33">
        <f>VLOOKUP(TBL_S_System[[#This Row],[Schwerpunkt Systemtechnik]],Übersicht_Fächer!$A$2:$D$32,4,0)</f>
        <v>8</v>
      </c>
      <c r="N33">
        <f>SUM(TBL_S_System[[#This Row],[01.02.2022]:[26.06.2025]])</f>
        <v>0</v>
      </c>
      <c r="O33" s="51" t="s">
        <v>19</v>
      </c>
      <c r="P33" s="48" t="s">
        <v>19</v>
      </c>
      <c r="Q33" s="48" t="s">
        <v>19</v>
      </c>
      <c r="R33" s="48" t="s">
        <v>19</v>
      </c>
      <c r="S33" s="48" t="s">
        <v>19</v>
      </c>
      <c r="T33" s="48" t="s">
        <v>19</v>
      </c>
      <c r="U33" s="48" t="s">
        <v>19</v>
      </c>
      <c r="V33" s="48" t="s">
        <v>19</v>
      </c>
      <c r="W33" s="48" t="s">
        <v>19</v>
      </c>
      <c r="X33" s="48" t="s">
        <v>19</v>
      </c>
      <c r="Y33" s="48" t="s">
        <v>19</v>
      </c>
      <c r="Z33" s="48" t="s">
        <v>19</v>
      </c>
      <c r="AA33" s="48" t="s">
        <v>19</v>
      </c>
      <c r="AB33" s="48" t="s">
        <v>19</v>
      </c>
      <c r="AC33" s="48" t="s">
        <v>19</v>
      </c>
      <c r="AD33" s="48" t="s">
        <v>19</v>
      </c>
      <c r="AE33" s="48" t="s">
        <v>19</v>
      </c>
      <c r="AF33" s="48" t="s">
        <v>19</v>
      </c>
      <c r="AG33" s="48" t="s">
        <v>19</v>
      </c>
      <c r="AH33" s="48" t="s">
        <v>19</v>
      </c>
      <c r="AI33" s="48" t="s">
        <v>19</v>
      </c>
      <c r="AJ33" s="48" t="s">
        <v>19</v>
      </c>
      <c r="AK33" s="48" t="s">
        <v>19</v>
      </c>
      <c r="AL33" s="48" t="s">
        <v>19</v>
      </c>
      <c r="AM33" s="48" t="s">
        <v>19</v>
      </c>
      <c r="AN33" s="48" t="s">
        <v>19</v>
      </c>
      <c r="AO33" s="48" t="s">
        <v>19</v>
      </c>
      <c r="AP33" s="48" t="s">
        <v>19</v>
      </c>
      <c r="AQ33" s="48" t="s">
        <v>19</v>
      </c>
      <c r="AR33" s="48" t="s">
        <v>19</v>
      </c>
      <c r="AS33" s="48" t="s">
        <v>19</v>
      </c>
      <c r="AT33" s="48" t="s">
        <v>19</v>
      </c>
      <c r="AU33" s="48" t="s">
        <v>19</v>
      </c>
      <c r="AV33" s="48" t="s">
        <v>19</v>
      </c>
      <c r="AW33" s="48" t="s">
        <v>19</v>
      </c>
      <c r="AX33" s="48" t="s">
        <v>19</v>
      </c>
      <c r="AY33" s="48" t="s">
        <v>19</v>
      </c>
      <c r="AZ33" s="48" t="s">
        <v>19</v>
      </c>
      <c r="BA33" s="48" t="s">
        <v>19</v>
      </c>
      <c r="BB33" s="48" t="s">
        <v>19</v>
      </c>
      <c r="BC33" s="48" t="s">
        <v>19</v>
      </c>
      <c r="BD33" s="48" t="s">
        <v>19</v>
      </c>
      <c r="BE33" s="48" t="s">
        <v>19</v>
      </c>
      <c r="BF33" s="48" t="s">
        <v>19</v>
      </c>
      <c r="BG33" s="48" t="s">
        <v>19</v>
      </c>
      <c r="BH33" s="48" t="s">
        <v>19</v>
      </c>
      <c r="BI33" s="48" t="s">
        <v>19</v>
      </c>
      <c r="BJ33" s="52" t="s">
        <v>19</v>
      </c>
      <c r="BK33" s="68" t="s">
        <v>19</v>
      </c>
      <c r="BL33" s="53" t="s">
        <v>19</v>
      </c>
      <c r="BM33" s="53" t="s">
        <v>19</v>
      </c>
      <c r="BN33" s="53" t="s">
        <v>19</v>
      </c>
      <c r="BO33" s="53" t="s">
        <v>19</v>
      </c>
      <c r="BP33" s="53" t="s">
        <v>19</v>
      </c>
      <c r="BQ33" s="53" t="s">
        <v>19</v>
      </c>
      <c r="BR33" s="53" t="s">
        <v>19</v>
      </c>
      <c r="BS33" s="53" t="s">
        <v>19</v>
      </c>
      <c r="BT33" s="53" t="s">
        <v>19</v>
      </c>
      <c r="BU33" s="53" t="s">
        <v>19</v>
      </c>
      <c r="BV33" s="53" t="s">
        <v>19</v>
      </c>
      <c r="BW33" s="53" t="s">
        <v>19</v>
      </c>
      <c r="BX33" s="53" t="s">
        <v>19</v>
      </c>
      <c r="BY33" s="53" t="s">
        <v>19</v>
      </c>
      <c r="BZ33" s="53" t="s">
        <v>19</v>
      </c>
      <c r="CA33" s="53" t="s">
        <v>19</v>
      </c>
      <c r="CB33" s="53" t="s">
        <v>19</v>
      </c>
      <c r="CC33" s="53" t="s">
        <v>19</v>
      </c>
      <c r="CD33" s="53" t="s">
        <v>19</v>
      </c>
      <c r="CE33" s="53" t="s">
        <v>19</v>
      </c>
      <c r="CF33" s="53" t="s">
        <v>19</v>
      </c>
      <c r="CG33" s="53" t="s">
        <v>19</v>
      </c>
      <c r="CH33" s="53" t="s">
        <v>19</v>
      </c>
      <c r="CI33" s="53" t="s">
        <v>19</v>
      </c>
      <c r="CJ33" s="53" t="s">
        <v>19</v>
      </c>
      <c r="CK33" s="53" t="s">
        <v>19</v>
      </c>
      <c r="CL33" s="53" t="s">
        <v>19</v>
      </c>
      <c r="CM33" s="53" t="s">
        <v>19</v>
      </c>
      <c r="CN33" s="53" t="s">
        <v>19</v>
      </c>
      <c r="CO33" s="53" t="s">
        <v>19</v>
      </c>
      <c r="CP33" s="53" t="s">
        <v>19</v>
      </c>
      <c r="CQ33" s="53" t="s">
        <v>19</v>
      </c>
      <c r="CR33" s="53" t="s">
        <v>19</v>
      </c>
      <c r="CS33" s="53" t="s">
        <v>19</v>
      </c>
      <c r="CT33" s="53" t="s">
        <v>19</v>
      </c>
      <c r="CU33" s="53" t="s">
        <v>19</v>
      </c>
      <c r="CV33" s="53" t="s">
        <v>19</v>
      </c>
      <c r="CW33" s="53" t="s">
        <v>19</v>
      </c>
      <c r="CX33" s="54" t="s">
        <v>19</v>
      </c>
      <c r="CY33" s="68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 t="s">
        <v>19</v>
      </c>
      <c r="EJ33" s="54"/>
      <c r="EK33" s="68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 t="s">
        <v>19</v>
      </c>
      <c r="FV33" s="54"/>
      <c r="FW33" s="68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 t="s">
        <v>19</v>
      </c>
      <c r="HH33" s="54" t="s">
        <v>19</v>
      </c>
      <c r="HI33" s="51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  <c r="IR33" s="48"/>
      <c r="IS33" s="48"/>
      <c r="IT33" s="52"/>
    </row>
    <row r="34" spans="1:254" x14ac:dyDescent="0.25">
      <c r="A34" t="s">
        <v>81</v>
      </c>
      <c r="B34" t="s">
        <v>82</v>
      </c>
      <c r="C34" s="9" t="s">
        <v>368</v>
      </c>
      <c r="D34" s="48">
        <v>1</v>
      </c>
      <c r="E34">
        <f>VLOOKUP(TBL_S_System[[#This Row],[Schwerpunkt Systemtechnik]],Übersicht_Fächer!$A$2:$E$32,5,0)</f>
        <v>72</v>
      </c>
      <c r="F34">
        <f>TBL_S_System[[#This Row],[Mastery Max]]+TBL_S_System[[#This Row],[ATL Max]]+TBL_S_System[[#This Row],[Präsenz Max]]</f>
        <v>8</v>
      </c>
      <c r="G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4">
        <f>TBL_S_System[[#This Row],[Mastery]]+TBL_S_System[[#This Row],[ATL]]+TBL_S_System[[#This Row],[Präsenz]]</f>
        <v>0</v>
      </c>
      <c r="I34" s="50"/>
      <c r="J34" s="50"/>
      <c r="K34" s="50"/>
      <c r="L34" s="50"/>
      <c r="M34">
        <f>VLOOKUP(TBL_S_System[[#This Row],[Schwerpunkt Systemtechnik]],Übersicht_Fächer!$A$2:$D$32,4,0)</f>
        <v>8</v>
      </c>
      <c r="N34">
        <f>SUM(TBL_S_System[[#This Row],[01.02.2022]:[26.06.2025]])</f>
        <v>0</v>
      </c>
      <c r="O34" s="51" t="s">
        <v>19</v>
      </c>
      <c r="P34" s="48" t="s">
        <v>19</v>
      </c>
      <c r="Q34" s="48" t="s">
        <v>19</v>
      </c>
      <c r="R34" s="48" t="s">
        <v>19</v>
      </c>
      <c r="S34" s="48" t="s">
        <v>19</v>
      </c>
      <c r="T34" s="48" t="s">
        <v>19</v>
      </c>
      <c r="U34" s="48" t="s">
        <v>19</v>
      </c>
      <c r="V34" s="48" t="s">
        <v>19</v>
      </c>
      <c r="W34" s="48" t="s">
        <v>19</v>
      </c>
      <c r="X34" s="48" t="s">
        <v>19</v>
      </c>
      <c r="Y34" s="48" t="s">
        <v>19</v>
      </c>
      <c r="Z34" s="48" t="s">
        <v>19</v>
      </c>
      <c r="AA34" s="48" t="s">
        <v>19</v>
      </c>
      <c r="AB34" s="48" t="s">
        <v>19</v>
      </c>
      <c r="AC34" s="48" t="s">
        <v>19</v>
      </c>
      <c r="AD34" s="48" t="s">
        <v>19</v>
      </c>
      <c r="AE34" s="48" t="s">
        <v>19</v>
      </c>
      <c r="AF34" s="48" t="s">
        <v>19</v>
      </c>
      <c r="AG34" s="48" t="s">
        <v>19</v>
      </c>
      <c r="AH34" s="48" t="s">
        <v>19</v>
      </c>
      <c r="AI34" s="48" t="s">
        <v>19</v>
      </c>
      <c r="AJ34" s="48" t="s">
        <v>19</v>
      </c>
      <c r="AK34" s="48" t="s">
        <v>19</v>
      </c>
      <c r="AL34" s="48" t="s">
        <v>19</v>
      </c>
      <c r="AM34" s="48" t="s">
        <v>19</v>
      </c>
      <c r="AN34" s="48" t="s">
        <v>19</v>
      </c>
      <c r="AO34" s="48" t="s">
        <v>19</v>
      </c>
      <c r="AP34" s="48" t="s">
        <v>19</v>
      </c>
      <c r="AQ34" s="48" t="s">
        <v>19</v>
      </c>
      <c r="AR34" s="48" t="s">
        <v>19</v>
      </c>
      <c r="AS34" s="48" t="s">
        <v>19</v>
      </c>
      <c r="AT34" s="48" t="s">
        <v>19</v>
      </c>
      <c r="AU34" s="48" t="s">
        <v>19</v>
      </c>
      <c r="AV34" s="48" t="s">
        <v>19</v>
      </c>
      <c r="AW34" s="48" t="s">
        <v>19</v>
      </c>
      <c r="AX34" s="48" t="s">
        <v>19</v>
      </c>
      <c r="AY34" s="48" t="s">
        <v>19</v>
      </c>
      <c r="AZ34" s="48" t="s">
        <v>19</v>
      </c>
      <c r="BA34" s="48" t="s">
        <v>19</v>
      </c>
      <c r="BB34" s="48" t="s">
        <v>19</v>
      </c>
      <c r="BC34" s="48" t="s">
        <v>19</v>
      </c>
      <c r="BD34" s="48" t="s">
        <v>19</v>
      </c>
      <c r="BE34" s="48" t="s">
        <v>19</v>
      </c>
      <c r="BF34" s="48" t="s">
        <v>19</v>
      </c>
      <c r="BG34" s="48" t="s">
        <v>19</v>
      </c>
      <c r="BH34" s="48" t="s">
        <v>19</v>
      </c>
      <c r="BI34" s="48" t="s">
        <v>19</v>
      </c>
      <c r="BJ34" s="52" t="s">
        <v>19</v>
      </c>
      <c r="BK34" s="68" t="s">
        <v>19</v>
      </c>
      <c r="BL34" s="53" t="s">
        <v>19</v>
      </c>
      <c r="BM34" s="53" t="s">
        <v>19</v>
      </c>
      <c r="BN34" s="53" t="s">
        <v>19</v>
      </c>
      <c r="BO34" s="53" t="s">
        <v>19</v>
      </c>
      <c r="BP34" s="53" t="s">
        <v>19</v>
      </c>
      <c r="BQ34" s="53" t="s">
        <v>19</v>
      </c>
      <c r="BR34" s="53" t="s">
        <v>19</v>
      </c>
      <c r="BS34" s="53" t="s">
        <v>19</v>
      </c>
      <c r="BT34" s="53" t="s">
        <v>19</v>
      </c>
      <c r="BU34" s="53" t="s">
        <v>19</v>
      </c>
      <c r="BV34" s="53" t="s">
        <v>19</v>
      </c>
      <c r="BW34" s="53" t="s">
        <v>19</v>
      </c>
      <c r="BX34" s="53" t="s">
        <v>19</v>
      </c>
      <c r="BY34" s="53" t="s">
        <v>19</v>
      </c>
      <c r="BZ34" s="53" t="s">
        <v>19</v>
      </c>
      <c r="CA34" s="53" t="s">
        <v>19</v>
      </c>
      <c r="CB34" s="53" t="s">
        <v>19</v>
      </c>
      <c r="CC34" s="53" t="s">
        <v>19</v>
      </c>
      <c r="CD34" s="53" t="s">
        <v>19</v>
      </c>
      <c r="CE34" s="53" t="s">
        <v>19</v>
      </c>
      <c r="CF34" s="53" t="s">
        <v>19</v>
      </c>
      <c r="CG34" s="53" t="s">
        <v>19</v>
      </c>
      <c r="CH34" s="53" t="s">
        <v>19</v>
      </c>
      <c r="CI34" s="53" t="s">
        <v>19</v>
      </c>
      <c r="CJ34" s="53" t="s">
        <v>19</v>
      </c>
      <c r="CK34" s="53" t="s">
        <v>19</v>
      </c>
      <c r="CL34" s="53" t="s">
        <v>19</v>
      </c>
      <c r="CM34" s="53" t="s">
        <v>19</v>
      </c>
      <c r="CN34" s="53" t="s">
        <v>19</v>
      </c>
      <c r="CO34" s="53" t="s">
        <v>19</v>
      </c>
      <c r="CP34" s="53" t="s">
        <v>19</v>
      </c>
      <c r="CQ34" s="53" t="s">
        <v>19</v>
      </c>
      <c r="CR34" s="53" t="s">
        <v>19</v>
      </c>
      <c r="CS34" s="53" t="s">
        <v>19</v>
      </c>
      <c r="CT34" s="53" t="s">
        <v>19</v>
      </c>
      <c r="CU34" s="53" t="s">
        <v>19</v>
      </c>
      <c r="CV34" s="53" t="s">
        <v>19</v>
      </c>
      <c r="CW34" s="53" t="s">
        <v>19</v>
      </c>
      <c r="CX34" s="54" t="s">
        <v>19</v>
      </c>
      <c r="CY34" s="68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 t="s">
        <v>19</v>
      </c>
      <c r="EJ34" s="54"/>
      <c r="EK34" s="68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 t="s">
        <v>19</v>
      </c>
      <c r="FV34" s="54"/>
      <c r="FW34" s="68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 t="s">
        <v>19</v>
      </c>
      <c r="HH34" s="54" t="s">
        <v>19</v>
      </c>
      <c r="HI34" s="51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  <c r="IR34" s="48"/>
      <c r="IS34" s="48"/>
      <c r="IT34" s="52"/>
    </row>
    <row r="35" spans="1:254" ht="15.75" thickBot="1" x14ac:dyDescent="0.3">
      <c r="A35" t="s">
        <v>83</v>
      </c>
      <c r="B35" t="s">
        <v>84</v>
      </c>
      <c r="C35" s="9" t="s">
        <v>368</v>
      </c>
      <c r="D35" s="48">
        <v>1</v>
      </c>
      <c r="E35">
        <f>VLOOKUP(TBL_S_System[[#This Row],[Schwerpunkt Systemtechnik]],Übersicht_Fächer!$A$2:$E$32,5,0)</f>
        <v>144</v>
      </c>
      <c r="F35">
        <f>TBL_S_System[[#This Row],[Mastery Max]]+TBL_S_System[[#This Row],[ATL Max]]+TBL_S_System[[#This Row],[Präsenz Max]]</f>
        <v>16</v>
      </c>
      <c r="G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5">
        <f>TBL_S_System[[#This Row],[Mastery]]+TBL_S_System[[#This Row],[ATL]]+TBL_S_System[[#This Row],[Präsenz]]</f>
        <v>0</v>
      </c>
      <c r="I35" s="50"/>
      <c r="J35" s="50"/>
      <c r="K35" s="50"/>
      <c r="L35" s="50"/>
      <c r="M35">
        <f>VLOOKUP(TBL_S_System[[#This Row],[Schwerpunkt Systemtechnik]],Übersicht_Fächer!$A$2:$D$32,4,0)</f>
        <v>16</v>
      </c>
      <c r="N35">
        <f>SUM(TBL_S_System[[#This Row],[01.02.2022]:[26.06.2025]])</f>
        <v>0</v>
      </c>
      <c r="O35" s="55" t="s">
        <v>19</v>
      </c>
      <c r="P35" s="56" t="s">
        <v>19</v>
      </c>
      <c r="Q35" s="56" t="s">
        <v>19</v>
      </c>
      <c r="R35" s="56" t="s">
        <v>19</v>
      </c>
      <c r="S35" s="56" t="s">
        <v>19</v>
      </c>
      <c r="T35" s="56" t="s">
        <v>19</v>
      </c>
      <c r="U35" s="56" t="s">
        <v>19</v>
      </c>
      <c r="V35" s="56" t="s">
        <v>19</v>
      </c>
      <c r="W35" s="56" t="s">
        <v>19</v>
      </c>
      <c r="X35" s="56" t="s">
        <v>19</v>
      </c>
      <c r="Y35" s="56" t="s">
        <v>19</v>
      </c>
      <c r="Z35" s="56" t="s">
        <v>19</v>
      </c>
      <c r="AA35" s="56" t="s">
        <v>19</v>
      </c>
      <c r="AB35" s="56" t="s">
        <v>19</v>
      </c>
      <c r="AC35" s="56" t="s">
        <v>19</v>
      </c>
      <c r="AD35" s="56" t="s">
        <v>19</v>
      </c>
      <c r="AE35" s="56" t="s">
        <v>19</v>
      </c>
      <c r="AF35" s="56" t="s">
        <v>19</v>
      </c>
      <c r="AG35" s="56" t="s">
        <v>19</v>
      </c>
      <c r="AH35" s="56" t="s">
        <v>19</v>
      </c>
      <c r="AI35" s="56" t="s">
        <v>19</v>
      </c>
      <c r="AJ35" s="56" t="s">
        <v>19</v>
      </c>
      <c r="AK35" s="56" t="s">
        <v>19</v>
      </c>
      <c r="AL35" s="56" t="s">
        <v>19</v>
      </c>
      <c r="AM35" s="56" t="s">
        <v>19</v>
      </c>
      <c r="AN35" s="56" t="s">
        <v>19</v>
      </c>
      <c r="AO35" s="56" t="s">
        <v>19</v>
      </c>
      <c r="AP35" s="56" t="s">
        <v>19</v>
      </c>
      <c r="AQ35" s="56" t="s">
        <v>19</v>
      </c>
      <c r="AR35" s="56" t="s">
        <v>19</v>
      </c>
      <c r="AS35" s="56" t="s">
        <v>19</v>
      </c>
      <c r="AT35" s="56" t="s">
        <v>19</v>
      </c>
      <c r="AU35" s="56" t="s">
        <v>19</v>
      </c>
      <c r="AV35" s="56" t="s">
        <v>19</v>
      </c>
      <c r="AW35" s="56" t="s">
        <v>19</v>
      </c>
      <c r="AX35" s="56" t="s">
        <v>19</v>
      </c>
      <c r="AY35" s="56" t="s">
        <v>19</v>
      </c>
      <c r="AZ35" s="56" t="s">
        <v>19</v>
      </c>
      <c r="BA35" s="56" t="s">
        <v>19</v>
      </c>
      <c r="BB35" s="56" t="s">
        <v>19</v>
      </c>
      <c r="BC35" s="56" t="s">
        <v>19</v>
      </c>
      <c r="BD35" s="56" t="s">
        <v>19</v>
      </c>
      <c r="BE35" s="56" t="s">
        <v>19</v>
      </c>
      <c r="BF35" s="56" t="s">
        <v>19</v>
      </c>
      <c r="BG35" s="56" t="s">
        <v>19</v>
      </c>
      <c r="BH35" s="56" t="s">
        <v>19</v>
      </c>
      <c r="BI35" s="56" t="s">
        <v>19</v>
      </c>
      <c r="BJ35" s="57" t="s">
        <v>19</v>
      </c>
      <c r="BK35" s="69" t="s">
        <v>19</v>
      </c>
      <c r="BL35" s="58" t="s">
        <v>19</v>
      </c>
      <c r="BM35" s="58" t="s">
        <v>19</v>
      </c>
      <c r="BN35" s="58" t="s">
        <v>19</v>
      </c>
      <c r="BO35" s="58" t="s">
        <v>19</v>
      </c>
      <c r="BP35" s="58" t="s">
        <v>19</v>
      </c>
      <c r="BQ35" s="58" t="s">
        <v>19</v>
      </c>
      <c r="BR35" s="58" t="s">
        <v>19</v>
      </c>
      <c r="BS35" s="58" t="s">
        <v>19</v>
      </c>
      <c r="BT35" s="58" t="s">
        <v>19</v>
      </c>
      <c r="BU35" s="58" t="s">
        <v>19</v>
      </c>
      <c r="BV35" s="58" t="s">
        <v>19</v>
      </c>
      <c r="BW35" s="58" t="s">
        <v>19</v>
      </c>
      <c r="BX35" s="58" t="s">
        <v>19</v>
      </c>
      <c r="BY35" s="58" t="s">
        <v>19</v>
      </c>
      <c r="BZ35" s="58" t="s">
        <v>19</v>
      </c>
      <c r="CA35" s="58" t="s">
        <v>19</v>
      </c>
      <c r="CB35" s="58" t="s">
        <v>19</v>
      </c>
      <c r="CC35" s="58" t="s">
        <v>19</v>
      </c>
      <c r="CD35" s="58" t="s">
        <v>19</v>
      </c>
      <c r="CE35" s="58" t="s">
        <v>19</v>
      </c>
      <c r="CF35" s="58" t="s">
        <v>19</v>
      </c>
      <c r="CG35" s="58" t="s">
        <v>19</v>
      </c>
      <c r="CH35" s="58" t="s">
        <v>19</v>
      </c>
      <c r="CI35" s="58" t="s">
        <v>19</v>
      </c>
      <c r="CJ35" s="58" t="s">
        <v>19</v>
      </c>
      <c r="CK35" s="58" t="s">
        <v>19</v>
      </c>
      <c r="CL35" s="58" t="s">
        <v>19</v>
      </c>
      <c r="CM35" s="58" t="s">
        <v>19</v>
      </c>
      <c r="CN35" s="58" t="s">
        <v>19</v>
      </c>
      <c r="CO35" s="58" t="s">
        <v>19</v>
      </c>
      <c r="CP35" s="58" t="s">
        <v>19</v>
      </c>
      <c r="CQ35" s="58" t="s">
        <v>19</v>
      </c>
      <c r="CR35" s="58" t="s">
        <v>19</v>
      </c>
      <c r="CS35" s="58" t="s">
        <v>19</v>
      </c>
      <c r="CT35" s="58" t="s">
        <v>19</v>
      </c>
      <c r="CU35" s="58" t="s">
        <v>19</v>
      </c>
      <c r="CV35" s="58" t="s">
        <v>19</v>
      </c>
      <c r="CW35" s="58" t="s">
        <v>19</v>
      </c>
      <c r="CX35" s="59" t="s">
        <v>19</v>
      </c>
      <c r="CY35" s="69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 t="s">
        <v>19</v>
      </c>
      <c r="EJ35" s="59"/>
      <c r="EK35" s="69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 t="s">
        <v>19</v>
      </c>
      <c r="FV35" s="59"/>
      <c r="FW35" s="69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 t="s">
        <v>19</v>
      </c>
      <c r="HH35" s="59" t="s">
        <v>19</v>
      </c>
      <c r="HI35" s="55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7"/>
    </row>
    <row r="36" spans="1:254" ht="15.75" thickBot="1" x14ac:dyDescent="0.3"/>
    <row r="37" spans="1:254" ht="83.25" customHeight="1" x14ac:dyDescent="0.25">
      <c r="A37" t="s">
        <v>85</v>
      </c>
      <c r="B37" t="s">
        <v>2</v>
      </c>
      <c r="C37" t="s">
        <v>21</v>
      </c>
      <c r="D37" t="s">
        <v>3</v>
      </c>
      <c r="E37" t="s">
        <v>4</v>
      </c>
      <c r="F37" t="s">
        <v>116</v>
      </c>
      <c r="G37" t="s">
        <v>6</v>
      </c>
      <c r="H37" t="s">
        <v>117</v>
      </c>
      <c r="I37" t="s">
        <v>118</v>
      </c>
      <c r="J37" t="s">
        <v>119</v>
      </c>
      <c r="K37" t="s">
        <v>120</v>
      </c>
      <c r="L37" t="s">
        <v>121</v>
      </c>
      <c r="M37" t="s">
        <v>122</v>
      </c>
      <c r="N37" t="s">
        <v>123</v>
      </c>
      <c r="O37" s="13" t="s">
        <v>124</v>
      </c>
      <c r="P37" s="14" t="s">
        <v>125</v>
      </c>
      <c r="Q37" s="14" t="s">
        <v>126</v>
      </c>
      <c r="R37" s="14" t="s">
        <v>127</v>
      </c>
      <c r="S37" s="14" t="s">
        <v>128</v>
      </c>
      <c r="T37" s="14" t="s">
        <v>129</v>
      </c>
      <c r="U37" s="14" t="s">
        <v>130</v>
      </c>
      <c r="V37" s="14" t="s">
        <v>131</v>
      </c>
      <c r="W37" s="14" t="s">
        <v>132</v>
      </c>
      <c r="X37" s="14" t="s">
        <v>133</v>
      </c>
      <c r="Y37" s="14" t="s">
        <v>134</v>
      </c>
      <c r="Z37" s="14" t="s">
        <v>135</v>
      </c>
      <c r="AA37" s="14" t="s">
        <v>136</v>
      </c>
      <c r="AB37" s="14" t="s">
        <v>137</v>
      </c>
      <c r="AC37" s="14" t="s">
        <v>138</v>
      </c>
      <c r="AD37" s="14" t="s">
        <v>139</v>
      </c>
      <c r="AE37" s="14" t="s">
        <v>140</v>
      </c>
      <c r="AF37" s="14" t="s">
        <v>141</v>
      </c>
      <c r="AG37" s="14" t="s">
        <v>142</v>
      </c>
      <c r="AH37" s="14" t="s">
        <v>143</v>
      </c>
      <c r="AI37" s="14" t="s">
        <v>144</v>
      </c>
      <c r="AJ37" s="14" t="s">
        <v>145</v>
      </c>
      <c r="AK37" s="14" t="s">
        <v>146</v>
      </c>
      <c r="AL37" s="14" t="s">
        <v>147</v>
      </c>
      <c r="AM37" s="14" t="s">
        <v>148</v>
      </c>
      <c r="AN37" s="14" t="s">
        <v>149</v>
      </c>
      <c r="AO37" s="14" t="s">
        <v>150</v>
      </c>
      <c r="AP37" s="14" t="s">
        <v>151</v>
      </c>
      <c r="AQ37" s="14" t="s">
        <v>152</v>
      </c>
      <c r="AR37" s="14" t="s">
        <v>153</v>
      </c>
      <c r="AS37" s="14" t="s">
        <v>154</v>
      </c>
      <c r="AT37" s="14" t="s">
        <v>155</v>
      </c>
      <c r="AU37" s="14" t="s">
        <v>156</v>
      </c>
      <c r="AV37" s="14" t="s">
        <v>157</v>
      </c>
      <c r="AW37" s="14" t="s">
        <v>158</v>
      </c>
      <c r="AX37" s="15" t="s">
        <v>159</v>
      </c>
      <c r="AY37" s="15" t="s">
        <v>160</v>
      </c>
      <c r="AZ37" s="15" t="s">
        <v>161</v>
      </c>
      <c r="BA37" s="15" t="s">
        <v>162</v>
      </c>
      <c r="BB37" s="15" t="s">
        <v>163</v>
      </c>
      <c r="BC37" s="15" t="s">
        <v>164</v>
      </c>
      <c r="BD37" s="15" t="s">
        <v>165</v>
      </c>
      <c r="BE37" s="15" t="s">
        <v>166</v>
      </c>
      <c r="BF37" s="15" t="s">
        <v>167</v>
      </c>
      <c r="BG37" s="15" t="s">
        <v>168</v>
      </c>
      <c r="BH37" s="15" t="s">
        <v>169</v>
      </c>
      <c r="BI37" s="15" t="s">
        <v>170</v>
      </c>
      <c r="BJ37" s="16" t="s">
        <v>171</v>
      </c>
      <c r="BK37" s="29" t="s">
        <v>172</v>
      </c>
      <c r="BL37" s="30" t="s">
        <v>173</v>
      </c>
      <c r="BM37" s="30" t="s">
        <v>174</v>
      </c>
      <c r="BN37" s="30" t="s">
        <v>175</v>
      </c>
      <c r="BO37" s="30" t="s">
        <v>176</v>
      </c>
      <c r="BP37" s="30" t="s">
        <v>177</v>
      </c>
      <c r="BQ37" s="30" t="s">
        <v>178</v>
      </c>
      <c r="BR37" s="30" t="s">
        <v>179</v>
      </c>
      <c r="BS37" s="30" t="s">
        <v>180</v>
      </c>
      <c r="BT37" s="30" t="s">
        <v>181</v>
      </c>
      <c r="BU37" s="30" t="s">
        <v>182</v>
      </c>
      <c r="BV37" s="30" t="s">
        <v>183</v>
      </c>
      <c r="BW37" s="30" t="s">
        <v>184</v>
      </c>
      <c r="BX37" s="30" t="s">
        <v>185</v>
      </c>
      <c r="BY37" s="30" t="s">
        <v>186</v>
      </c>
      <c r="BZ37" s="30" t="s">
        <v>187</v>
      </c>
      <c r="CA37" s="30" t="s">
        <v>188</v>
      </c>
      <c r="CB37" s="30" t="s">
        <v>189</v>
      </c>
      <c r="CC37" s="30" t="s">
        <v>190</v>
      </c>
      <c r="CD37" s="30" t="s">
        <v>191</v>
      </c>
      <c r="CE37" s="30" t="s">
        <v>192</v>
      </c>
      <c r="CF37" s="30" t="s">
        <v>193</v>
      </c>
      <c r="CG37" s="30" t="s">
        <v>194</v>
      </c>
      <c r="CH37" s="30" t="s">
        <v>195</v>
      </c>
      <c r="CI37" s="15" t="s">
        <v>196</v>
      </c>
      <c r="CJ37" s="15" t="s">
        <v>197</v>
      </c>
      <c r="CK37" s="15" t="s">
        <v>198</v>
      </c>
      <c r="CL37" s="15" t="s">
        <v>199</v>
      </c>
      <c r="CM37" s="15" t="s">
        <v>200</v>
      </c>
      <c r="CN37" s="15" t="s">
        <v>201</v>
      </c>
      <c r="CO37" s="15" t="s">
        <v>202</v>
      </c>
      <c r="CP37" s="15" t="s">
        <v>203</v>
      </c>
      <c r="CQ37" s="15" t="s">
        <v>204</v>
      </c>
      <c r="CR37" s="15" t="s">
        <v>205</v>
      </c>
      <c r="CS37" s="15" t="s">
        <v>206</v>
      </c>
      <c r="CT37" s="15" t="s">
        <v>207</v>
      </c>
      <c r="CU37" s="15" t="s">
        <v>208</v>
      </c>
      <c r="CV37" s="15" t="s">
        <v>209</v>
      </c>
      <c r="CW37" s="15" t="s">
        <v>210</v>
      </c>
      <c r="CX37" s="16" t="s">
        <v>211</v>
      </c>
      <c r="CY37" s="22" t="s">
        <v>212</v>
      </c>
      <c r="CZ37" s="15" t="s">
        <v>213</v>
      </c>
      <c r="DA37" s="15" t="s">
        <v>214</v>
      </c>
      <c r="DB37" s="15" t="s">
        <v>215</v>
      </c>
      <c r="DC37" s="15" t="s">
        <v>216</v>
      </c>
      <c r="DD37" s="15" t="s">
        <v>217</v>
      </c>
      <c r="DE37" s="15" t="s">
        <v>218</v>
      </c>
      <c r="DF37" s="15" t="s">
        <v>219</v>
      </c>
      <c r="DG37" s="15" t="s">
        <v>220</v>
      </c>
      <c r="DH37" s="15" t="s">
        <v>221</v>
      </c>
      <c r="DI37" s="15" t="s">
        <v>222</v>
      </c>
      <c r="DJ37" s="15" t="s">
        <v>223</v>
      </c>
      <c r="DK37" s="15" t="s">
        <v>224</v>
      </c>
      <c r="DL37" s="15" t="s">
        <v>225</v>
      </c>
      <c r="DM37" s="15" t="s">
        <v>226</v>
      </c>
      <c r="DN37" s="15" t="s">
        <v>227</v>
      </c>
      <c r="DO37" s="15" t="s">
        <v>228</v>
      </c>
      <c r="DP37" s="15" t="s">
        <v>229</v>
      </c>
      <c r="DQ37" s="15" t="s">
        <v>230</v>
      </c>
      <c r="DR37" s="15" t="s">
        <v>231</v>
      </c>
      <c r="DS37" s="15" t="s">
        <v>232</v>
      </c>
      <c r="DT37" s="15" t="s">
        <v>233</v>
      </c>
      <c r="DU37" s="15" t="s">
        <v>234</v>
      </c>
      <c r="DV37" s="15" t="s">
        <v>235</v>
      </c>
      <c r="DW37" s="15" t="s">
        <v>236</v>
      </c>
      <c r="DX37" s="15" t="s">
        <v>237</v>
      </c>
      <c r="DY37" s="15" t="s">
        <v>238</v>
      </c>
      <c r="DZ37" s="15" t="s">
        <v>239</v>
      </c>
      <c r="EA37" s="15" t="s">
        <v>240</v>
      </c>
      <c r="EB37" s="15" t="s">
        <v>241</v>
      </c>
      <c r="EC37" s="15" t="s">
        <v>242</v>
      </c>
      <c r="ED37" s="15" t="s">
        <v>243</v>
      </c>
      <c r="EE37" s="15" t="s">
        <v>244</v>
      </c>
      <c r="EF37" s="15" t="s">
        <v>245</v>
      </c>
      <c r="EG37" s="15" t="s">
        <v>246</v>
      </c>
      <c r="EH37" s="15" t="s">
        <v>247</v>
      </c>
      <c r="EI37" s="15" t="s">
        <v>248</v>
      </c>
      <c r="EJ37" s="16" t="s">
        <v>249</v>
      </c>
      <c r="EK37" s="22" t="s">
        <v>250</v>
      </c>
      <c r="EL37" s="15" t="s">
        <v>251</v>
      </c>
      <c r="EM37" s="15" t="s">
        <v>252</v>
      </c>
      <c r="EN37" s="15" t="s">
        <v>253</v>
      </c>
      <c r="EO37" s="15" t="s">
        <v>254</v>
      </c>
      <c r="EP37" s="15" t="s">
        <v>255</v>
      </c>
      <c r="EQ37" s="15" t="s">
        <v>256</v>
      </c>
      <c r="ER37" s="15" t="s">
        <v>257</v>
      </c>
      <c r="ES37" s="15" t="s">
        <v>258</v>
      </c>
      <c r="ET37" s="15" t="s">
        <v>259</v>
      </c>
      <c r="EU37" s="15" t="s">
        <v>260</v>
      </c>
      <c r="EV37" s="15" t="s">
        <v>261</v>
      </c>
      <c r="EW37" s="15" t="s">
        <v>262</v>
      </c>
      <c r="EX37" s="15" t="s">
        <v>263</v>
      </c>
      <c r="EY37" s="15" t="s">
        <v>264</v>
      </c>
      <c r="EZ37" s="15" t="s">
        <v>265</v>
      </c>
      <c r="FA37" s="15" t="s">
        <v>266</v>
      </c>
      <c r="FB37" s="15" t="s">
        <v>267</v>
      </c>
      <c r="FC37" s="15" t="s">
        <v>268</v>
      </c>
      <c r="FD37" s="15" t="s">
        <v>269</v>
      </c>
      <c r="FE37" s="15" t="s">
        <v>270</v>
      </c>
      <c r="FF37" s="15" t="s">
        <v>271</v>
      </c>
      <c r="FG37" s="15" t="s">
        <v>272</v>
      </c>
      <c r="FH37" s="15" t="s">
        <v>273</v>
      </c>
      <c r="FI37" s="15" t="s">
        <v>274</v>
      </c>
      <c r="FJ37" s="15" t="s">
        <v>275</v>
      </c>
      <c r="FK37" s="15" t="s">
        <v>276</v>
      </c>
      <c r="FL37" s="15" t="s">
        <v>277</v>
      </c>
      <c r="FM37" s="15" t="s">
        <v>278</v>
      </c>
      <c r="FN37" s="15" t="s">
        <v>279</v>
      </c>
      <c r="FO37" s="15" t="s">
        <v>280</v>
      </c>
      <c r="FP37" s="15" t="s">
        <v>281</v>
      </c>
      <c r="FQ37" s="15" t="s">
        <v>282</v>
      </c>
      <c r="FR37" s="15" t="s">
        <v>283</v>
      </c>
      <c r="FS37" s="15" t="s">
        <v>284</v>
      </c>
      <c r="FT37" s="15" t="s">
        <v>285</v>
      </c>
      <c r="FU37" s="15" t="s">
        <v>286</v>
      </c>
      <c r="FV37" s="16" t="s">
        <v>287</v>
      </c>
      <c r="FW37" s="22" t="s">
        <v>288</v>
      </c>
      <c r="FX37" s="15" t="s">
        <v>289</v>
      </c>
      <c r="FY37" s="15" t="s">
        <v>290</v>
      </c>
      <c r="FZ37" s="15" t="s">
        <v>291</v>
      </c>
      <c r="GA37" s="15" t="s">
        <v>292</v>
      </c>
      <c r="GB37" s="15" t="s">
        <v>293</v>
      </c>
      <c r="GC37" s="15" t="s">
        <v>294</v>
      </c>
      <c r="GD37" s="15" t="s">
        <v>295</v>
      </c>
      <c r="GE37" s="15" t="s">
        <v>296</v>
      </c>
      <c r="GF37" s="15" t="s">
        <v>297</v>
      </c>
      <c r="GG37" s="15" t="s">
        <v>298</v>
      </c>
      <c r="GH37" s="15" t="s">
        <v>299</v>
      </c>
      <c r="GI37" s="15" t="s">
        <v>300</v>
      </c>
      <c r="GJ37" s="15" t="s">
        <v>301</v>
      </c>
      <c r="GK37" s="15" t="s">
        <v>302</v>
      </c>
      <c r="GL37" s="15" t="s">
        <v>303</v>
      </c>
      <c r="GM37" s="15" t="s">
        <v>304</v>
      </c>
      <c r="GN37" s="15" t="s">
        <v>305</v>
      </c>
      <c r="GO37" s="15" t="s">
        <v>306</v>
      </c>
      <c r="GP37" s="15" t="s">
        <v>307</v>
      </c>
      <c r="GQ37" s="15" t="s">
        <v>308</v>
      </c>
      <c r="GR37" s="15" t="s">
        <v>309</v>
      </c>
      <c r="GS37" s="15" t="s">
        <v>310</v>
      </c>
      <c r="GT37" s="15" t="s">
        <v>311</v>
      </c>
      <c r="GU37" s="15" t="s">
        <v>312</v>
      </c>
      <c r="GV37" s="15" t="s">
        <v>313</v>
      </c>
      <c r="GW37" s="15" t="s">
        <v>314</v>
      </c>
      <c r="GX37" s="15" t="s">
        <v>315</v>
      </c>
      <c r="GY37" s="15" t="s">
        <v>316</v>
      </c>
      <c r="GZ37" s="15" t="s">
        <v>317</v>
      </c>
      <c r="HA37" s="15" t="s">
        <v>318</v>
      </c>
      <c r="HB37" s="15" t="s">
        <v>319</v>
      </c>
      <c r="HC37" s="15" t="s">
        <v>320</v>
      </c>
      <c r="HD37" s="15" t="s">
        <v>321</v>
      </c>
      <c r="HE37" s="15" t="s">
        <v>322</v>
      </c>
      <c r="HF37" s="15" t="s">
        <v>323</v>
      </c>
      <c r="HG37" s="15" t="s">
        <v>324</v>
      </c>
      <c r="HH37" s="16" t="s">
        <v>325</v>
      </c>
      <c r="HI37" s="22" t="s">
        <v>326</v>
      </c>
      <c r="HJ37" s="15" t="s">
        <v>327</v>
      </c>
      <c r="HK37" s="15" t="s">
        <v>328</v>
      </c>
      <c r="HL37" s="15" t="s">
        <v>329</v>
      </c>
      <c r="HM37" s="15" t="s">
        <v>330</v>
      </c>
      <c r="HN37" s="15" t="s">
        <v>331</v>
      </c>
      <c r="HO37" s="15" t="s">
        <v>332</v>
      </c>
      <c r="HP37" s="15" t="s">
        <v>333</v>
      </c>
      <c r="HQ37" s="15" t="s">
        <v>334</v>
      </c>
      <c r="HR37" s="15" t="s">
        <v>335</v>
      </c>
      <c r="HS37" s="15" t="s">
        <v>336</v>
      </c>
      <c r="HT37" s="15" t="s">
        <v>337</v>
      </c>
      <c r="HU37" s="15" t="s">
        <v>338</v>
      </c>
      <c r="HV37" s="15" t="s">
        <v>339</v>
      </c>
      <c r="HW37" s="15" t="s">
        <v>340</v>
      </c>
      <c r="HX37" s="15" t="s">
        <v>341</v>
      </c>
      <c r="HY37" s="15" t="s">
        <v>342</v>
      </c>
      <c r="HZ37" s="15" t="s">
        <v>343</v>
      </c>
      <c r="IA37" s="15" t="s">
        <v>344</v>
      </c>
      <c r="IB37" s="15" t="s">
        <v>345</v>
      </c>
      <c r="IC37" s="15" t="s">
        <v>346</v>
      </c>
      <c r="ID37" s="15" t="s">
        <v>347</v>
      </c>
      <c r="IE37" s="15" t="s">
        <v>348</v>
      </c>
      <c r="IF37" s="15" t="s">
        <v>349</v>
      </c>
      <c r="IG37" s="15" t="s">
        <v>350</v>
      </c>
      <c r="IH37" s="15" t="s">
        <v>351</v>
      </c>
      <c r="II37" s="15" t="s">
        <v>352</v>
      </c>
      <c r="IJ37" s="15" t="s">
        <v>353</v>
      </c>
      <c r="IK37" s="15" t="s">
        <v>354</v>
      </c>
      <c r="IL37" s="15" t="s">
        <v>355</v>
      </c>
      <c r="IM37" s="15" t="s">
        <v>356</v>
      </c>
      <c r="IN37" s="15" t="s">
        <v>357</v>
      </c>
      <c r="IO37" s="15" t="s">
        <v>358</v>
      </c>
      <c r="IP37" s="15" t="s">
        <v>359</v>
      </c>
      <c r="IQ37" s="15" t="s">
        <v>360</v>
      </c>
      <c r="IR37" s="15" t="s">
        <v>361</v>
      </c>
      <c r="IS37" s="15" t="s">
        <v>362</v>
      </c>
      <c r="IT37" s="16" t="s">
        <v>363</v>
      </c>
    </row>
    <row r="38" spans="1:254" x14ac:dyDescent="0.25">
      <c r="A38" t="s">
        <v>86</v>
      </c>
      <c r="B38" t="s">
        <v>87</v>
      </c>
      <c r="C38" s="9" t="s">
        <v>368</v>
      </c>
      <c r="D38" s="48">
        <v>1</v>
      </c>
      <c r="E38">
        <f>VLOOKUP(TBL_S_Software[[#This Row],[Schwerpunkt Softwareentwicklung]],Übersicht_Fächer!A35:E43,5,0)</f>
        <v>72</v>
      </c>
      <c r="F38">
        <f>TBL_S_Software[[#This Row],[Mastery Max]]+TBL_S_Software[[#This Row],[ATL Max]]+TBL_S_Software[[#This Row],[Präsenz Max]]</f>
        <v>8</v>
      </c>
      <c r="G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8">
        <f>TBL_S_Software[[#This Row],[Mastery]]+TBL_S_Software[[#This Row],[ATL]]+TBL_S_Software[[#This Row],[Präsenz]]</f>
        <v>0</v>
      </c>
      <c r="I38" s="50"/>
      <c r="J38" s="50"/>
      <c r="K38" s="50"/>
      <c r="L38" s="50"/>
      <c r="M38">
        <f>VLOOKUP(TBL_S_Software[[#This Row],[Schwerpunkt Softwareentwicklung]],Übersicht_Fächer!A35:E43,4,0)</f>
        <v>8</v>
      </c>
      <c r="N38">
        <f>SUM(TBL_S_Software[[#This Row],[01.02.2022]:[26.06.2025]])</f>
        <v>0</v>
      </c>
      <c r="O38" s="7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71"/>
      <c r="BK38" s="68" t="s">
        <v>19</v>
      </c>
      <c r="BL38" s="53" t="s">
        <v>19</v>
      </c>
      <c r="BM38" s="53" t="s">
        <v>19</v>
      </c>
      <c r="BN38" s="53" t="s">
        <v>19</v>
      </c>
      <c r="BO38" s="53" t="s">
        <v>19</v>
      </c>
      <c r="BP38" s="53" t="s">
        <v>19</v>
      </c>
      <c r="BQ38" s="53" t="s">
        <v>19</v>
      </c>
      <c r="BR38" s="53" t="s">
        <v>19</v>
      </c>
      <c r="BS38" s="53" t="s">
        <v>19</v>
      </c>
      <c r="BT38" s="53" t="s">
        <v>19</v>
      </c>
      <c r="BU38" s="53" t="s">
        <v>19</v>
      </c>
      <c r="BV38" s="53" t="s">
        <v>19</v>
      </c>
      <c r="BW38" s="53" t="s">
        <v>19</v>
      </c>
      <c r="BX38" s="53" t="s">
        <v>19</v>
      </c>
      <c r="BY38" s="53" t="s">
        <v>19</v>
      </c>
      <c r="BZ38" s="53" t="s">
        <v>19</v>
      </c>
      <c r="CA38" s="53" t="s">
        <v>19</v>
      </c>
      <c r="CB38" s="53" t="s">
        <v>19</v>
      </c>
      <c r="CC38" s="53" t="s">
        <v>19</v>
      </c>
      <c r="CD38" s="53" t="s">
        <v>19</v>
      </c>
      <c r="CE38" s="53" t="s">
        <v>19</v>
      </c>
      <c r="CF38" s="53" t="s">
        <v>19</v>
      </c>
      <c r="CG38" s="53" t="s">
        <v>19</v>
      </c>
      <c r="CH38" s="53" t="s">
        <v>19</v>
      </c>
      <c r="CI38" s="53" t="s">
        <v>19</v>
      </c>
      <c r="CJ38" s="53" t="s">
        <v>19</v>
      </c>
      <c r="CK38" s="53" t="s">
        <v>19</v>
      </c>
      <c r="CL38" s="53" t="s">
        <v>19</v>
      </c>
      <c r="CM38" s="53" t="s">
        <v>19</v>
      </c>
      <c r="CN38" s="53" t="s">
        <v>19</v>
      </c>
      <c r="CO38" s="53" t="s">
        <v>19</v>
      </c>
      <c r="CP38" s="53" t="s">
        <v>19</v>
      </c>
      <c r="CQ38" s="53" t="s">
        <v>19</v>
      </c>
      <c r="CR38" s="53" t="s">
        <v>19</v>
      </c>
      <c r="CS38" s="53" t="s">
        <v>19</v>
      </c>
      <c r="CT38" s="53" t="s">
        <v>19</v>
      </c>
      <c r="CU38" s="53" t="s">
        <v>19</v>
      </c>
      <c r="CV38" s="53" t="s">
        <v>19</v>
      </c>
      <c r="CW38" s="53" t="s">
        <v>19</v>
      </c>
      <c r="CX38" s="54" t="s">
        <v>19</v>
      </c>
      <c r="CY38" s="68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 t="s">
        <v>19</v>
      </c>
      <c r="EJ38" s="54"/>
      <c r="EK38" s="68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 t="s">
        <v>19</v>
      </c>
      <c r="FV38" s="54"/>
      <c r="FW38" s="68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 t="s">
        <v>19</v>
      </c>
      <c r="HH38" s="54" t="s">
        <v>19</v>
      </c>
      <c r="HI38" s="51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52"/>
    </row>
    <row r="39" spans="1:254" x14ac:dyDescent="0.25">
      <c r="A39" t="s">
        <v>88</v>
      </c>
      <c r="B39" t="s">
        <v>89</v>
      </c>
      <c r="C39" s="9" t="s">
        <v>368</v>
      </c>
      <c r="D39" s="48">
        <v>1</v>
      </c>
      <c r="E39">
        <f>VLOOKUP(TBL_S_Software[[#This Row],[Schwerpunkt Softwareentwicklung]],Übersicht_Fächer!A36:E44,5,0)</f>
        <v>72</v>
      </c>
      <c r="F39">
        <f>TBL_S_Software[[#This Row],[Mastery Max]]+TBL_S_Software[[#This Row],[ATL Max]]+TBL_S_Software[[#This Row],[Präsenz Max]]</f>
        <v>8</v>
      </c>
      <c r="G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9">
        <f>TBL_S_Software[[#This Row],[Mastery]]+TBL_S_Software[[#This Row],[ATL]]+TBL_S_Software[[#This Row],[Präsenz]]</f>
        <v>0</v>
      </c>
      <c r="I39" s="50"/>
      <c r="J39" s="50"/>
      <c r="K39" s="50"/>
      <c r="L39" s="50"/>
      <c r="M39">
        <f>VLOOKUP(TBL_S_Software[[#This Row],[Schwerpunkt Softwareentwicklung]],Übersicht_Fächer!A36:E44,4,0)</f>
        <v>8</v>
      </c>
      <c r="N39">
        <f>SUM(TBL_S_Software[[#This Row],[01.02.2022]:[26.06.2025]])</f>
        <v>0</v>
      </c>
      <c r="O39" s="7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71"/>
      <c r="BK39" s="68" t="s">
        <v>19</v>
      </c>
      <c r="BL39" s="53" t="s">
        <v>19</v>
      </c>
      <c r="BM39" s="53" t="s">
        <v>19</v>
      </c>
      <c r="BN39" s="53" t="s">
        <v>19</v>
      </c>
      <c r="BO39" s="53" t="s">
        <v>19</v>
      </c>
      <c r="BP39" s="53" t="s">
        <v>19</v>
      </c>
      <c r="BQ39" s="53" t="s">
        <v>19</v>
      </c>
      <c r="BR39" s="53" t="s">
        <v>19</v>
      </c>
      <c r="BS39" s="53" t="s">
        <v>19</v>
      </c>
      <c r="BT39" s="53" t="s">
        <v>19</v>
      </c>
      <c r="BU39" s="53" t="s">
        <v>19</v>
      </c>
      <c r="BV39" s="53" t="s">
        <v>19</v>
      </c>
      <c r="BW39" s="53" t="s">
        <v>19</v>
      </c>
      <c r="BX39" s="53" t="s">
        <v>19</v>
      </c>
      <c r="BY39" s="53" t="s">
        <v>19</v>
      </c>
      <c r="BZ39" s="53" t="s">
        <v>19</v>
      </c>
      <c r="CA39" s="53" t="s">
        <v>19</v>
      </c>
      <c r="CB39" s="53" t="s">
        <v>19</v>
      </c>
      <c r="CC39" s="53" t="s">
        <v>19</v>
      </c>
      <c r="CD39" s="53" t="s">
        <v>19</v>
      </c>
      <c r="CE39" s="53" t="s">
        <v>19</v>
      </c>
      <c r="CF39" s="53" t="s">
        <v>19</v>
      </c>
      <c r="CG39" s="53" t="s">
        <v>19</v>
      </c>
      <c r="CH39" s="53" t="s">
        <v>19</v>
      </c>
      <c r="CI39" s="53" t="s">
        <v>19</v>
      </c>
      <c r="CJ39" s="53" t="s">
        <v>19</v>
      </c>
      <c r="CK39" s="53" t="s">
        <v>19</v>
      </c>
      <c r="CL39" s="53" t="s">
        <v>19</v>
      </c>
      <c r="CM39" s="53" t="s">
        <v>19</v>
      </c>
      <c r="CN39" s="53" t="s">
        <v>19</v>
      </c>
      <c r="CO39" s="53" t="s">
        <v>19</v>
      </c>
      <c r="CP39" s="53" t="s">
        <v>19</v>
      </c>
      <c r="CQ39" s="53" t="s">
        <v>19</v>
      </c>
      <c r="CR39" s="53" t="s">
        <v>19</v>
      </c>
      <c r="CS39" s="53" t="s">
        <v>19</v>
      </c>
      <c r="CT39" s="53" t="s">
        <v>19</v>
      </c>
      <c r="CU39" s="53" t="s">
        <v>19</v>
      </c>
      <c r="CV39" s="53" t="s">
        <v>19</v>
      </c>
      <c r="CW39" s="53" t="s">
        <v>19</v>
      </c>
      <c r="CX39" s="54" t="s">
        <v>19</v>
      </c>
      <c r="CY39" s="68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 t="s">
        <v>19</v>
      </c>
      <c r="EJ39" s="54"/>
      <c r="EK39" s="68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 t="s">
        <v>19</v>
      </c>
      <c r="FV39" s="54"/>
      <c r="FW39" s="68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 t="s">
        <v>19</v>
      </c>
      <c r="HH39" s="54" t="s">
        <v>19</v>
      </c>
      <c r="HI39" s="51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52"/>
    </row>
    <row r="40" spans="1:254" x14ac:dyDescent="0.25">
      <c r="A40" t="s">
        <v>90</v>
      </c>
      <c r="B40" t="s">
        <v>91</v>
      </c>
      <c r="C40" s="9" t="s">
        <v>368</v>
      </c>
      <c r="D40" s="48">
        <v>1</v>
      </c>
      <c r="E40">
        <f>VLOOKUP(TBL_S_Software[[#This Row],[Schwerpunkt Softwareentwicklung]],Übersicht_Fächer!A37:E45,5,0)</f>
        <v>72</v>
      </c>
      <c r="F40">
        <f>TBL_S_Software[[#This Row],[Mastery Max]]+TBL_S_Software[[#This Row],[ATL Max]]+TBL_S_Software[[#This Row],[Präsenz Max]]</f>
        <v>8</v>
      </c>
      <c r="G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0">
        <f>TBL_S_Software[[#This Row],[Mastery]]+TBL_S_Software[[#This Row],[ATL]]+TBL_S_Software[[#This Row],[Präsenz]]</f>
        <v>0</v>
      </c>
      <c r="I40" s="50"/>
      <c r="J40" s="50"/>
      <c r="K40" s="50"/>
      <c r="L40" s="50"/>
      <c r="M40">
        <f>VLOOKUP(TBL_S_Software[[#This Row],[Schwerpunkt Softwareentwicklung]],Übersicht_Fächer!A37:E45,4,0)</f>
        <v>8</v>
      </c>
      <c r="N40">
        <f>SUM(TBL_S_Software[[#This Row],[01.02.2022]:[26.06.2025]])</f>
        <v>0</v>
      </c>
      <c r="O40" s="7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71"/>
      <c r="BK40" s="68" t="s">
        <v>19</v>
      </c>
      <c r="BL40" s="53" t="s">
        <v>19</v>
      </c>
      <c r="BM40" s="53" t="s">
        <v>19</v>
      </c>
      <c r="BN40" s="53" t="s">
        <v>19</v>
      </c>
      <c r="BO40" s="53" t="s">
        <v>19</v>
      </c>
      <c r="BP40" s="53" t="s">
        <v>19</v>
      </c>
      <c r="BQ40" s="53" t="s">
        <v>19</v>
      </c>
      <c r="BR40" s="53" t="s">
        <v>19</v>
      </c>
      <c r="BS40" s="53" t="s">
        <v>19</v>
      </c>
      <c r="BT40" s="53" t="s">
        <v>19</v>
      </c>
      <c r="BU40" s="53" t="s">
        <v>19</v>
      </c>
      <c r="BV40" s="53" t="s">
        <v>19</v>
      </c>
      <c r="BW40" s="53" t="s">
        <v>19</v>
      </c>
      <c r="BX40" s="53" t="s">
        <v>19</v>
      </c>
      <c r="BY40" s="53" t="s">
        <v>19</v>
      </c>
      <c r="BZ40" s="53" t="s">
        <v>19</v>
      </c>
      <c r="CA40" s="53" t="s">
        <v>19</v>
      </c>
      <c r="CB40" s="53" t="s">
        <v>19</v>
      </c>
      <c r="CC40" s="53" t="s">
        <v>19</v>
      </c>
      <c r="CD40" s="53" t="s">
        <v>19</v>
      </c>
      <c r="CE40" s="53" t="s">
        <v>19</v>
      </c>
      <c r="CF40" s="53" t="s">
        <v>19</v>
      </c>
      <c r="CG40" s="53" t="s">
        <v>19</v>
      </c>
      <c r="CH40" s="53" t="s">
        <v>19</v>
      </c>
      <c r="CI40" s="53" t="s">
        <v>19</v>
      </c>
      <c r="CJ40" s="53" t="s">
        <v>19</v>
      </c>
      <c r="CK40" s="53" t="s">
        <v>19</v>
      </c>
      <c r="CL40" s="53" t="s">
        <v>19</v>
      </c>
      <c r="CM40" s="53" t="s">
        <v>19</v>
      </c>
      <c r="CN40" s="53" t="s">
        <v>19</v>
      </c>
      <c r="CO40" s="53" t="s">
        <v>19</v>
      </c>
      <c r="CP40" s="53" t="s">
        <v>19</v>
      </c>
      <c r="CQ40" s="53" t="s">
        <v>19</v>
      </c>
      <c r="CR40" s="53" t="s">
        <v>19</v>
      </c>
      <c r="CS40" s="53" t="s">
        <v>19</v>
      </c>
      <c r="CT40" s="53" t="s">
        <v>19</v>
      </c>
      <c r="CU40" s="53" t="s">
        <v>19</v>
      </c>
      <c r="CV40" s="53" t="s">
        <v>19</v>
      </c>
      <c r="CW40" s="53" t="s">
        <v>19</v>
      </c>
      <c r="CX40" s="54" t="s">
        <v>19</v>
      </c>
      <c r="CY40" s="68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 t="s">
        <v>19</v>
      </c>
      <c r="EJ40" s="54"/>
      <c r="EK40" s="68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 t="s">
        <v>19</v>
      </c>
      <c r="FV40" s="54"/>
      <c r="FW40" s="68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 t="s">
        <v>19</v>
      </c>
      <c r="HH40" s="54" t="s">
        <v>19</v>
      </c>
      <c r="HI40" s="51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52"/>
    </row>
    <row r="41" spans="1:254" x14ac:dyDescent="0.25">
      <c r="A41" t="s">
        <v>92</v>
      </c>
      <c r="B41" t="s">
        <v>93</v>
      </c>
      <c r="C41" s="9" t="s">
        <v>368</v>
      </c>
      <c r="D41" s="48">
        <v>1</v>
      </c>
      <c r="E41">
        <f>VLOOKUP(TBL_S_Software[[#This Row],[Schwerpunkt Softwareentwicklung]],Übersicht_Fächer!A38:E46,5,0)</f>
        <v>216</v>
      </c>
      <c r="F41">
        <f>TBL_S_Software[[#This Row],[Mastery Max]]+TBL_S_Software[[#This Row],[ATL Max]]+TBL_S_Software[[#This Row],[Präsenz Max]]</f>
        <v>24</v>
      </c>
      <c r="G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1">
        <f>TBL_S_Software[[#This Row],[Mastery]]+TBL_S_Software[[#This Row],[ATL]]+TBL_S_Software[[#This Row],[Präsenz]]</f>
        <v>0</v>
      </c>
      <c r="I41" s="50"/>
      <c r="J41" s="50"/>
      <c r="K41" s="50"/>
      <c r="L41" s="50"/>
      <c r="M41">
        <f>VLOOKUP(TBL_S_Software[[#This Row],[Schwerpunkt Softwareentwicklung]],Übersicht_Fächer!A38:E46,4,0)</f>
        <v>24</v>
      </c>
      <c r="N41">
        <f>SUM(TBL_S_Software[[#This Row],[01.02.2022]:[26.06.2025]])</f>
        <v>0</v>
      </c>
      <c r="O41" s="7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71"/>
      <c r="BK41" s="68" t="s">
        <v>19</v>
      </c>
      <c r="BL41" s="53" t="s">
        <v>19</v>
      </c>
      <c r="BM41" s="53" t="s">
        <v>19</v>
      </c>
      <c r="BN41" s="53" t="s">
        <v>19</v>
      </c>
      <c r="BO41" s="53" t="s">
        <v>19</v>
      </c>
      <c r="BP41" s="53" t="s">
        <v>19</v>
      </c>
      <c r="BQ41" s="53" t="s">
        <v>19</v>
      </c>
      <c r="BR41" s="53" t="s">
        <v>19</v>
      </c>
      <c r="BS41" s="53" t="s">
        <v>19</v>
      </c>
      <c r="BT41" s="53" t="s">
        <v>19</v>
      </c>
      <c r="BU41" s="53" t="s">
        <v>19</v>
      </c>
      <c r="BV41" s="53" t="s">
        <v>19</v>
      </c>
      <c r="BW41" s="53" t="s">
        <v>19</v>
      </c>
      <c r="BX41" s="53" t="s">
        <v>19</v>
      </c>
      <c r="BY41" s="53" t="s">
        <v>19</v>
      </c>
      <c r="BZ41" s="53" t="s">
        <v>19</v>
      </c>
      <c r="CA41" s="53" t="s">
        <v>19</v>
      </c>
      <c r="CB41" s="53" t="s">
        <v>19</v>
      </c>
      <c r="CC41" s="53" t="s">
        <v>19</v>
      </c>
      <c r="CD41" s="53" t="s">
        <v>19</v>
      </c>
      <c r="CE41" s="53" t="s">
        <v>19</v>
      </c>
      <c r="CF41" s="53" t="s">
        <v>19</v>
      </c>
      <c r="CG41" s="53" t="s">
        <v>19</v>
      </c>
      <c r="CH41" s="53" t="s">
        <v>19</v>
      </c>
      <c r="CI41" s="53" t="s">
        <v>19</v>
      </c>
      <c r="CJ41" s="53" t="s">
        <v>19</v>
      </c>
      <c r="CK41" s="53" t="s">
        <v>19</v>
      </c>
      <c r="CL41" s="53" t="s">
        <v>19</v>
      </c>
      <c r="CM41" s="53" t="s">
        <v>19</v>
      </c>
      <c r="CN41" s="53" t="s">
        <v>19</v>
      </c>
      <c r="CO41" s="53" t="s">
        <v>19</v>
      </c>
      <c r="CP41" s="53" t="s">
        <v>19</v>
      </c>
      <c r="CQ41" s="53" t="s">
        <v>19</v>
      </c>
      <c r="CR41" s="53" t="s">
        <v>19</v>
      </c>
      <c r="CS41" s="53" t="s">
        <v>19</v>
      </c>
      <c r="CT41" s="53" t="s">
        <v>19</v>
      </c>
      <c r="CU41" s="53" t="s">
        <v>19</v>
      </c>
      <c r="CV41" s="53" t="s">
        <v>19</v>
      </c>
      <c r="CW41" s="53" t="s">
        <v>19</v>
      </c>
      <c r="CX41" s="54" t="s">
        <v>19</v>
      </c>
      <c r="CY41" s="68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 t="s">
        <v>19</v>
      </c>
      <c r="EJ41" s="54"/>
      <c r="EK41" s="68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 t="s">
        <v>19</v>
      </c>
      <c r="FV41" s="54"/>
      <c r="FW41" s="68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 t="s">
        <v>19</v>
      </c>
      <c r="HH41" s="54" t="s">
        <v>19</v>
      </c>
      <c r="HI41" s="51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52"/>
    </row>
    <row r="42" spans="1:254" x14ac:dyDescent="0.25">
      <c r="A42" t="s">
        <v>94</v>
      </c>
      <c r="B42" t="s">
        <v>95</v>
      </c>
      <c r="C42" s="9" t="s">
        <v>368</v>
      </c>
      <c r="D42" s="48">
        <v>1</v>
      </c>
      <c r="E42">
        <f>VLOOKUP(TBL_S_Software[[#This Row],[Schwerpunkt Softwareentwicklung]],Übersicht_Fächer!A39:E47,5,0)</f>
        <v>72</v>
      </c>
      <c r="F42">
        <f>TBL_S_Software[[#This Row],[Mastery Max]]+TBL_S_Software[[#This Row],[ATL Max]]+TBL_S_Software[[#This Row],[Präsenz Max]]</f>
        <v>8</v>
      </c>
      <c r="G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2">
        <f>TBL_S_Software[[#This Row],[Mastery]]+TBL_S_Software[[#This Row],[ATL]]+TBL_S_Software[[#This Row],[Präsenz]]</f>
        <v>0</v>
      </c>
      <c r="I42" s="50"/>
      <c r="J42" s="50"/>
      <c r="K42" s="50"/>
      <c r="L42" s="50"/>
      <c r="M42">
        <f>VLOOKUP(TBL_S_Software[[#This Row],[Schwerpunkt Softwareentwicklung]],Übersicht_Fächer!A39:E47,4,0)</f>
        <v>8</v>
      </c>
      <c r="N42">
        <f>SUM(TBL_S_Software[[#This Row],[01.02.2022]:[26.06.2025]])</f>
        <v>0</v>
      </c>
      <c r="O42" s="7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71"/>
      <c r="BK42" s="68" t="s">
        <v>19</v>
      </c>
      <c r="BL42" s="53" t="s">
        <v>19</v>
      </c>
      <c r="BM42" s="53" t="s">
        <v>19</v>
      </c>
      <c r="BN42" s="53" t="s">
        <v>19</v>
      </c>
      <c r="BO42" s="53" t="s">
        <v>19</v>
      </c>
      <c r="BP42" s="53" t="s">
        <v>19</v>
      </c>
      <c r="BQ42" s="53" t="s">
        <v>19</v>
      </c>
      <c r="BR42" s="53" t="s">
        <v>19</v>
      </c>
      <c r="BS42" s="53" t="s">
        <v>19</v>
      </c>
      <c r="BT42" s="53" t="s">
        <v>19</v>
      </c>
      <c r="BU42" s="53" t="s">
        <v>19</v>
      </c>
      <c r="BV42" s="53" t="s">
        <v>19</v>
      </c>
      <c r="BW42" s="53" t="s">
        <v>19</v>
      </c>
      <c r="BX42" s="53" t="s">
        <v>19</v>
      </c>
      <c r="BY42" s="53" t="s">
        <v>19</v>
      </c>
      <c r="BZ42" s="53" t="s">
        <v>19</v>
      </c>
      <c r="CA42" s="53" t="s">
        <v>19</v>
      </c>
      <c r="CB42" s="53" t="s">
        <v>19</v>
      </c>
      <c r="CC42" s="53" t="s">
        <v>19</v>
      </c>
      <c r="CD42" s="53" t="s">
        <v>19</v>
      </c>
      <c r="CE42" s="53" t="s">
        <v>19</v>
      </c>
      <c r="CF42" s="53" t="s">
        <v>19</v>
      </c>
      <c r="CG42" s="53" t="s">
        <v>19</v>
      </c>
      <c r="CH42" s="53" t="s">
        <v>19</v>
      </c>
      <c r="CI42" s="53" t="s">
        <v>19</v>
      </c>
      <c r="CJ42" s="53" t="s">
        <v>19</v>
      </c>
      <c r="CK42" s="53" t="s">
        <v>19</v>
      </c>
      <c r="CL42" s="53" t="s">
        <v>19</v>
      </c>
      <c r="CM42" s="53" t="s">
        <v>19</v>
      </c>
      <c r="CN42" s="53" t="s">
        <v>19</v>
      </c>
      <c r="CO42" s="53" t="s">
        <v>19</v>
      </c>
      <c r="CP42" s="53" t="s">
        <v>19</v>
      </c>
      <c r="CQ42" s="53" t="s">
        <v>19</v>
      </c>
      <c r="CR42" s="53" t="s">
        <v>19</v>
      </c>
      <c r="CS42" s="53" t="s">
        <v>19</v>
      </c>
      <c r="CT42" s="53" t="s">
        <v>19</v>
      </c>
      <c r="CU42" s="53" t="s">
        <v>19</v>
      </c>
      <c r="CV42" s="53" t="s">
        <v>19</v>
      </c>
      <c r="CW42" s="53" t="s">
        <v>19</v>
      </c>
      <c r="CX42" s="54" t="s">
        <v>19</v>
      </c>
      <c r="CY42" s="68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 t="s">
        <v>19</v>
      </c>
      <c r="EJ42" s="54"/>
      <c r="EK42" s="68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 t="s">
        <v>19</v>
      </c>
      <c r="FV42" s="54"/>
      <c r="FW42" s="68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 t="s">
        <v>19</v>
      </c>
      <c r="HH42" s="54" t="s">
        <v>19</v>
      </c>
      <c r="HI42" s="51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52"/>
    </row>
    <row r="43" spans="1:254" x14ac:dyDescent="0.25">
      <c r="A43" t="s">
        <v>96</v>
      </c>
      <c r="B43" t="s">
        <v>97</v>
      </c>
      <c r="C43" s="9" t="s">
        <v>368</v>
      </c>
      <c r="D43" s="48">
        <v>1</v>
      </c>
      <c r="E43">
        <f>VLOOKUP(TBL_S_Software[[#This Row],[Schwerpunkt Softwareentwicklung]],Übersicht_Fächer!A40:E48,5,0)</f>
        <v>144</v>
      </c>
      <c r="F43">
        <f>TBL_S_Software[[#This Row],[Mastery Max]]+TBL_S_Software[[#This Row],[ATL Max]]+TBL_S_Software[[#This Row],[Präsenz Max]]</f>
        <v>16</v>
      </c>
      <c r="G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3">
        <f>TBL_S_Software[[#This Row],[Mastery]]+TBL_S_Software[[#This Row],[ATL]]+TBL_S_Software[[#This Row],[Präsenz]]</f>
        <v>0</v>
      </c>
      <c r="I43" s="50"/>
      <c r="J43" s="50"/>
      <c r="K43" s="50"/>
      <c r="L43" s="50"/>
      <c r="M43">
        <f>VLOOKUP(TBL_S_Software[[#This Row],[Schwerpunkt Softwareentwicklung]],Übersicht_Fächer!A40:E48,4,0)</f>
        <v>16</v>
      </c>
      <c r="N43">
        <f>SUM(TBL_S_Software[[#This Row],[01.02.2022]:[26.06.2025]])</f>
        <v>0</v>
      </c>
      <c r="O43" s="7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71"/>
      <c r="BK43" s="68" t="s">
        <v>19</v>
      </c>
      <c r="BL43" s="53" t="s">
        <v>19</v>
      </c>
      <c r="BM43" s="53" t="s">
        <v>19</v>
      </c>
      <c r="BN43" s="53" t="s">
        <v>19</v>
      </c>
      <c r="BO43" s="53" t="s">
        <v>19</v>
      </c>
      <c r="BP43" s="53" t="s">
        <v>19</v>
      </c>
      <c r="BQ43" s="53" t="s">
        <v>19</v>
      </c>
      <c r="BR43" s="53" t="s">
        <v>19</v>
      </c>
      <c r="BS43" s="53" t="s">
        <v>19</v>
      </c>
      <c r="BT43" s="53" t="s">
        <v>19</v>
      </c>
      <c r="BU43" s="53" t="s">
        <v>19</v>
      </c>
      <c r="BV43" s="53" t="s">
        <v>19</v>
      </c>
      <c r="BW43" s="53" t="s">
        <v>19</v>
      </c>
      <c r="BX43" s="53" t="s">
        <v>19</v>
      </c>
      <c r="BY43" s="53" t="s">
        <v>19</v>
      </c>
      <c r="BZ43" s="53" t="s">
        <v>19</v>
      </c>
      <c r="CA43" s="53" t="s">
        <v>19</v>
      </c>
      <c r="CB43" s="53" t="s">
        <v>19</v>
      </c>
      <c r="CC43" s="53" t="s">
        <v>19</v>
      </c>
      <c r="CD43" s="53" t="s">
        <v>19</v>
      </c>
      <c r="CE43" s="53" t="s">
        <v>19</v>
      </c>
      <c r="CF43" s="53" t="s">
        <v>19</v>
      </c>
      <c r="CG43" s="53" t="s">
        <v>19</v>
      </c>
      <c r="CH43" s="53" t="s">
        <v>19</v>
      </c>
      <c r="CI43" s="53" t="s">
        <v>19</v>
      </c>
      <c r="CJ43" s="53" t="s">
        <v>19</v>
      </c>
      <c r="CK43" s="53" t="s">
        <v>19</v>
      </c>
      <c r="CL43" s="53" t="s">
        <v>19</v>
      </c>
      <c r="CM43" s="53" t="s">
        <v>19</v>
      </c>
      <c r="CN43" s="53" t="s">
        <v>19</v>
      </c>
      <c r="CO43" s="53" t="s">
        <v>19</v>
      </c>
      <c r="CP43" s="53" t="s">
        <v>19</v>
      </c>
      <c r="CQ43" s="53" t="s">
        <v>19</v>
      </c>
      <c r="CR43" s="53" t="s">
        <v>19</v>
      </c>
      <c r="CS43" s="53" t="s">
        <v>19</v>
      </c>
      <c r="CT43" s="53" t="s">
        <v>19</v>
      </c>
      <c r="CU43" s="53" t="s">
        <v>19</v>
      </c>
      <c r="CV43" s="53" t="s">
        <v>19</v>
      </c>
      <c r="CW43" s="53" t="s">
        <v>19</v>
      </c>
      <c r="CX43" s="54" t="s">
        <v>19</v>
      </c>
      <c r="CY43" s="68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 t="s">
        <v>19</v>
      </c>
      <c r="EJ43" s="54"/>
      <c r="EK43" s="68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 t="s">
        <v>19</v>
      </c>
      <c r="FV43" s="54"/>
      <c r="FW43" s="68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 t="s">
        <v>19</v>
      </c>
      <c r="HH43" s="54" t="s">
        <v>19</v>
      </c>
      <c r="HI43" s="51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52"/>
    </row>
    <row r="44" spans="1:254" x14ac:dyDescent="0.25">
      <c r="A44" t="s">
        <v>98</v>
      </c>
      <c r="B44" t="s">
        <v>99</v>
      </c>
      <c r="C44" s="9" t="s">
        <v>368</v>
      </c>
      <c r="D44" s="48">
        <v>1</v>
      </c>
      <c r="E44">
        <f>VLOOKUP(TBL_S_Software[[#This Row],[Schwerpunkt Softwareentwicklung]],Übersicht_Fächer!A41:E49,5,0)</f>
        <v>72</v>
      </c>
      <c r="F44">
        <f>TBL_S_Software[[#This Row],[Mastery Max]]+TBL_S_Software[[#This Row],[ATL Max]]+TBL_S_Software[[#This Row],[Präsenz Max]]</f>
        <v>8</v>
      </c>
      <c r="G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4">
        <f>TBL_S_Software[[#This Row],[Mastery]]+TBL_S_Software[[#This Row],[ATL]]+TBL_S_Software[[#This Row],[Präsenz]]</f>
        <v>0</v>
      </c>
      <c r="I44" s="50"/>
      <c r="J44" s="50"/>
      <c r="K44" s="50"/>
      <c r="L44" s="50"/>
      <c r="M44">
        <f>VLOOKUP(TBL_S_Software[[#This Row],[Schwerpunkt Softwareentwicklung]],Übersicht_Fächer!A41:E49,4,0)</f>
        <v>8</v>
      </c>
      <c r="N44">
        <f>SUM(TBL_S_Software[[#This Row],[01.02.2022]:[26.06.2025]])</f>
        <v>0</v>
      </c>
      <c r="O44" s="7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71"/>
      <c r="BK44" s="68" t="s">
        <v>19</v>
      </c>
      <c r="BL44" s="53" t="s">
        <v>19</v>
      </c>
      <c r="BM44" s="53" t="s">
        <v>19</v>
      </c>
      <c r="BN44" s="53" t="s">
        <v>19</v>
      </c>
      <c r="BO44" s="53" t="s">
        <v>19</v>
      </c>
      <c r="BP44" s="53" t="s">
        <v>19</v>
      </c>
      <c r="BQ44" s="53" t="s">
        <v>19</v>
      </c>
      <c r="BR44" s="53" t="s">
        <v>19</v>
      </c>
      <c r="BS44" s="53" t="s">
        <v>19</v>
      </c>
      <c r="BT44" s="53" t="s">
        <v>19</v>
      </c>
      <c r="BU44" s="53" t="s">
        <v>19</v>
      </c>
      <c r="BV44" s="53" t="s">
        <v>19</v>
      </c>
      <c r="BW44" s="53" t="s">
        <v>19</v>
      </c>
      <c r="BX44" s="53" t="s">
        <v>19</v>
      </c>
      <c r="BY44" s="53" t="s">
        <v>19</v>
      </c>
      <c r="BZ44" s="53" t="s">
        <v>19</v>
      </c>
      <c r="CA44" s="53" t="s">
        <v>19</v>
      </c>
      <c r="CB44" s="53" t="s">
        <v>19</v>
      </c>
      <c r="CC44" s="53" t="s">
        <v>19</v>
      </c>
      <c r="CD44" s="53" t="s">
        <v>19</v>
      </c>
      <c r="CE44" s="53" t="s">
        <v>19</v>
      </c>
      <c r="CF44" s="53" t="s">
        <v>19</v>
      </c>
      <c r="CG44" s="53" t="s">
        <v>19</v>
      </c>
      <c r="CH44" s="53" t="s">
        <v>19</v>
      </c>
      <c r="CI44" s="53" t="s">
        <v>19</v>
      </c>
      <c r="CJ44" s="53" t="s">
        <v>19</v>
      </c>
      <c r="CK44" s="53" t="s">
        <v>19</v>
      </c>
      <c r="CL44" s="53" t="s">
        <v>19</v>
      </c>
      <c r="CM44" s="53" t="s">
        <v>19</v>
      </c>
      <c r="CN44" s="53" t="s">
        <v>19</v>
      </c>
      <c r="CO44" s="53" t="s">
        <v>19</v>
      </c>
      <c r="CP44" s="53" t="s">
        <v>19</v>
      </c>
      <c r="CQ44" s="53" t="s">
        <v>19</v>
      </c>
      <c r="CR44" s="53" t="s">
        <v>19</v>
      </c>
      <c r="CS44" s="53" t="s">
        <v>19</v>
      </c>
      <c r="CT44" s="53" t="s">
        <v>19</v>
      </c>
      <c r="CU44" s="53" t="s">
        <v>19</v>
      </c>
      <c r="CV44" s="53" t="s">
        <v>19</v>
      </c>
      <c r="CW44" s="53" t="s">
        <v>19</v>
      </c>
      <c r="CX44" s="54" t="s">
        <v>19</v>
      </c>
      <c r="CY44" s="68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 t="s">
        <v>19</v>
      </c>
      <c r="EJ44" s="54"/>
      <c r="EK44" s="68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 t="s">
        <v>19</v>
      </c>
      <c r="FV44" s="54"/>
      <c r="FW44" s="68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 t="s">
        <v>19</v>
      </c>
      <c r="HH44" s="54" t="s">
        <v>19</v>
      </c>
      <c r="HI44" s="51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52"/>
    </row>
    <row r="45" spans="1:254" x14ac:dyDescent="0.25">
      <c r="A45" t="s">
        <v>100</v>
      </c>
      <c r="B45" t="s">
        <v>101</v>
      </c>
      <c r="C45" s="9" t="s">
        <v>368</v>
      </c>
      <c r="D45" s="48">
        <v>1</v>
      </c>
      <c r="E45">
        <f>VLOOKUP(TBL_S_Software[[#This Row],[Schwerpunkt Softwareentwicklung]],Übersicht_Fächer!A42:E50,5,0)</f>
        <v>72</v>
      </c>
      <c r="F45">
        <f>TBL_S_Software[[#This Row],[Mastery Max]]+TBL_S_Software[[#This Row],[ATL Max]]+TBL_S_Software[[#This Row],[Präsenz Max]]</f>
        <v>8</v>
      </c>
      <c r="G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5">
        <f>TBL_S_Software[[#This Row],[Mastery]]+TBL_S_Software[[#This Row],[ATL]]+TBL_S_Software[[#This Row],[Präsenz]]</f>
        <v>0</v>
      </c>
      <c r="I45" s="50"/>
      <c r="J45" s="50"/>
      <c r="K45" s="50"/>
      <c r="L45" s="50"/>
      <c r="M45">
        <f>VLOOKUP(TBL_S_Software[[#This Row],[Schwerpunkt Softwareentwicklung]],Übersicht_Fächer!A42:E50,4,0)</f>
        <v>8</v>
      </c>
      <c r="N45">
        <f>SUM(TBL_S_Software[[#This Row],[01.02.2022]:[26.06.2025]])</f>
        <v>0</v>
      </c>
      <c r="O45" s="7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71"/>
      <c r="BK45" s="68" t="s">
        <v>19</v>
      </c>
      <c r="BL45" s="53" t="s">
        <v>19</v>
      </c>
      <c r="BM45" s="53" t="s">
        <v>19</v>
      </c>
      <c r="BN45" s="53" t="s">
        <v>19</v>
      </c>
      <c r="BO45" s="53" t="s">
        <v>19</v>
      </c>
      <c r="BP45" s="53" t="s">
        <v>19</v>
      </c>
      <c r="BQ45" s="53" t="s">
        <v>19</v>
      </c>
      <c r="BR45" s="53" t="s">
        <v>19</v>
      </c>
      <c r="BS45" s="53" t="s">
        <v>19</v>
      </c>
      <c r="BT45" s="53" t="s">
        <v>19</v>
      </c>
      <c r="BU45" s="53" t="s">
        <v>19</v>
      </c>
      <c r="BV45" s="53" t="s">
        <v>19</v>
      </c>
      <c r="BW45" s="53" t="s">
        <v>19</v>
      </c>
      <c r="BX45" s="53" t="s">
        <v>19</v>
      </c>
      <c r="BY45" s="53" t="s">
        <v>19</v>
      </c>
      <c r="BZ45" s="53" t="s">
        <v>19</v>
      </c>
      <c r="CA45" s="53" t="s">
        <v>19</v>
      </c>
      <c r="CB45" s="53" t="s">
        <v>19</v>
      </c>
      <c r="CC45" s="53" t="s">
        <v>19</v>
      </c>
      <c r="CD45" s="53" t="s">
        <v>19</v>
      </c>
      <c r="CE45" s="53" t="s">
        <v>19</v>
      </c>
      <c r="CF45" s="53" t="s">
        <v>19</v>
      </c>
      <c r="CG45" s="53" t="s">
        <v>19</v>
      </c>
      <c r="CH45" s="53" t="s">
        <v>19</v>
      </c>
      <c r="CI45" s="53" t="s">
        <v>19</v>
      </c>
      <c r="CJ45" s="53" t="s">
        <v>19</v>
      </c>
      <c r="CK45" s="53" t="s">
        <v>19</v>
      </c>
      <c r="CL45" s="53" t="s">
        <v>19</v>
      </c>
      <c r="CM45" s="53" t="s">
        <v>19</v>
      </c>
      <c r="CN45" s="53" t="s">
        <v>19</v>
      </c>
      <c r="CO45" s="53" t="s">
        <v>19</v>
      </c>
      <c r="CP45" s="53" t="s">
        <v>19</v>
      </c>
      <c r="CQ45" s="53" t="s">
        <v>19</v>
      </c>
      <c r="CR45" s="53" t="s">
        <v>19</v>
      </c>
      <c r="CS45" s="53" t="s">
        <v>19</v>
      </c>
      <c r="CT45" s="53" t="s">
        <v>19</v>
      </c>
      <c r="CU45" s="53" t="s">
        <v>19</v>
      </c>
      <c r="CV45" s="53" t="s">
        <v>19</v>
      </c>
      <c r="CW45" s="53" t="s">
        <v>19</v>
      </c>
      <c r="CX45" s="54" t="s">
        <v>19</v>
      </c>
      <c r="CY45" s="68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 t="s">
        <v>19</v>
      </c>
      <c r="EJ45" s="54"/>
      <c r="EK45" s="68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 t="s">
        <v>19</v>
      </c>
      <c r="FV45" s="54"/>
      <c r="FW45" s="68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 t="s">
        <v>19</v>
      </c>
      <c r="HH45" s="54" t="s">
        <v>19</v>
      </c>
      <c r="HI45" s="51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52"/>
    </row>
    <row r="46" spans="1:254" ht="15.75" thickBot="1" x14ac:dyDescent="0.3">
      <c r="A46" t="s">
        <v>102</v>
      </c>
      <c r="B46" t="s">
        <v>103</v>
      </c>
      <c r="C46" s="9" t="s">
        <v>368</v>
      </c>
      <c r="D46" s="48">
        <v>1</v>
      </c>
      <c r="E46">
        <f>VLOOKUP(TBL_S_Software[[#This Row],[Schwerpunkt Softwareentwicklung]],Übersicht_Fächer!A43:E51,5,0)</f>
        <v>72</v>
      </c>
      <c r="F46">
        <f>TBL_S_Software[[#This Row],[Mastery Max]]+TBL_S_Software[[#This Row],[ATL Max]]+TBL_S_Software[[#This Row],[Präsenz Max]]</f>
        <v>8</v>
      </c>
      <c r="G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6">
        <f>TBL_S_Software[[#This Row],[Mastery]]+TBL_S_Software[[#This Row],[ATL]]+TBL_S_Software[[#This Row],[Präsenz]]</f>
        <v>0</v>
      </c>
      <c r="I46" s="50"/>
      <c r="J46" s="50"/>
      <c r="K46" s="50"/>
      <c r="L46" s="50"/>
      <c r="M46">
        <f>VLOOKUP(TBL_S_Software[[#This Row],[Schwerpunkt Softwareentwicklung]],Übersicht_Fächer!A43:E51,4,0)</f>
        <v>8</v>
      </c>
      <c r="N46">
        <f>SUM(TBL_S_Software[[#This Row],[01.02.2022]:[26.06.2025]])</f>
        <v>0</v>
      </c>
      <c r="O46" s="72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4"/>
      <c r="BK46" s="69" t="s">
        <v>19</v>
      </c>
      <c r="BL46" s="58" t="s">
        <v>19</v>
      </c>
      <c r="BM46" s="58" t="s">
        <v>19</v>
      </c>
      <c r="BN46" s="58" t="s">
        <v>19</v>
      </c>
      <c r="BO46" s="58" t="s">
        <v>19</v>
      </c>
      <c r="BP46" s="58" t="s">
        <v>19</v>
      </c>
      <c r="BQ46" s="58" t="s">
        <v>19</v>
      </c>
      <c r="BR46" s="58" t="s">
        <v>19</v>
      </c>
      <c r="BS46" s="58" t="s">
        <v>19</v>
      </c>
      <c r="BT46" s="58" t="s">
        <v>19</v>
      </c>
      <c r="BU46" s="58" t="s">
        <v>19</v>
      </c>
      <c r="BV46" s="58" t="s">
        <v>19</v>
      </c>
      <c r="BW46" s="58" t="s">
        <v>19</v>
      </c>
      <c r="BX46" s="58" t="s">
        <v>19</v>
      </c>
      <c r="BY46" s="58" t="s">
        <v>19</v>
      </c>
      <c r="BZ46" s="58" t="s">
        <v>19</v>
      </c>
      <c r="CA46" s="58" t="s">
        <v>19</v>
      </c>
      <c r="CB46" s="58" t="s">
        <v>19</v>
      </c>
      <c r="CC46" s="58" t="s">
        <v>19</v>
      </c>
      <c r="CD46" s="58" t="s">
        <v>19</v>
      </c>
      <c r="CE46" s="58" t="s">
        <v>19</v>
      </c>
      <c r="CF46" s="58" t="s">
        <v>19</v>
      </c>
      <c r="CG46" s="58" t="s">
        <v>19</v>
      </c>
      <c r="CH46" s="58" t="s">
        <v>19</v>
      </c>
      <c r="CI46" s="58" t="s">
        <v>19</v>
      </c>
      <c r="CJ46" s="58" t="s">
        <v>19</v>
      </c>
      <c r="CK46" s="58" t="s">
        <v>19</v>
      </c>
      <c r="CL46" s="58" t="s">
        <v>19</v>
      </c>
      <c r="CM46" s="58" t="s">
        <v>19</v>
      </c>
      <c r="CN46" s="58" t="s">
        <v>19</v>
      </c>
      <c r="CO46" s="58" t="s">
        <v>19</v>
      </c>
      <c r="CP46" s="58" t="s">
        <v>19</v>
      </c>
      <c r="CQ46" s="58" t="s">
        <v>19</v>
      </c>
      <c r="CR46" s="58" t="s">
        <v>19</v>
      </c>
      <c r="CS46" s="58" t="s">
        <v>19</v>
      </c>
      <c r="CT46" s="58" t="s">
        <v>19</v>
      </c>
      <c r="CU46" s="58" t="s">
        <v>19</v>
      </c>
      <c r="CV46" s="58" t="s">
        <v>19</v>
      </c>
      <c r="CW46" s="58" t="s">
        <v>19</v>
      </c>
      <c r="CX46" s="59" t="s">
        <v>19</v>
      </c>
      <c r="CY46" s="69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 t="s">
        <v>19</v>
      </c>
      <c r="EJ46" s="59"/>
      <c r="EK46" s="69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 t="s">
        <v>19</v>
      </c>
      <c r="FV46" s="59"/>
      <c r="FW46" s="69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 t="s">
        <v>19</v>
      </c>
      <c r="HH46" s="59" t="s">
        <v>19</v>
      </c>
      <c r="HI46" s="55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7"/>
    </row>
    <row r="49" spans="1:6" x14ac:dyDescent="0.25">
      <c r="A49" t="s">
        <v>104</v>
      </c>
      <c r="B49" t="s">
        <v>2</v>
      </c>
      <c r="C49" t="s">
        <v>3</v>
      </c>
      <c r="D49" t="s">
        <v>4</v>
      </c>
      <c r="E49" t="s">
        <v>6</v>
      </c>
      <c r="F49" t="s">
        <v>117</v>
      </c>
    </row>
    <row r="50" spans="1:6" x14ac:dyDescent="0.25">
      <c r="A50" t="s">
        <v>105</v>
      </c>
      <c r="B50" t="s">
        <v>13</v>
      </c>
      <c r="C50" s="48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0" s="50"/>
    </row>
    <row r="51" spans="1:6" x14ac:dyDescent="0.25">
      <c r="A51" t="s">
        <v>106</v>
      </c>
      <c r="B51" t="s">
        <v>14</v>
      </c>
      <c r="C51" s="48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1" s="50"/>
    </row>
    <row r="52" spans="1:6" x14ac:dyDescent="0.25">
      <c r="A52" t="s">
        <v>107</v>
      </c>
      <c r="B52" t="s">
        <v>16</v>
      </c>
      <c r="C52" s="48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2" s="50"/>
    </row>
    <row r="53" spans="1:6" x14ac:dyDescent="0.25">
      <c r="A53" t="s">
        <v>108</v>
      </c>
      <c r="B53" t="s">
        <v>17</v>
      </c>
      <c r="C53" s="48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  <c r="F53" s="50"/>
    </row>
    <row r="55" spans="1:6" x14ac:dyDescent="0.25">
      <c r="A55" t="s">
        <v>372</v>
      </c>
      <c r="D55">
        <f>SUM(TBL_S_System[LLP max])+SUM(TBL_Kommunikation[LLP max])+SUM(TBL_Grundstudium[LLP max])+SUM(TBL_Allgemeines[LLP max])</f>
        <v>4000</v>
      </c>
    </row>
  </sheetData>
  <sheetProtection formatCells="0"/>
  <mergeCells count="6">
    <mergeCell ref="O2:BJ2"/>
    <mergeCell ref="BK2:CX2"/>
    <mergeCell ref="HI2:IT2"/>
    <mergeCell ref="FW2:HH2"/>
    <mergeCell ref="EK2:FV2"/>
    <mergeCell ref="CY2:EJ2"/>
  </mergeCells>
  <phoneticPr fontId="2" type="noConversion"/>
  <conditionalFormatting sqref="C1:C3 C18 C26 C36 C47:C1048576 D37:D46 D27:D35 D19:D25 D4:D17">
    <cfRule type="iconSet" priority="1">
      <iconSet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D5:D17 D20:D25 D38:D46 D28:D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/>
  </sheetViews>
  <sheetFormatPr baseColWidth="10" defaultColWidth="11.42578125" defaultRowHeight="15" x14ac:dyDescent="0.25"/>
  <cols>
    <col min="1" max="1" width="5.85546875" customWidth="1"/>
    <col min="2" max="2" width="39.42578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/>
      <c r="B1" s="31" t="s">
        <v>10</v>
      </c>
      <c r="C1" s="2"/>
      <c r="D1" s="4" t="s">
        <v>373</v>
      </c>
      <c r="E1" t="s">
        <v>4</v>
      </c>
    </row>
    <row r="2" spans="1:5" x14ac:dyDescent="0.25">
      <c r="A2" t="s">
        <v>27</v>
      </c>
      <c r="B2" t="s">
        <v>28</v>
      </c>
      <c r="C2">
        <v>32</v>
      </c>
      <c r="D2">
        <f>C2/4</f>
        <v>8</v>
      </c>
      <c r="E2">
        <v>72</v>
      </c>
    </row>
    <row r="3" spans="1:5" x14ac:dyDescent="0.25">
      <c r="A3" t="s">
        <v>30</v>
      </c>
      <c r="B3" t="s">
        <v>31</v>
      </c>
      <c r="C3">
        <v>64</v>
      </c>
      <c r="D3">
        <f>C3/4</f>
        <v>16</v>
      </c>
      <c r="E3">
        <v>144</v>
      </c>
    </row>
    <row r="4" spans="1:5" x14ac:dyDescent="0.25">
      <c r="A4" t="s">
        <v>33</v>
      </c>
      <c r="B4" t="s">
        <v>34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35</v>
      </c>
      <c r="B5" t="s">
        <v>36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37</v>
      </c>
      <c r="B6" t="s">
        <v>38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39</v>
      </c>
      <c r="B7" t="s">
        <v>40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41</v>
      </c>
      <c r="B8" t="s">
        <v>42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43</v>
      </c>
      <c r="B9" t="s">
        <v>44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45</v>
      </c>
      <c r="B10" t="s">
        <v>46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47</v>
      </c>
      <c r="B11" t="s">
        <v>48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49</v>
      </c>
      <c r="B12" t="s">
        <v>50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51</v>
      </c>
      <c r="B13" t="s">
        <v>52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53</v>
      </c>
      <c r="B14" t="s">
        <v>54</v>
      </c>
      <c r="C14">
        <v>32</v>
      </c>
      <c r="D14">
        <f t="shared" si="0"/>
        <v>8</v>
      </c>
      <c r="E14">
        <v>72</v>
      </c>
    </row>
    <row r="16" spans="1:5" x14ac:dyDescent="0.25">
      <c r="A16" s="2"/>
      <c r="B16" s="31" t="s">
        <v>55</v>
      </c>
      <c r="C16" s="2"/>
    </row>
    <row r="17" spans="1:5" x14ac:dyDescent="0.25">
      <c r="A17" t="s">
        <v>56</v>
      </c>
      <c r="B17" t="s">
        <v>57</v>
      </c>
      <c r="C17">
        <v>64</v>
      </c>
      <c r="D17">
        <f>C17/4</f>
        <v>16</v>
      </c>
      <c r="E17">
        <v>144</v>
      </c>
    </row>
    <row r="18" spans="1:5" x14ac:dyDescent="0.25">
      <c r="A18" t="s">
        <v>58</v>
      </c>
      <c r="B18" t="s">
        <v>59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60</v>
      </c>
      <c r="B19" t="s">
        <v>61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62</v>
      </c>
      <c r="B20" t="s">
        <v>63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64</v>
      </c>
      <c r="B21" t="s">
        <v>65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66</v>
      </c>
      <c r="B22" t="s">
        <v>67</v>
      </c>
      <c r="C22">
        <v>32</v>
      </c>
      <c r="D22">
        <f t="shared" si="1"/>
        <v>8</v>
      </c>
      <c r="E22">
        <v>72</v>
      </c>
    </row>
    <row r="24" spans="1:5" x14ac:dyDescent="0.25">
      <c r="A24" s="2"/>
      <c r="B24" s="31" t="s">
        <v>68</v>
      </c>
      <c r="C24" s="2"/>
    </row>
    <row r="25" spans="1:5" x14ac:dyDescent="0.25">
      <c r="A25" t="s">
        <v>69</v>
      </c>
      <c r="B25" t="s">
        <v>70</v>
      </c>
      <c r="C25">
        <v>64</v>
      </c>
      <c r="D25">
        <f>C25/4</f>
        <v>16</v>
      </c>
      <c r="E25">
        <v>144</v>
      </c>
    </row>
    <row r="26" spans="1:5" x14ac:dyDescent="0.25">
      <c r="A26" t="s">
        <v>71</v>
      </c>
      <c r="B26" t="s">
        <v>72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73</v>
      </c>
      <c r="B27" t="s">
        <v>74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75</v>
      </c>
      <c r="B28" t="s">
        <v>76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77</v>
      </c>
      <c r="B29" t="s">
        <v>78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79</v>
      </c>
      <c r="B30" t="s">
        <v>80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81</v>
      </c>
      <c r="B31" t="s">
        <v>82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83</v>
      </c>
      <c r="B32" t="s">
        <v>84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31" t="s">
        <v>85</v>
      </c>
      <c r="C34" s="2"/>
    </row>
    <row r="35" spans="1:5" x14ac:dyDescent="0.25">
      <c r="A35" t="s">
        <v>86</v>
      </c>
      <c r="B35" t="s">
        <v>87</v>
      </c>
      <c r="C35">
        <v>32</v>
      </c>
      <c r="D35">
        <f>C35/4</f>
        <v>8</v>
      </c>
      <c r="E35">
        <v>72</v>
      </c>
    </row>
    <row r="36" spans="1:5" x14ac:dyDescent="0.25">
      <c r="A36" t="s">
        <v>88</v>
      </c>
      <c r="B36" t="s">
        <v>89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90</v>
      </c>
      <c r="B37" t="s">
        <v>91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92</v>
      </c>
      <c r="B38" t="s">
        <v>93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94</v>
      </c>
      <c r="B39" t="s">
        <v>95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96</v>
      </c>
      <c r="B40" t="s">
        <v>97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98</v>
      </c>
      <c r="B41" t="s">
        <v>99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100</v>
      </c>
      <c r="B42" t="s">
        <v>101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102</v>
      </c>
      <c r="B43" t="s">
        <v>103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E49" sqref="E49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5.42578125" bestFit="1" customWidth="1"/>
  </cols>
  <sheetData>
    <row r="1" spans="1:3" x14ac:dyDescent="0.25">
      <c r="A1" s="5" t="s">
        <v>374</v>
      </c>
      <c r="B1" s="5" t="s">
        <v>375</v>
      </c>
      <c r="C1" s="5" t="s">
        <v>376</v>
      </c>
    </row>
    <row r="2" spans="1:3" ht="30" x14ac:dyDescent="0.25">
      <c r="A2" t="s">
        <v>377</v>
      </c>
      <c r="B2" s="4" t="s">
        <v>378</v>
      </c>
      <c r="C2">
        <v>320</v>
      </c>
    </row>
    <row r="3" spans="1:3" ht="30" x14ac:dyDescent="0.25">
      <c r="A3" t="s">
        <v>379</v>
      </c>
      <c r="B3" s="4" t="s">
        <v>380</v>
      </c>
      <c r="C3">
        <v>960</v>
      </c>
    </row>
    <row r="4" spans="1:3" x14ac:dyDescent="0.25">
      <c r="A4" t="s">
        <v>381</v>
      </c>
      <c r="B4" t="s">
        <v>382</v>
      </c>
      <c r="C4">
        <v>1600</v>
      </c>
    </row>
    <row r="5" spans="1:3" ht="30" x14ac:dyDescent="0.25">
      <c r="A5" t="s">
        <v>13</v>
      </c>
      <c r="B5" s="4" t="s">
        <v>383</v>
      </c>
      <c r="C5">
        <v>400</v>
      </c>
    </row>
    <row r="6" spans="1:3" ht="45" x14ac:dyDescent="0.25">
      <c r="A6" t="s">
        <v>384</v>
      </c>
      <c r="B6" s="4" t="s">
        <v>385</v>
      </c>
      <c r="C6">
        <v>600</v>
      </c>
    </row>
    <row r="7" spans="1:3" ht="30" x14ac:dyDescent="0.25">
      <c r="A7" t="s">
        <v>17</v>
      </c>
      <c r="B7" s="4" t="s">
        <v>386</v>
      </c>
      <c r="C7">
        <v>120</v>
      </c>
    </row>
    <row r="8" spans="1:3" x14ac:dyDescent="0.25">
      <c r="A8" s="3"/>
    </row>
    <row r="9" spans="1:3" ht="15.75" thickBot="1" x14ac:dyDescent="0.3">
      <c r="A9" s="6" t="s">
        <v>387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8"/>
  <sheetViews>
    <sheetView workbookViewId="0"/>
  </sheetViews>
  <sheetFormatPr baseColWidth="10" defaultColWidth="10.7109375" defaultRowHeight="15" x14ac:dyDescent="0.25"/>
  <cols>
    <col min="1" max="1" width="20" bestFit="1" customWidth="1"/>
    <col min="2" max="2" width="14.140625" bestFit="1" customWidth="1"/>
  </cols>
  <sheetData>
    <row r="1" spans="1:2" x14ac:dyDescent="0.25">
      <c r="A1" t="s">
        <v>3</v>
      </c>
    </row>
    <row r="2" spans="1:2" x14ac:dyDescent="0.25">
      <c r="A2" s="17">
        <v>1</v>
      </c>
      <c r="B2" t="s">
        <v>366</v>
      </c>
    </row>
    <row r="3" spans="1:2" x14ac:dyDescent="0.25">
      <c r="A3" s="18">
        <v>2</v>
      </c>
      <c r="B3" t="s">
        <v>367</v>
      </c>
    </row>
    <row r="4" spans="1:2" x14ac:dyDescent="0.25">
      <c r="A4" s="19">
        <v>3</v>
      </c>
      <c r="B4" t="s">
        <v>365</v>
      </c>
    </row>
    <row r="6" spans="1:2" x14ac:dyDescent="0.25">
      <c r="A6" t="s">
        <v>388</v>
      </c>
    </row>
    <row r="7" spans="1:2" x14ac:dyDescent="0.25">
      <c r="A7" t="s">
        <v>389</v>
      </c>
    </row>
    <row r="8" spans="1:2" x14ac:dyDescent="0.25">
      <c r="A8" t="s">
        <v>390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  <_Version xmlns="http://schemas.microsoft.com/sharepoint/v3/fields" xsi:nil="true"/>
    <_DCDateModified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6" ma:contentTypeDescription="Ein neues Dokument erstellen." ma:contentTypeScope="" ma:versionID="489bd98e3c3cf902dd88680a5aa99a86">
  <xsd:schema xmlns:xsd="http://www.w3.org/2001/XMLSchema" xmlns:xs="http://www.w3.org/2001/XMLSchema" xmlns:p="http://schemas.microsoft.com/office/2006/metadata/properties" xmlns:ns2="184f97ed-d945-4e2b-99fb-8c29b51cdd54" xmlns:ns3="d95b54d8-9ccd-4c6e-b2f5-abf406a92e6e" xmlns:ns4="http://schemas.microsoft.com/sharepoint/v3/fields" targetNamespace="http://schemas.microsoft.com/office/2006/metadata/properties" ma:root="true" ma:fieldsID="b3b9c9e693e87a94522054846746675d" ns2:_="" ns3:_="" ns4:_="">
    <xsd:import namespace="184f97ed-d945-4e2b-99fb-8c29b51cdd54"/>
    <xsd:import namespace="d95b54d8-9ccd-4c6e-b2f5-abf406a92e6e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4:_Version" minOccurs="0"/>
                <xsd:element ref="ns4:_DCDateModified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sion" ma:internalName="_Version">
      <xsd:simpleType>
        <xsd:restriction base="dms:Text"/>
      </xsd:simpleType>
    </xsd:element>
    <xsd:element name="_DCDateModified" ma:index="21" nillable="true" ma:displayName="Geändert am" ma:description="Das Datum, an dem diese Ressource zuletzt geändert wurde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schemas.microsoft.com/office/infopath/2007/PartnerControls"/>
    <ds:schemaRef ds:uri="d95b54d8-9ccd-4c6e-b2f5-abf406a92e6e"/>
    <ds:schemaRef ds:uri="184f97ed-d945-4e2b-99fb-8c29b51cdd54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C5A3710B-F345-4BF0-B45C-522359070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f97ed-d945-4e2b-99fb-8c29b51cdd54"/>
    <ds:schemaRef ds:uri="d95b54d8-9ccd-4c6e-b2f5-abf406a92e6e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Hauptübersicht</vt:lpstr>
      <vt:lpstr>Gesamtübersicht</vt:lpstr>
      <vt:lpstr>Übersicht_Fächer</vt:lpstr>
      <vt:lpstr>Übersicht_Punkte</vt:lpstr>
      <vt:lpstr>Admin</vt:lpstr>
      <vt:lpstr>Status_Fach</vt:lpstr>
      <vt:lpstr>Uebersicht_Grundstudium</vt:lpstr>
      <vt:lpstr>Uebersicht_Kommunikation</vt:lpstr>
      <vt:lpstr>Uebersicht_Softwareentwicklung</vt:lpstr>
      <vt:lpstr>Uebersicht_Systemtechnik</vt:lpstr>
      <vt:lpstr>Vertiefungsrichtung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cp:lastPrinted>2023-04-29T09:10:36Z</cp:lastPrinted>
  <dcterms:created xsi:type="dcterms:W3CDTF">2022-04-04T13:39:51Z</dcterms:created>
  <dcterms:modified xsi:type="dcterms:W3CDTF">2023-12-05T16:01:17Z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