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github\Undergraduate\Aero210\homework_twelve\"/>
    </mc:Choice>
  </mc:AlternateContent>
  <bookViews>
    <workbookView xWindow="0" yWindow="0" windowWidth="1920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8" i="1" l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H3" i="1" l="1"/>
  <c r="P4" i="1"/>
  <c r="N3" i="1"/>
  <c r="I4" i="1"/>
  <c r="I3" i="1"/>
  <c r="T3" i="1"/>
  <c r="M4" i="1" l="1"/>
  <c r="F4" i="1"/>
  <c r="J4" i="1" s="1"/>
  <c r="K4" i="1" s="1"/>
  <c r="F3" i="1"/>
  <c r="J3" i="1" s="1"/>
  <c r="AH3" i="1"/>
  <c r="B9" i="1"/>
  <c r="B7" i="1"/>
  <c r="O4" i="1" s="1"/>
  <c r="Y4" i="1" s="1"/>
  <c r="AJ4" i="1" s="1"/>
  <c r="H4" i="1" l="1"/>
  <c r="L4" i="1" s="1"/>
  <c r="N4" i="1" s="1"/>
  <c r="O3" i="1"/>
  <c r="Y3" i="1" s="1"/>
  <c r="AJ3" i="1" s="1"/>
  <c r="AC4" i="1"/>
  <c r="AE4" i="1" s="1"/>
  <c r="AD4" i="1"/>
  <c r="AD3" i="1"/>
  <c r="AC3" i="1"/>
  <c r="AE3" i="1" s="1"/>
  <c r="AG3" i="1" l="1"/>
  <c r="AG4" i="1"/>
  <c r="Z3" i="1"/>
  <c r="AI4" i="1"/>
  <c r="AI3" i="1"/>
  <c r="B16" i="1"/>
  <c r="V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E3" i="1"/>
  <c r="E4" i="1" s="1"/>
  <c r="E5" i="1" l="1"/>
  <c r="X5" i="1" s="1"/>
  <c r="X4" i="1"/>
  <c r="E6" i="1"/>
  <c r="U3" i="1"/>
  <c r="R3" i="1"/>
  <c r="W3" i="1" s="1"/>
  <c r="X3" i="1" l="1"/>
  <c r="T4" i="1" s="1"/>
  <c r="E7" i="1"/>
  <c r="X6" i="1"/>
  <c r="AA3" i="1"/>
  <c r="AA4" i="1" s="1"/>
  <c r="AA5" i="1" s="1"/>
  <c r="AA6" i="1" s="1"/>
  <c r="AA7" i="1" s="1"/>
  <c r="B30" i="1"/>
  <c r="V4" i="1" l="1"/>
  <c r="R4" i="1" s="1"/>
  <c r="W4" i="1" s="1"/>
  <c r="AH4" i="1"/>
  <c r="Z4" i="1"/>
  <c r="E8" i="1"/>
  <c r="X7" i="1"/>
  <c r="O5" i="1"/>
  <c r="U4" i="1" l="1"/>
  <c r="F5" i="1" s="1"/>
  <c r="E9" i="1"/>
  <c r="X8" i="1"/>
  <c r="AA8" i="1"/>
  <c r="AA9" i="1" s="1"/>
  <c r="Q5" i="1"/>
  <c r="P5" i="1" s="1"/>
  <c r="Y5" i="1" s="1"/>
  <c r="AJ5" i="1" s="1"/>
  <c r="T5" i="1"/>
  <c r="AH5" i="1" s="1"/>
  <c r="E10" i="1" l="1"/>
  <c r="X9" i="1"/>
  <c r="Z5" i="1"/>
  <c r="H5" i="1"/>
  <c r="L5" i="1" s="1"/>
  <c r="AH28" i="1"/>
  <c r="AI27" i="1"/>
  <c r="AI25" i="1"/>
  <c r="AI26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T6" i="1"/>
  <c r="G5" i="1"/>
  <c r="E11" i="1" l="1"/>
  <c r="X10" i="1"/>
  <c r="AA10" i="1"/>
  <c r="AA11" i="1" s="1"/>
  <c r="AC5" i="1"/>
  <c r="AE5" i="1" s="1"/>
  <c r="G6" i="1"/>
  <c r="I5" i="1"/>
  <c r="M5" i="1" s="1"/>
  <c r="N5" i="1" s="1"/>
  <c r="AD5" i="1"/>
  <c r="AH6" i="1"/>
  <c r="J5" i="1"/>
  <c r="T7" i="1"/>
  <c r="AA12" i="1" l="1"/>
  <c r="E12" i="1"/>
  <c r="X11" i="1"/>
  <c r="AG5" i="1"/>
  <c r="T8" i="1"/>
  <c r="AH7" i="1"/>
  <c r="V5" i="1"/>
  <c r="K5" i="1"/>
  <c r="O6" i="1"/>
  <c r="I6" i="1"/>
  <c r="M6" i="1" s="1"/>
  <c r="AD6" i="1"/>
  <c r="AC6" i="1"/>
  <c r="AE6" i="1" s="1"/>
  <c r="E13" i="1" l="1"/>
  <c r="X12" i="1"/>
  <c r="AA13" i="1"/>
  <c r="AG6" i="1"/>
  <c r="AH8" i="1"/>
  <c r="T9" i="1"/>
  <c r="U5" i="1"/>
  <c r="R5" i="1"/>
  <c r="Q6" i="1"/>
  <c r="P6" i="1" s="1"/>
  <c r="Y6" i="1" s="1"/>
  <c r="AJ6" i="1" s="1"/>
  <c r="Z6" i="1"/>
  <c r="E14" i="1" l="1"/>
  <c r="X13" i="1"/>
  <c r="W5" i="1"/>
  <c r="F6" i="1"/>
  <c r="T10" i="1"/>
  <c r="AH9" i="1"/>
  <c r="E15" i="1" l="1"/>
  <c r="X14" i="1"/>
  <c r="AA14" i="1"/>
  <c r="AA15" i="1" s="1"/>
  <c r="H6" i="1"/>
  <c r="L6" i="1" s="1"/>
  <c r="J6" i="1"/>
  <c r="AH10" i="1"/>
  <c r="T11" i="1"/>
  <c r="E16" i="1" l="1"/>
  <c r="X15" i="1"/>
  <c r="T12" i="1"/>
  <c r="AH11" i="1"/>
  <c r="K6" i="1"/>
  <c r="V6" i="1"/>
  <c r="O7" i="1"/>
  <c r="G7" i="1"/>
  <c r="N6" i="1"/>
  <c r="E17" i="1" l="1"/>
  <c r="X16" i="1"/>
  <c r="AA16" i="1"/>
  <c r="AA17" i="1" s="1"/>
  <c r="AH12" i="1"/>
  <c r="T13" i="1"/>
  <c r="U6" i="1"/>
  <c r="R6" i="1"/>
  <c r="I7" i="1"/>
  <c r="M7" i="1" s="1"/>
  <c r="AC7" i="1"/>
  <c r="AE7" i="1" s="1"/>
  <c r="AD7" i="1"/>
  <c r="Q7" i="1"/>
  <c r="P7" i="1" s="1"/>
  <c r="Y7" i="1" s="1"/>
  <c r="AJ7" i="1" s="1"/>
  <c r="Z7" i="1"/>
  <c r="AA18" i="1" l="1"/>
  <c r="E18" i="1"/>
  <c r="X17" i="1"/>
  <c r="AH13" i="1"/>
  <c r="T14" i="1"/>
  <c r="W6" i="1"/>
  <c r="F7" i="1"/>
  <c r="AG7" i="1"/>
  <c r="E19" i="1" l="1"/>
  <c r="X18" i="1"/>
  <c r="AA19" i="1"/>
  <c r="J7" i="1"/>
  <c r="H7" i="1"/>
  <c r="L7" i="1" s="1"/>
  <c r="AH14" i="1"/>
  <c r="T15" i="1"/>
  <c r="AA20" i="1" l="1"/>
  <c r="E20" i="1"/>
  <c r="X19" i="1"/>
  <c r="N7" i="1"/>
  <c r="G8" i="1"/>
  <c r="T16" i="1"/>
  <c r="AH15" i="1"/>
  <c r="K7" i="1"/>
  <c r="V7" i="1"/>
  <c r="O8" i="1"/>
  <c r="E21" i="1" l="1"/>
  <c r="AA21" i="1" s="1"/>
  <c r="X20" i="1"/>
  <c r="I8" i="1"/>
  <c r="M8" i="1" s="1"/>
  <c r="AD8" i="1"/>
  <c r="AC8" i="1"/>
  <c r="AE8" i="1" s="1"/>
  <c r="Q8" i="1"/>
  <c r="P8" i="1" s="1"/>
  <c r="Y8" i="1" s="1"/>
  <c r="AJ8" i="1" s="1"/>
  <c r="Z8" i="1"/>
  <c r="U7" i="1"/>
  <c r="R7" i="1"/>
  <c r="AH16" i="1"/>
  <c r="T17" i="1"/>
  <c r="AA22" i="1" l="1"/>
  <c r="E22" i="1"/>
  <c r="X21" i="1"/>
  <c r="AH17" i="1"/>
  <c r="T18" i="1"/>
  <c r="W7" i="1"/>
  <c r="F8" i="1"/>
  <c r="AG8" i="1"/>
  <c r="E23" i="1" l="1"/>
  <c r="X22" i="1"/>
  <c r="AA23" i="1"/>
  <c r="H8" i="1"/>
  <c r="L8" i="1" s="1"/>
  <c r="J8" i="1"/>
  <c r="T19" i="1"/>
  <c r="AH18" i="1"/>
  <c r="AA24" i="1" l="1"/>
  <c r="E24" i="1"/>
  <c r="X23" i="1"/>
  <c r="K8" i="1"/>
  <c r="V8" i="1"/>
  <c r="O9" i="1"/>
  <c r="AH19" i="1"/>
  <c r="T20" i="1"/>
  <c r="G9" i="1"/>
  <c r="N8" i="1"/>
  <c r="E25" i="1" l="1"/>
  <c r="X24" i="1"/>
  <c r="AA25" i="1"/>
  <c r="U8" i="1"/>
  <c r="R8" i="1"/>
  <c r="I9" i="1"/>
  <c r="M9" i="1" s="1"/>
  <c r="AC9" i="1"/>
  <c r="AE9" i="1" s="1"/>
  <c r="AD9" i="1"/>
  <c r="T21" i="1"/>
  <c r="AH20" i="1"/>
  <c r="Q9" i="1"/>
  <c r="P9" i="1" s="1"/>
  <c r="Y9" i="1" s="1"/>
  <c r="AJ9" i="1" s="1"/>
  <c r="Z9" i="1"/>
  <c r="E26" i="1" l="1"/>
  <c r="X25" i="1"/>
  <c r="W8" i="1"/>
  <c r="F9" i="1"/>
  <c r="AG9" i="1"/>
  <c r="T22" i="1"/>
  <c r="AH21" i="1"/>
  <c r="E27" i="1" l="1"/>
  <c r="X26" i="1"/>
  <c r="AA26" i="1"/>
  <c r="AA27" i="1" s="1"/>
  <c r="AH22" i="1"/>
  <c r="T23" i="1"/>
  <c r="J9" i="1"/>
  <c r="H9" i="1"/>
  <c r="L9" i="1" s="1"/>
  <c r="E28" i="1" l="1"/>
  <c r="X28" i="1" s="1"/>
  <c r="X27" i="1"/>
  <c r="AH23" i="1"/>
  <c r="T24" i="1"/>
  <c r="N9" i="1"/>
  <c r="G10" i="1"/>
  <c r="K9" i="1"/>
  <c r="V9" i="1"/>
  <c r="O10" i="1"/>
  <c r="AA28" i="1" l="1"/>
  <c r="Q10" i="1"/>
  <c r="P10" i="1" s="1"/>
  <c r="Y10" i="1" s="1"/>
  <c r="AJ10" i="1" s="1"/>
  <c r="Z10" i="1"/>
  <c r="I10" i="1"/>
  <c r="M10" i="1" s="1"/>
  <c r="AD10" i="1"/>
  <c r="AG10" i="1" s="1"/>
  <c r="AC10" i="1"/>
  <c r="AE10" i="1" s="1"/>
  <c r="T25" i="1"/>
  <c r="AH24" i="1"/>
  <c r="R9" i="1"/>
  <c r="U9" i="1"/>
  <c r="W9" i="1" l="1"/>
  <c r="F10" i="1"/>
  <c r="AH25" i="1"/>
  <c r="T26" i="1"/>
  <c r="H10" i="1" l="1"/>
  <c r="L10" i="1" s="1"/>
  <c r="J10" i="1"/>
  <c r="AH26" i="1"/>
  <c r="T27" i="1"/>
  <c r="T28" i="1" l="1"/>
  <c r="AH27" i="1"/>
  <c r="K10" i="1"/>
  <c r="V10" i="1"/>
  <c r="O11" i="1"/>
  <c r="N10" i="1"/>
  <c r="G11" i="1"/>
  <c r="AC11" i="1" l="1"/>
  <c r="AE11" i="1" s="1"/>
  <c r="I11" i="1"/>
  <c r="M11" i="1" s="1"/>
  <c r="AD11" i="1"/>
  <c r="R10" i="1"/>
  <c r="U10" i="1"/>
  <c r="Q11" i="1"/>
  <c r="P11" i="1" s="1"/>
  <c r="Y11" i="1" s="1"/>
  <c r="AJ11" i="1" s="1"/>
  <c r="Z11" i="1"/>
  <c r="AG11" i="1" l="1"/>
  <c r="W10" i="1"/>
  <c r="F11" i="1"/>
  <c r="J11" i="1" l="1"/>
  <c r="H11" i="1"/>
  <c r="L11" i="1" s="1"/>
  <c r="G12" i="1" l="1"/>
  <c r="N11" i="1"/>
  <c r="K11" i="1"/>
  <c r="V11" i="1"/>
  <c r="O12" i="1"/>
  <c r="U11" i="1" l="1"/>
  <c r="R11" i="1"/>
  <c r="Q12" i="1"/>
  <c r="P12" i="1" s="1"/>
  <c r="Y12" i="1" s="1"/>
  <c r="AJ12" i="1" s="1"/>
  <c r="Z12" i="1"/>
  <c r="AC12" i="1"/>
  <c r="AE12" i="1" s="1"/>
  <c r="I12" i="1"/>
  <c r="M12" i="1" s="1"/>
  <c r="AD12" i="1"/>
  <c r="AG12" i="1" l="1"/>
  <c r="W11" i="1"/>
  <c r="F12" i="1"/>
  <c r="J12" i="1" l="1"/>
  <c r="H12" i="1"/>
  <c r="L12" i="1" s="1"/>
  <c r="K12" i="1" l="1"/>
  <c r="V12" i="1"/>
  <c r="O13" i="1"/>
  <c r="G13" i="1"/>
  <c r="N12" i="1"/>
  <c r="Q13" i="1" l="1"/>
  <c r="P13" i="1" s="1"/>
  <c r="Y13" i="1" s="1"/>
  <c r="AJ13" i="1" s="1"/>
  <c r="Z13" i="1"/>
  <c r="U12" i="1"/>
  <c r="R12" i="1"/>
  <c r="AD13" i="1"/>
  <c r="AG13" i="1" s="1"/>
  <c r="AC13" i="1"/>
  <c r="AE13" i="1" s="1"/>
  <c r="I13" i="1"/>
  <c r="M13" i="1" s="1"/>
  <c r="W12" i="1" l="1"/>
  <c r="F13" i="1"/>
  <c r="J13" i="1" l="1"/>
  <c r="H13" i="1"/>
  <c r="L13" i="1" s="1"/>
  <c r="K13" i="1" l="1"/>
  <c r="V13" i="1"/>
  <c r="O14" i="1"/>
  <c r="N13" i="1"/>
  <c r="G14" i="1"/>
  <c r="AC14" i="1" l="1"/>
  <c r="AE14" i="1" s="1"/>
  <c r="AD14" i="1"/>
  <c r="I14" i="1"/>
  <c r="M14" i="1" s="1"/>
  <c r="U13" i="1"/>
  <c r="R13" i="1"/>
  <c r="Q14" i="1"/>
  <c r="P14" i="1" s="1"/>
  <c r="Y14" i="1" s="1"/>
  <c r="AJ14" i="1" s="1"/>
  <c r="Z14" i="1"/>
  <c r="AG14" i="1" l="1"/>
  <c r="W13" i="1"/>
  <c r="F14" i="1"/>
  <c r="J14" i="1" l="1"/>
  <c r="H14" i="1"/>
  <c r="L14" i="1" s="1"/>
  <c r="N14" i="1" l="1"/>
  <c r="G15" i="1"/>
  <c r="K14" i="1"/>
  <c r="V14" i="1"/>
  <c r="O15" i="1"/>
  <c r="U14" i="1" l="1"/>
  <c r="R14" i="1"/>
  <c r="AD15" i="1"/>
  <c r="AC15" i="1"/>
  <c r="AE15" i="1" s="1"/>
  <c r="I15" i="1"/>
  <c r="M15" i="1" s="1"/>
  <c r="Q15" i="1"/>
  <c r="P15" i="1" s="1"/>
  <c r="Y15" i="1" s="1"/>
  <c r="AJ15" i="1" s="1"/>
  <c r="Z15" i="1"/>
  <c r="AG15" i="1" l="1"/>
  <c r="W14" i="1"/>
  <c r="F15" i="1"/>
  <c r="J15" i="1" l="1"/>
  <c r="H15" i="1"/>
  <c r="L15" i="1" s="1"/>
  <c r="N15" i="1" l="1"/>
  <c r="G16" i="1"/>
  <c r="K15" i="1"/>
  <c r="V15" i="1"/>
  <c r="O16" i="1"/>
  <c r="U15" i="1" l="1"/>
  <c r="R15" i="1"/>
  <c r="Q16" i="1"/>
  <c r="P16" i="1" s="1"/>
  <c r="Y16" i="1" s="1"/>
  <c r="AJ16" i="1" s="1"/>
  <c r="Z16" i="1"/>
  <c r="I16" i="1"/>
  <c r="M16" i="1" s="1"/>
  <c r="AC16" i="1"/>
  <c r="AE16" i="1" s="1"/>
  <c r="AD16" i="1"/>
  <c r="AG16" i="1" l="1"/>
  <c r="W15" i="1"/>
  <c r="F16" i="1"/>
  <c r="J16" i="1" l="1"/>
  <c r="H16" i="1"/>
  <c r="L16" i="1" s="1"/>
  <c r="K16" i="1" l="1"/>
  <c r="V16" i="1"/>
  <c r="O17" i="1"/>
  <c r="N16" i="1"/>
  <c r="G17" i="1"/>
  <c r="Q17" i="1" l="1"/>
  <c r="P17" i="1" s="1"/>
  <c r="Y17" i="1" s="1"/>
  <c r="AJ17" i="1" s="1"/>
  <c r="Z17" i="1"/>
  <c r="U16" i="1"/>
  <c r="R16" i="1"/>
  <c r="I17" i="1"/>
  <c r="M17" i="1" s="1"/>
  <c r="AD17" i="1"/>
  <c r="AC17" i="1"/>
  <c r="AE17" i="1" s="1"/>
  <c r="W16" i="1" l="1"/>
  <c r="F17" i="1"/>
  <c r="AG17" i="1"/>
  <c r="J17" i="1" l="1"/>
  <c r="H17" i="1"/>
  <c r="L17" i="1" s="1"/>
  <c r="G18" i="1" l="1"/>
  <c r="N17" i="1"/>
  <c r="K17" i="1"/>
  <c r="V17" i="1"/>
  <c r="O18" i="1"/>
  <c r="AC18" i="1" l="1"/>
  <c r="AE18" i="1" s="1"/>
  <c r="AD18" i="1"/>
  <c r="I18" i="1"/>
  <c r="M18" i="1" s="1"/>
  <c r="R17" i="1"/>
  <c r="U17" i="1"/>
  <c r="Q18" i="1"/>
  <c r="P18" i="1" s="1"/>
  <c r="Y18" i="1" s="1"/>
  <c r="AJ18" i="1" s="1"/>
  <c r="Z18" i="1"/>
  <c r="W17" i="1" l="1"/>
  <c r="F18" i="1"/>
  <c r="AG18" i="1"/>
  <c r="J18" i="1" l="1"/>
  <c r="H18" i="1"/>
  <c r="L18" i="1" s="1"/>
  <c r="N18" i="1" l="1"/>
  <c r="G19" i="1"/>
  <c r="K18" i="1"/>
  <c r="V18" i="1"/>
  <c r="O19" i="1"/>
  <c r="R18" i="1" l="1"/>
  <c r="U18" i="1"/>
  <c r="AD19" i="1"/>
  <c r="AC19" i="1"/>
  <c r="AE19" i="1" s="1"/>
  <c r="I19" i="1"/>
  <c r="M19" i="1" s="1"/>
  <c r="Q19" i="1"/>
  <c r="P19" i="1" s="1"/>
  <c r="Y19" i="1" s="1"/>
  <c r="AJ19" i="1" s="1"/>
  <c r="Z19" i="1"/>
  <c r="AG19" i="1" l="1"/>
  <c r="W18" i="1"/>
  <c r="F19" i="1"/>
  <c r="H19" i="1" l="1"/>
  <c r="L19" i="1" s="1"/>
  <c r="J19" i="1"/>
  <c r="N19" i="1" l="1"/>
  <c r="G20" i="1"/>
  <c r="K19" i="1"/>
  <c r="V19" i="1"/>
  <c r="O20" i="1"/>
  <c r="R19" i="1" l="1"/>
  <c r="U19" i="1"/>
  <c r="Q20" i="1"/>
  <c r="P20" i="1" s="1"/>
  <c r="Y20" i="1" s="1"/>
  <c r="AJ20" i="1" s="1"/>
  <c r="Z20" i="1"/>
  <c r="AD20" i="1"/>
  <c r="AC20" i="1"/>
  <c r="AE20" i="1" s="1"/>
  <c r="I20" i="1"/>
  <c r="M20" i="1" s="1"/>
  <c r="AG20" i="1" l="1"/>
  <c r="W19" i="1"/>
  <c r="F20" i="1"/>
  <c r="J20" i="1" l="1"/>
  <c r="H20" i="1"/>
  <c r="L20" i="1" s="1"/>
  <c r="N20" i="1" l="1"/>
  <c r="G21" i="1"/>
  <c r="K20" i="1"/>
  <c r="V20" i="1"/>
  <c r="O21" i="1"/>
  <c r="U20" i="1" l="1"/>
  <c r="R20" i="1"/>
  <c r="I21" i="1"/>
  <c r="M21" i="1" s="1"/>
  <c r="AC21" i="1"/>
  <c r="AE21" i="1" s="1"/>
  <c r="AD21" i="1"/>
  <c r="Q21" i="1"/>
  <c r="P21" i="1" s="1"/>
  <c r="Y21" i="1" s="1"/>
  <c r="AJ21" i="1" s="1"/>
  <c r="Z21" i="1"/>
  <c r="AG21" i="1" l="1"/>
  <c r="W20" i="1"/>
  <c r="F21" i="1"/>
  <c r="J21" i="1" l="1"/>
  <c r="H21" i="1"/>
  <c r="L21" i="1" s="1"/>
  <c r="N21" i="1" l="1"/>
  <c r="G22" i="1"/>
  <c r="K21" i="1"/>
  <c r="V21" i="1"/>
  <c r="O22" i="1"/>
  <c r="R21" i="1" l="1"/>
  <c r="U21" i="1"/>
  <c r="Q22" i="1"/>
  <c r="P22" i="1" s="1"/>
  <c r="Y22" i="1" s="1"/>
  <c r="AJ22" i="1" s="1"/>
  <c r="Z22" i="1"/>
  <c r="AC22" i="1"/>
  <c r="AE22" i="1" s="1"/>
  <c r="AD22" i="1"/>
  <c r="I22" i="1"/>
  <c r="M22" i="1" s="1"/>
  <c r="AG22" i="1" l="1"/>
  <c r="W21" i="1"/>
  <c r="F22" i="1"/>
  <c r="J22" i="1" l="1"/>
  <c r="H22" i="1"/>
  <c r="L22" i="1" s="1"/>
  <c r="N22" i="1" l="1"/>
  <c r="G23" i="1"/>
  <c r="K22" i="1"/>
  <c r="V22" i="1"/>
  <c r="O23" i="1"/>
  <c r="Q23" i="1" l="1"/>
  <c r="P23" i="1" s="1"/>
  <c r="Y23" i="1" s="1"/>
  <c r="AJ23" i="1" s="1"/>
  <c r="Z23" i="1"/>
  <c r="U22" i="1"/>
  <c r="R22" i="1"/>
  <c r="I23" i="1"/>
  <c r="M23" i="1" s="1"/>
  <c r="AD23" i="1"/>
  <c r="AC23" i="1"/>
  <c r="AE23" i="1" s="1"/>
  <c r="W22" i="1" l="1"/>
  <c r="F23" i="1"/>
  <c r="AG23" i="1"/>
  <c r="J23" i="1" l="1"/>
  <c r="H23" i="1"/>
  <c r="L23" i="1" s="1"/>
  <c r="G24" i="1" l="1"/>
  <c r="N23" i="1"/>
  <c r="K23" i="1"/>
  <c r="V23" i="1"/>
  <c r="O24" i="1"/>
  <c r="R23" i="1" l="1"/>
  <c r="U23" i="1"/>
  <c r="Q24" i="1"/>
  <c r="P24" i="1" s="1"/>
  <c r="Y24" i="1" s="1"/>
  <c r="AJ24" i="1" s="1"/>
  <c r="Z24" i="1"/>
  <c r="I24" i="1"/>
  <c r="M24" i="1" s="1"/>
  <c r="AD24" i="1"/>
  <c r="AC24" i="1"/>
  <c r="AE24" i="1" s="1"/>
  <c r="AG24" i="1" l="1"/>
  <c r="W23" i="1"/>
  <c r="F24" i="1"/>
  <c r="J24" i="1" l="1"/>
  <c r="H24" i="1"/>
  <c r="L24" i="1" s="1"/>
  <c r="N24" i="1" l="1"/>
  <c r="G25" i="1"/>
  <c r="K24" i="1"/>
  <c r="V24" i="1"/>
  <c r="O25" i="1"/>
  <c r="Q25" i="1" l="1"/>
  <c r="P25" i="1" s="1"/>
  <c r="Y25" i="1" s="1"/>
  <c r="AJ25" i="1" s="1"/>
  <c r="Z25" i="1"/>
  <c r="R24" i="1"/>
  <c r="U24" i="1"/>
  <c r="I25" i="1"/>
  <c r="M25" i="1" s="1"/>
  <c r="AD25" i="1"/>
  <c r="AC25" i="1"/>
  <c r="AE25" i="1" s="1"/>
  <c r="W24" i="1" l="1"/>
  <c r="F25" i="1"/>
  <c r="AG25" i="1"/>
  <c r="J25" i="1" l="1"/>
  <c r="H25" i="1"/>
  <c r="L25" i="1" s="1"/>
  <c r="K25" i="1" l="1"/>
  <c r="V25" i="1"/>
  <c r="O26" i="1"/>
  <c r="G26" i="1"/>
  <c r="N25" i="1"/>
  <c r="Q26" i="1" l="1"/>
  <c r="P26" i="1" s="1"/>
  <c r="Y26" i="1" s="1"/>
  <c r="AJ26" i="1" s="1"/>
  <c r="Z26" i="1"/>
  <c r="U25" i="1"/>
  <c r="R25" i="1"/>
  <c r="AD26" i="1"/>
  <c r="AG26" i="1" s="1"/>
  <c r="AC26" i="1"/>
  <c r="AE26" i="1" s="1"/>
  <c r="I26" i="1"/>
  <c r="M26" i="1" s="1"/>
  <c r="W25" i="1" l="1"/>
  <c r="F26" i="1"/>
  <c r="J26" i="1" l="1"/>
  <c r="H26" i="1"/>
  <c r="L26" i="1" s="1"/>
  <c r="N26" i="1" l="1"/>
  <c r="G27" i="1"/>
  <c r="K26" i="1"/>
  <c r="V26" i="1"/>
  <c r="O27" i="1"/>
  <c r="U26" i="1" l="1"/>
  <c r="R26" i="1"/>
  <c r="Q27" i="1"/>
  <c r="P27" i="1" s="1"/>
  <c r="Y27" i="1" s="1"/>
  <c r="AJ27" i="1" s="1"/>
  <c r="Z27" i="1"/>
  <c r="AD27" i="1"/>
  <c r="I27" i="1"/>
  <c r="M27" i="1" s="1"/>
  <c r="AC27" i="1"/>
  <c r="AE27" i="1" s="1"/>
  <c r="W26" i="1" l="1"/>
  <c r="F27" i="1"/>
  <c r="AG27" i="1"/>
  <c r="J27" i="1" l="1"/>
  <c r="H27" i="1"/>
  <c r="L27" i="1" s="1"/>
  <c r="N27" i="1" l="1"/>
  <c r="G28" i="1"/>
  <c r="K27" i="1"/>
  <c r="V27" i="1"/>
  <c r="O28" i="1"/>
  <c r="Q28" i="1" l="1"/>
  <c r="P28" i="1" s="1"/>
  <c r="Y28" i="1" s="1"/>
  <c r="AI28" i="1" s="1"/>
  <c r="Z28" i="1"/>
  <c r="U27" i="1"/>
  <c r="R27" i="1"/>
  <c r="AC28" i="1"/>
  <c r="AE28" i="1" s="1"/>
  <c r="AD28" i="1"/>
  <c r="I28" i="1"/>
  <c r="M28" i="1" s="1"/>
  <c r="W27" i="1" l="1"/>
  <c r="F28" i="1"/>
  <c r="AG28" i="1"/>
  <c r="J28" i="1" l="1"/>
  <c r="H28" i="1"/>
  <c r="L28" i="1" s="1"/>
  <c r="N28" i="1" s="1"/>
  <c r="K28" i="1" l="1"/>
  <c r="V28" i="1"/>
  <c r="U28" i="1" l="1"/>
  <c r="R28" i="1"/>
  <c r="W28" i="1" s="1"/>
</calcChain>
</file>

<file path=xl/comments1.xml><?xml version="1.0" encoding="utf-8"?>
<comments xmlns="http://schemas.openxmlformats.org/spreadsheetml/2006/main">
  <authors>
    <author>Microsoft Office User</author>
  </authors>
  <commentList>
    <comment ref="E2" authorId="0" shapeId="0">
      <text>
        <r>
          <rPr>
            <sz val="10"/>
            <color indexed="81"/>
            <rFont val="Calibri"/>
            <family val="2"/>
          </rPr>
          <t>Time
t_(i+1) = t_i + deltat
Current time = previous time + fixed delta t</t>
        </r>
      </text>
    </comment>
    <comment ref="F2" authorId="0" shapeId="0">
      <text>
        <r>
          <rPr>
            <sz val="10"/>
            <color indexed="81"/>
            <rFont val="Calibri"/>
            <family val="2"/>
          </rPr>
          <t>X position
x_(i+1) = x_i + (vx_i)(dt)+ (.5)(ax_i)dt^2
Current x position = previous x position + previous x velocity * dt</t>
        </r>
      </text>
    </comment>
    <comment ref="G2" authorId="0" shapeId="0">
      <text>
        <r>
          <rPr>
            <sz val="10"/>
            <color indexed="81"/>
            <rFont val="Calibri"/>
            <family val="2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H2" authorId="0" shapeId="0">
      <text>
        <r>
          <rPr>
            <sz val="10"/>
            <color indexed="81"/>
            <rFont val="Calibri"/>
            <family val="2"/>
          </rPr>
          <t>Velocity in the x-direction
vx_(i+1) = vx_i + (ax_i)(dt)
Current x velocity = previous x velocity + x accelertion * dt</t>
        </r>
      </text>
    </comment>
    <comment ref="I2" authorId="0" shapeId="0">
      <text>
        <r>
          <rPr>
            <sz val="10"/>
            <color indexed="81"/>
            <rFont val="Calibri"/>
            <family val="2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  <family val="2"/>
          </rPr>
          <t xml:space="preserve">
</t>
        </r>
      </text>
    </comment>
    <comment ref="J2" authorId="0" shapeId="0">
      <text>
        <r>
          <rPr>
            <sz val="10"/>
            <color indexed="81"/>
            <rFont val="Calibri"/>
            <family val="2"/>
          </rPr>
          <t>Magnitude of velocity
v_i = sqrt((vx_i)^2 + (vy_i)^2)</t>
        </r>
      </text>
    </comment>
    <comment ref="L2" authorId="0" shapeId="0">
      <text>
        <r>
          <rPr>
            <sz val="10"/>
            <color indexed="81"/>
            <rFont val="Calibri"/>
            <family val="2"/>
          </rPr>
          <t>Acceleration in the x direction
ax = ((drag_x + thrust_x) / mass) + gLx</t>
        </r>
      </text>
    </comment>
    <comment ref="M2" authorId="0" shapeId="0">
      <text>
        <r>
          <rPr>
            <sz val="10"/>
            <color indexed="81"/>
            <rFont val="Calibri"/>
            <family val="2"/>
          </rPr>
          <t>Acceleration in the y direction
ay = ((drag_y + thrust_y) / mass) + gravity</t>
        </r>
      </text>
    </comment>
    <comment ref="N2" authorId="0" shapeId="0">
      <text>
        <r>
          <rPr>
            <sz val="10"/>
            <color indexed="81"/>
            <rFont val="Calibri"/>
            <family val="2"/>
          </rPr>
          <t>Acceleration magnitude
a = sqrt(ax^2 + ay^2)</t>
        </r>
      </text>
    </comment>
    <comment ref="O2" authorId="0" shapeId="0">
      <text>
        <r>
          <rPr>
            <sz val="10"/>
            <color indexed="81"/>
            <rFont val="Calibri"/>
            <family val="2"/>
          </rPr>
          <t xml:space="preserve">Velocity vector angle
theta = arctan(vy/vx)
</t>
        </r>
      </text>
    </comment>
    <comment ref="P2" authorId="0" shapeId="0">
      <text>
        <r>
          <rPr>
            <sz val="10"/>
            <color indexed="81"/>
            <rFont val="Calibri"/>
            <family val="2"/>
          </rPr>
          <t xml:space="preserve">Derivative of theta
theta'_i = (theta_(i+1) - theta_(i-1))/(2dt)
theta'_i = (next theta value - previous theta value)/(2 dt) </t>
        </r>
      </text>
    </comment>
    <comment ref="Q2" authorId="0" shapeId="0">
      <text>
        <r>
          <rPr>
            <sz val="10"/>
            <color indexed="81"/>
            <rFont val="Calibri"/>
            <family val="2"/>
          </rPr>
          <t xml:space="preserve">Second derivative of theta
theta''_i = (theta'_(i+1) - theta'_(i-1))/(2dt)
theta''_i = (next theta' value - previous theta' value)/(2 dt) </t>
        </r>
      </text>
    </comment>
    <comment ref="S2" authorId="0" shapeId="0">
      <text>
        <r>
          <rPr>
            <sz val="10"/>
            <color indexed="81"/>
            <rFont val="Calibri"/>
            <family val="2"/>
          </rPr>
          <t>Mass
m_(i+1) = mi - (mdot)(dt)
current mass = previous mass - (mass loss)(dt)
IF(thrust &gt; 0, IF(mass &gt; empty mass, apply mass loss, empty mass), previous mass)</t>
        </r>
      </text>
    </comment>
    <comment ref="U2" authorId="0" shapeId="0">
      <text>
        <r>
          <rPr>
            <sz val="10"/>
            <color indexed="81"/>
            <rFont val="Calibri"/>
            <family val="2"/>
          </rPr>
          <t>Coefficient of Drag
IF(Mach &lt; Crossover1, subsonic equation, IF(Mach &lt; Crossover2, transonic equation, supersonic equation)</t>
        </r>
      </text>
    </comment>
    <comment ref="X2" authorId="0" shapeId="0">
      <text>
        <r>
          <rPr>
            <sz val="10"/>
            <color indexed="81"/>
            <rFont val="Calibri"/>
            <family val="2"/>
          </rPr>
          <t>Thrust
Th = (Isp)(g0)(m')
Th = (specific impulse)(standard gravity)(rate of mass loss)
IF(time &gt;= start time, IF(time &lt; stop time, apply thrust, 0), 0)</t>
        </r>
      </text>
    </comment>
    <comment ref="AC2" authorId="0" shape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AD2" authorId="0" shape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AE2" authorId="0" shapeId="0">
      <text>
        <r>
          <rPr>
            <sz val="10"/>
            <color indexed="81"/>
            <rFont val="Calibri"/>
          </rPr>
          <t xml:space="preserve">Temperature
T = 1.6667c - 273.15
</t>
        </r>
      </text>
    </comment>
    <comment ref="AF2" authorId="0" shape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AG2" authorId="0" shape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</commentList>
</comments>
</file>

<file path=xl/sharedStrings.xml><?xml version="1.0" encoding="utf-8"?>
<sst xmlns="http://schemas.openxmlformats.org/spreadsheetml/2006/main" count="82" uniqueCount="75">
  <si>
    <t>Constants</t>
  </si>
  <si>
    <t>lbf</t>
  </si>
  <si>
    <t>Index</t>
  </si>
  <si>
    <t>Delta t</t>
  </si>
  <si>
    <t>Theta</t>
  </si>
  <si>
    <t>alpha</t>
  </si>
  <si>
    <t>Cd</t>
  </si>
  <si>
    <t>Cl</t>
  </si>
  <si>
    <t>Cm</t>
  </si>
  <si>
    <t>I</t>
  </si>
  <si>
    <t>W</t>
  </si>
  <si>
    <t>L</t>
  </si>
  <si>
    <t>F</t>
  </si>
  <si>
    <t>g force</t>
  </si>
  <si>
    <t>Cartesian Kinematics</t>
  </si>
  <si>
    <t>Polar Kinematics</t>
  </si>
  <si>
    <t>Vehicle Information</t>
  </si>
  <si>
    <t>Max thrust (Th_max)</t>
  </si>
  <si>
    <t>Empty weight (We)</t>
  </si>
  <si>
    <t>Max fuel weight (Wf)</t>
  </si>
  <si>
    <t>Fuel rate at full thrust (mdot_max)</t>
  </si>
  <si>
    <t>Radius of gyration (kfz)</t>
  </si>
  <si>
    <t>Mass M.O.I. (Ie)</t>
  </si>
  <si>
    <t>Cd0</t>
  </si>
  <si>
    <t>epsilon</t>
  </si>
  <si>
    <t>AR</t>
  </si>
  <si>
    <t>Gravity</t>
  </si>
  <si>
    <t>S</t>
  </si>
  <si>
    <t>d1</t>
  </si>
  <si>
    <t>d2</t>
  </si>
  <si>
    <t>d3</t>
  </si>
  <si>
    <t>c</t>
  </si>
  <si>
    <t>ft/s^2</t>
  </si>
  <si>
    <t>ft</t>
  </si>
  <si>
    <t>lb/hr</t>
  </si>
  <si>
    <t>lbf*ft^2</t>
  </si>
  <si>
    <t>ft^2</t>
  </si>
  <si>
    <t>Earth Variables</t>
  </si>
  <si>
    <t>c (m/s)</t>
  </si>
  <si>
    <t>𝞺 (kg/m^3)</t>
  </si>
  <si>
    <t>atm P (kPa)</t>
  </si>
  <si>
    <t>Temp (K)</t>
  </si>
  <si>
    <t>t (sec)</t>
  </si>
  <si>
    <t>x (m)</t>
  </si>
  <si>
    <t>y (m)</t>
  </si>
  <si>
    <t>vx (m/s)</t>
  </si>
  <si>
    <t>vy (m/s)</t>
  </si>
  <si>
    <t>v (m/s)</t>
  </si>
  <si>
    <t>ax (m/s^2)</t>
  </si>
  <si>
    <t>ay (m/s^2)</t>
  </si>
  <si>
    <t>a (m/s^2)</t>
  </si>
  <si>
    <t>θ (rad)</t>
  </si>
  <si>
    <t>θ′ (rad)</t>
  </si>
  <si>
    <t>θ″ (rad)</t>
  </si>
  <si>
    <t>Thrust (N)</t>
  </si>
  <si>
    <t>Mass (kg)</t>
  </si>
  <si>
    <t>sec</t>
  </si>
  <si>
    <t>Velocity_0</t>
  </si>
  <si>
    <t>m/s</t>
  </si>
  <si>
    <t>Latitude</t>
  </si>
  <si>
    <t>x0</t>
  </si>
  <si>
    <t>deg</t>
  </si>
  <si>
    <t>rad</t>
  </si>
  <si>
    <t>Helper Columns</t>
  </si>
  <si>
    <r>
      <t>g*delta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/Wi</t>
    </r>
  </si>
  <si>
    <t>(rho*S)/2</t>
  </si>
  <si>
    <t>dt^2/I</t>
  </si>
  <si>
    <t>tm1</t>
  </si>
  <si>
    <t xml:space="preserve">Th_dot </t>
  </si>
  <si>
    <t>m</t>
  </si>
  <si>
    <t>s (m)</t>
  </si>
  <si>
    <t>𝞺 (lb/ft^3)</t>
  </si>
  <si>
    <t>F dot</t>
  </si>
  <si>
    <t>lb/s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</si>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</sst>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1"/>
      <name val="Calibri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4" borderId="1" xfId="1" applyFont="1" applyFill="1" applyAlignment="1">
      <alignment horizontal="center"/>
    </xf>
    <xf numFmtId="164" fontId="2" fillId="4" borderId="1" xfId="1" applyNumberFormat="1" applyFont="1" applyFill="1" applyAlignment="1">
      <alignment horizontal="center"/>
    </xf>
    <xf numFmtId="2" fontId="2" fillId="4" borderId="1" xfId="1" applyNumberFormat="1" applyFont="1" applyFill="1" applyAlignment="1">
      <alignment horizontal="center"/>
    </xf>
    <xf numFmtId="2" fontId="2" fillId="3" borderId="1" xfId="1" applyNumberFormat="1" applyFont="1" applyFill="1" applyAlignment="1">
      <alignment horizontal="center"/>
    </xf>
    <xf numFmtId="0" fontId="2" fillId="3" borderId="1" xfId="1" applyFont="1" applyFill="1"/>
    <xf numFmtId="2" fontId="6" fillId="5" borderId="1" xfId="1" applyNumberFormat="1" applyFont="1" applyFill="1" applyAlignment="1">
      <alignment horizontal="center"/>
    </xf>
    <xf numFmtId="0" fontId="2" fillId="5" borderId="1" xfId="1" applyFont="1" applyFill="1"/>
    <xf numFmtId="0" fontId="6" fillId="5" borderId="1" xfId="1" applyNumberFormat="1" applyFont="1" applyFill="1" applyAlignment="1">
      <alignment horizontal="center"/>
    </xf>
    <xf numFmtId="0" fontId="2" fillId="6" borderId="1" xfId="1" applyNumberFormat="1" applyFont="1" applyFill="1" applyAlignment="1">
      <alignment horizontal="center"/>
    </xf>
    <xf numFmtId="2" fontId="2" fillId="6" borderId="1" xfId="1" applyNumberFormat="1" applyFont="1" applyFill="1" applyAlignment="1">
      <alignment horizontal="center"/>
    </xf>
    <xf numFmtId="0" fontId="2" fillId="0" borderId="1" xfId="1" applyFont="1"/>
    <xf numFmtId="0" fontId="1" fillId="2" borderId="0" xfId="2" applyFont="1"/>
    <xf numFmtId="0" fontId="8" fillId="4" borderId="0" xfId="0" applyNumberFormat="1" applyFont="1" applyFill="1" applyBorder="1" applyAlignment="1"/>
    <xf numFmtId="2" fontId="8" fillId="0" borderId="0" xfId="0" applyNumberFormat="1" applyFont="1" applyFill="1" applyBorder="1" applyAlignment="1"/>
    <xf numFmtId="2" fontId="8" fillId="0" borderId="0" xfId="0" applyNumberFormat="1" applyFont="1" applyAlignment="1"/>
    <xf numFmtId="1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0" fillId="0" borderId="0" xfId="0" applyFont="1"/>
    <xf numFmtId="0" fontId="0" fillId="4" borderId="0" xfId="0" applyFont="1" applyFill="1"/>
    <xf numFmtId="164" fontId="1" fillId="2" borderId="0" xfId="2" applyNumberFormat="1" applyBorder="1" applyAlignment="1">
      <alignment horizontal="center"/>
    </xf>
    <xf numFmtId="2" fontId="1" fillId="2" borderId="0" xfId="2" applyNumberFormat="1" applyBorder="1" applyAlignment="1">
      <alignment horizontal="center"/>
    </xf>
    <xf numFmtId="164" fontId="1" fillId="2" borderId="0" xfId="2" applyNumberFormat="1" applyFont="1"/>
    <xf numFmtId="164" fontId="1" fillId="2" borderId="0" xfId="2" applyNumberFormat="1"/>
    <xf numFmtId="0" fontId="8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165" fontId="1" fillId="0" borderId="0" xfId="2" applyNumberFormat="1" applyFill="1" applyBorder="1" applyAlignment="1">
      <alignment horizontal="center"/>
    </xf>
    <xf numFmtId="0" fontId="1" fillId="2" borderId="0" xfId="2"/>
    <xf numFmtId="2" fontId="1" fillId="2" borderId="0" xfId="2" applyNumberFormat="1"/>
    <xf numFmtId="0" fontId="2" fillId="0" borderId="1" xfId="1" applyFont="1" applyAlignment="1">
      <alignment horizontal="center" vertical="center"/>
    </xf>
  </cellXfs>
  <cellStyles count="3">
    <cellStyle name="20% - Accent2" xfId="2" builtinId="34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0"/>
  <sheetViews>
    <sheetView tabSelected="1" topLeftCell="U1" zoomScale="80" zoomScaleNormal="80" workbookViewId="0">
      <selection activeCell="AB4" sqref="AB4"/>
    </sheetView>
  </sheetViews>
  <sheetFormatPr defaultRowHeight="14.25" x14ac:dyDescent="0.45"/>
  <cols>
    <col min="1" max="1" width="28.33203125" style="1" bestFit="1" customWidth="1"/>
    <col min="2" max="2" width="9.06640625" style="1"/>
    <col min="3" max="3" width="9.06640625" style="32"/>
    <col min="4" max="31" width="10.73046875" style="1" customWidth="1"/>
    <col min="32" max="33" width="9.06640625" style="1"/>
    <col min="34" max="34" width="11.06640625" style="1" bestFit="1" customWidth="1"/>
    <col min="35" max="16384" width="9.06640625" style="1"/>
  </cols>
  <sheetData>
    <row r="1" spans="1:36" ht="14.65" thickBot="1" x14ac:dyDescent="0.5">
      <c r="A1" s="36" t="s">
        <v>0</v>
      </c>
      <c r="B1" s="36"/>
      <c r="C1" s="36"/>
      <c r="F1" s="2" t="s">
        <v>14</v>
      </c>
      <c r="G1" s="2"/>
      <c r="H1" s="2"/>
      <c r="I1" s="2"/>
      <c r="J1" s="2"/>
      <c r="K1" s="2"/>
      <c r="L1" s="2"/>
      <c r="M1" s="2"/>
      <c r="N1" s="2"/>
      <c r="O1" s="3" t="s">
        <v>15</v>
      </c>
      <c r="P1" s="3"/>
      <c r="Q1" s="3"/>
      <c r="R1" s="3"/>
      <c r="S1" s="4" t="s">
        <v>16</v>
      </c>
      <c r="T1" s="4"/>
      <c r="U1" s="4"/>
      <c r="V1" s="4"/>
      <c r="W1" s="4"/>
      <c r="X1" s="4"/>
      <c r="Y1" s="4"/>
      <c r="Z1" s="4"/>
      <c r="AA1" s="4"/>
      <c r="AC1" s="5" t="s">
        <v>37</v>
      </c>
      <c r="AI1" s="24" t="s">
        <v>63</v>
      </c>
    </row>
    <row r="2" spans="1:36" s="16" customFormat="1" ht="16.149999999999999" thickBot="1" x14ac:dyDescent="0.5">
      <c r="A2" s="36"/>
      <c r="B2" s="36"/>
      <c r="C2" s="36"/>
      <c r="D2" s="6" t="s">
        <v>2</v>
      </c>
      <c r="E2" s="7" t="s">
        <v>42</v>
      </c>
      <c r="F2" s="8" t="s">
        <v>43</v>
      </c>
      <c r="G2" s="8" t="s">
        <v>44</v>
      </c>
      <c r="H2" s="8" t="s">
        <v>45</v>
      </c>
      <c r="I2" s="8" t="s">
        <v>46</v>
      </c>
      <c r="J2" s="8" t="s">
        <v>47</v>
      </c>
      <c r="K2" s="6" t="s">
        <v>70</v>
      </c>
      <c r="L2" s="8" t="s">
        <v>48</v>
      </c>
      <c r="M2" s="8" t="s">
        <v>49</v>
      </c>
      <c r="N2" s="8" t="s">
        <v>50</v>
      </c>
      <c r="O2" s="9" t="s">
        <v>51</v>
      </c>
      <c r="P2" s="9" t="s">
        <v>52</v>
      </c>
      <c r="Q2" s="9" t="s">
        <v>53</v>
      </c>
      <c r="R2" s="10" t="s">
        <v>5</v>
      </c>
      <c r="S2" s="11" t="s">
        <v>55</v>
      </c>
      <c r="T2" s="12" t="s">
        <v>10</v>
      </c>
      <c r="U2" s="13" t="s">
        <v>6</v>
      </c>
      <c r="V2" s="12" t="s">
        <v>7</v>
      </c>
      <c r="W2" s="12" t="s">
        <v>8</v>
      </c>
      <c r="X2" s="11" t="s">
        <v>54</v>
      </c>
      <c r="Y2" s="12" t="s">
        <v>9</v>
      </c>
      <c r="Z2" s="12" t="s">
        <v>11</v>
      </c>
      <c r="AA2" s="12" t="s">
        <v>12</v>
      </c>
      <c r="AB2" s="12" t="s">
        <v>13</v>
      </c>
      <c r="AC2" s="14" t="s">
        <v>38</v>
      </c>
      <c r="AD2" s="15" t="s">
        <v>40</v>
      </c>
      <c r="AE2" s="15" t="s">
        <v>41</v>
      </c>
      <c r="AF2" s="14" t="s">
        <v>71</v>
      </c>
      <c r="AG2" s="14" t="s">
        <v>39</v>
      </c>
      <c r="AH2" s="24" t="s">
        <v>64</v>
      </c>
      <c r="AI2" s="16" t="s">
        <v>65</v>
      </c>
      <c r="AJ2" s="16" t="s">
        <v>66</v>
      </c>
    </row>
    <row r="3" spans="1:36" x14ac:dyDescent="0.45">
      <c r="A3" s="18" t="s">
        <v>3</v>
      </c>
      <c r="B3" s="26">
        <v>0.1</v>
      </c>
      <c r="C3" s="30" t="s">
        <v>56</v>
      </c>
      <c r="D3" s="1">
        <v>0</v>
      </c>
      <c r="E3" s="1">
        <f>0</f>
        <v>0</v>
      </c>
      <c r="F3" s="28">
        <f>$B$4</f>
        <v>0</v>
      </c>
      <c r="G3" s="17">
        <v>1000</v>
      </c>
      <c r="H3" s="35">
        <f>0</f>
        <v>0</v>
      </c>
      <c r="I3" s="34">
        <f>0</f>
        <v>0</v>
      </c>
      <c r="J3" s="1">
        <f>SQRT(POWER(F3,2)+POWER(G3,2))</f>
        <v>1000</v>
      </c>
      <c r="K3" s="34">
        <v>0</v>
      </c>
      <c r="L3" s="34">
        <v>0</v>
      </c>
      <c r="M3" s="34">
        <v>0</v>
      </c>
      <c r="N3" s="1">
        <f>SQRT(POWER(L3,2)+POWER(M3,2))</f>
        <v>0</v>
      </c>
      <c r="O3" s="34">
        <f>B7</f>
        <v>0</v>
      </c>
      <c r="P3" s="34">
        <v>0</v>
      </c>
      <c r="Q3" s="34">
        <v>0</v>
      </c>
      <c r="R3" s="1">
        <f>0.147*V3</f>
        <v>2.8032624965980223E-4</v>
      </c>
      <c r="T3" s="1">
        <f>($B$12+$B$13)</f>
        <v>15000</v>
      </c>
      <c r="U3" s="1">
        <f>$B$17+(POWER(V3,2)/(PRODUCT(PI(),$B$18,$B$19)))</f>
        <v>1.5000264793634996E-2</v>
      </c>
      <c r="V3" s="1">
        <f>(2*T3)/PRODUCT(AF3,$B$20,J3^2,COS(O3))</f>
        <v>1.9069812902027363E-3</v>
      </c>
      <c r="W3" s="1">
        <f>0.092*R3</f>
        <v>2.5790014968701804E-5</v>
      </c>
      <c r="X3" s="1">
        <f xml:space="preserve"> PRODUCT(0.5,AF3,$J$3^2,$U$3,$B$20)</f>
        <v>117989.60643216598</v>
      </c>
      <c r="Y3" s="1" t="e">
        <f>P3/O3</f>
        <v>#DIV/0!</v>
      </c>
      <c r="Z3" s="1">
        <f>T3/COS(O3)</f>
        <v>15000</v>
      </c>
      <c r="AA3" s="1">
        <f>PRODUCT(POWER(2*($B$22+$B$23),-1),PRODUCT($V$3,$B$20,AF3,$B$23,$J$3^2)-PRODUCT($W$3,$B$20,AF3,$B$21,$J$3^2)+PRODUCT(2,$X$3,$B$24))</f>
        <v>328.64756756756753</v>
      </c>
      <c r="AC3" s="19">
        <f>IF(G3&lt;100000, IF(G3&gt;10000, (343.2)+(-4.313943*G3)+(-0.291943*G3^2)+(0.053721*G3^3)+((-3.039687*10^(-3))*G3^4)+((9.262166*10^(-5))*G3^5)+((-1.647967*10^(-6))*G3^6)+((1.694814*10^(-8))*G3^7)+((-9.299892*10^(-11))*G3^8)+((2.104694*10^(-13))*G3^9), ((-0.00406576*G3)+340.3)), 0)</f>
        <v>336.23424</v>
      </c>
      <c r="AD3" s="21">
        <f>IF(G3&gt;38000,0,(101325*(1-(2.25577*10^(-5))*G3)^5.25588))</f>
        <v>89874.56042735427</v>
      </c>
      <c r="AE3" s="19">
        <f>1.6667*AC3-273.15</f>
        <v>287.25160780800002</v>
      </c>
      <c r="AF3" s="20">
        <f xml:space="preserve"> PRODUCT(2.2046, 1/35.3147)</f>
        <v>6.2427261168861693E-2</v>
      </c>
      <c r="AG3" s="20">
        <f xml:space="preserve">  AD3/ (287.058*AE3)</f>
        <v>1.0899451830400604</v>
      </c>
      <c r="AH3" s="1">
        <f xml:space="preserve"> ($B$25*POWER($B$3,2))/(T3)</f>
        <v>2.1449333333333338E-5</v>
      </c>
      <c r="AI3" s="1">
        <f>AF3*$B$20/2</f>
        <v>7.8658349072765734</v>
      </c>
      <c r="AJ3" s="1" t="e">
        <f>($B$3^2)/Y3</f>
        <v>#DIV/0!</v>
      </c>
    </row>
    <row r="4" spans="1:36" x14ac:dyDescent="0.45">
      <c r="A4" s="25" t="s">
        <v>60</v>
      </c>
      <c r="B4" s="26">
        <v>0</v>
      </c>
      <c r="C4" s="31" t="s">
        <v>69</v>
      </c>
      <c r="D4" s="1">
        <f>D3+1</f>
        <v>1</v>
      </c>
      <c r="E4" s="23">
        <f>E3+$B$3</f>
        <v>0.1</v>
      </c>
      <c r="F4" s="29">
        <f>$B$4</f>
        <v>0</v>
      </c>
      <c r="G4" s="17">
        <v>1000</v>
      </c>
      <c r="H4" s="1">
        <f>PRODUCT(1/$B$3, F4-F3)</f>
        <v>0</v>
      </c>
      <c r="I4" s="1">
        <f xml:space="preserve"> PRODUCT(1/$B$3, G4-G3)</f>
        <v>0</v>
      </c>
      <c r="J4" s="1">
        <f>SQRT(POWER(F4,2)+POWER(G4,2))</f>
        <v>1000</v>
      </c>
      <c r="K4" s="1">
        <f xml:space="preserve"> ($B$3*J4) + K3</f>
        <v>100</v>
      </c>
      <c r="L4" s="1">
        <f>PRODUCT(1/$B$3, H4-H3)</f>
        <v>0</v>
      </c>
      <c r="M4" s="1">
        <f xml:space="preserve"> PRODUCT(1/$B$3, I4-I3)</f>
        <v>0</v>
      </c>
      <c r="N4" s="1">
        <f t="shared" ref="N4:N28" si="0">SQRT(POWER(L4,2)+POWER(M4,2))</f>
        <v>0</v>
      </c>
      <c r="O4" s="34">
        <f>B7</f>
        <v>0</v>
      </c>
      <c r="P4" s="1">
        <f xml:space="preserve"> (Q4*$B$3) + P3</f>
        <v>0</v>
      </c>
      <c r="Q4" s="34">
        <v>0</v>
      </c>
      <c r="R4" s="1">
        <f t="shared" ref="R4:R28" si="1">0.147*V4</f>
        <v>-7.8384758577245718E-4</v>
      </c>
      <c r="T4" s="1">
        <f>IF($B$15*$B$3 &gt;= $B$13, T3, T3- PRODUCT($B$15,$B$25,$B$3,X3/$B$11))</f>
        <v>-41942.963960227637</v>
      </c>
      <c r="U4" s="1">
        <f>$B$17+(POWER(V4,2)/(PRODUCT(PI(),$B$18,$B$19)))</f>
        <v>1.5002070347555508E-2</v>
      </c>
      <c r="V4" s="1">
        <f>(2*T4)/PRODUCT(AF4,$B$20,J4^2,COS(O4))</f>
        <v>-5.3322965018534505E-3</v>
      </c>
      <c r="W4" s="1">
        <f t="shared" ref="W4:W28" si="2">0.092*R4</f>
        <v>-7.2113977891066062E-5</v>
      </c>
      <c r="X4" s="1">
        <f>IF(E4&gt;$B$29, X3 + ($B$3*$B$30), $B$11)</f>
        <v>4000</v>
      </c>
      <c r="Y4" s="1" t="e">
        <f>P4/O4</f>
        <v>#DIV/0!</v>
      </c>
      <c r="Z4" s="1">
        <f>T4/COS(O4)</f>
        <v>-41942.963960227637</v>
      </c>
      <c r="AA4" s="1">
        <f>IF(E4&gt;$B$29, $B$27, IF(E4&lt;$B$29, AA3+($B$3*$B$26), AA3 - ($B$3*$B$26)))</f>
        <v>338.64756756756753</v>
      </c>
      <c r="AC4" s="19">
        <f>IF(G4&lt;100000, IF(G4&gt;10000, (343.2)+(-4.313943*G4)+(-0.291943*G4^2)+(0.053721*G4^3)+((-3.039687*10^(-3))*G4^4)+((9.262166*10^(-5))*G4^5)+((-1.647967*10^(-6))*G4^6)+((1.694814*10^(-8))*G4^7)+((-9.299892*10^(-11))*G4^8)+((2.104694*10^(-13))*G4^9), ((-0.00406576*G4)+340.3)), 0)</f>
        <v>336.23424</v>
      </c>
      <c r="AD4" s="21">
        <f>IF(G4&gt;38000,0,(101325*(1-(2.25577*10^(-5))*G4)^5.25588))</f>
        <v>89874.56042735427</v>
      </c>
      <c r="AE4" s="19">
        <f>1.6667*AC4-273.15</f>
        <v>287.25160780800002</v>
      </c>
      <c r="AF4" s="20">
        <f t="shared" ref="AF4:AG28" si="3" xml:space="preserve"> PRODUCT(2.2046, 1/35.3147)</f>
        <v>6.2427261168861693E-2</v>
      </c>
      <c r="AG4" s="20">
        <f t="shared" ref="AG4:AG28" si="4" xml:space="preserve">  AD4/ (287.058*AE4)</f>
        <v>1.0899451830400604</v>
      </c>
      <c r="AH4" s="1">
        <f xml:space="preserve"> ($B$25*POWER($B$3,2))/(T4)</f>
        <v>-7.6708932708019785E-6</v>
      </c>
      <c r="AI4" s="1">
        <f>AF4*$B$20/2</f>
        <v>7.8658349072765734</v>
      </c>
      <c r="AJ4" s="1" t="e">
        <f>($B$3^2)/Y4</f>
        <v>#DIV/0!</v>
      </c>
    </row>
    <row r="5" spans="1:36" x14ac:dyDescent="0.45">
      <c r="A5" s="18" t="s">
        <v>57</v>
      </c>
      <c r="B5" s="27">
        <v>0</v>
      </c>
      <c r="C5" s="30" t="s">
        <v>58</v>
      </c>
      <c r="D5" s="1">
        <f t="shared" ref="D5:D26" si="5">D4+1</f>
        <v>2</v>
      </c>
      <c r="E5" s="23">
        <f t="shared" ref="E5:E26" si="6">E4+$B$3</f>
        <v>0.2</v>
      </c>
      <c r="F5" s="1">
        <f>(AH4)*(-PRODUCT(U4,AI4,(J4*COS(O4))^2) - PRODUCT(V4,AI4,(J4*SIN(O4))^2) + PRODUCT(X4, COS(R4+O4)) +PRODUCT(AA4,SIN(O4))) + (2*F4) - F3 + PRODUCT(J4,COS(O4),$B$3)</f>
        <v>100.87451105782458</v>
      </c>
      <c r="G5" s="1" t="e">
        <f>(AI4)*(-PRODUCT(V4,AJ4,(L4*SIN(P4))^2) + PRODUCT(W4,AJ4,(L4*COS(P4))^2) - T4 + PRODUCT(#REF!, SIN(S4+P4)) - PRODUCT(AA4,COS(O4))) + (2*G4) - G3 + PRODUCT(J4,SIN(O4), $B$3)</f>
        <v>#DIV/0!</v>
      </c>
      <c r="H5" s="1">
        <f t="shared" ref="H5:H28" si="7">PRODUCT(1/$B$3, F5-F4)</f>
        <v>1008.7451105782458</v>
      </c>
      <c r="I5" s="1" t="e">
        <f t="shared" ref="I5:I28" si="8" xml:space="preserve"> PRODUCT(1/$B$3, G5-G4)</f>
        <v>#DIV/0!</v>
      </c>
      <c r="J5" s="1" t="e">
        <f t="shared" ref="J5:J28" si="9">SQRT(POWER(F5,2)+POWER(G5,2))</f>
        <v>#DIV/0!</v>
      </c>
      <c r="K5" s="1" t="e">
        <f t="shared" ref="K5:K28" si="10" xml:space="preserve"> ($B$3*J5) + K4</f>
        <v>#DIV/0!</v>
      </c>
      <c r="L5" s="1">
        <f t="shared" ref="L5:L28" si="11">PRODUCT(1/$B$3, H5-H4)</f>
        <v>10087.451105782458</v>
      </c>
      <c r="M5" s="1" t="e">
        <f t="shared" ref="M5:M28" si="12" xml:space="preserve"> PRODUCT(1/$B$3, I5-I4)</f>
        <v>#DIV/0!</v>
      </c>
      <c r="N5" s="1" t="e">
        <f t="shared" si="0"/>
        <v>#DIV/0!</v>
      </c>
      <c r="O5" s="1" t="e">
        <f>(AJ4)*(PRODUCT($B$22+$B$23,AA4)-PRODUCT($B$23,V4,AI4,J4^2) + PRODUCT($B$21,W4, AI4,J4^2)) + (2*O4) - O3 + PRODUCT(P4, $B$3) + ATAN(I4/H4)</f>
        <v>#DIV/0!</v>
      </c>
      <c r="P5" s="1" t="e">
        <f t="shared" ref="P5:P28" si="13" xml:space="preserve"> (Q5*$B$3) + P4</f>
        <v>#DIV/0!</v>
      </c>
      <c r="Q5" s="1" t="e">
        <f>PRODUCT($B$3^2, O5-(2*O4)+O3)</f>
        <v>#DIV/0!</v>
      </c>
      <c r="R5" s="1" t="e">
        <f t="shared" si="1"/>
        <v>#DIV/0!</v>
      </c>
      <c r="T5" s="1">
        <f t="shared" ref="T5:T28" si="14">IF($B$15*$B$3 &gt;= $B$13, T4, T4- PRODUCT($B$15,$B$25,$B$3,X4/$B$11))</f>
        <v>-43873.403960227639</v>
      </c>
      <c r="U5" s="1" t="e">
        <f t="shared" ref="U5:U28" si="15">$B$17+(POWER(V5,2)/(PRODUCT(PI(),$B$18,$B$19)))</f>
        <v>#DIV/0!</v>
      </c>
      <c r="V5" s="1" t="e">
        <f>(2*T5)/PRODUCT(AF5,$B$20,J5^2,COS(O5))</f>
        <v>#DIV/0!</v>
      </c>
      <c r="W5" s="1" t="e">
        <f t="shared" si="2"/>
        <v>#DIV/0!</v>
      </c>
      <c r="X5" s="1">
        <f t="shared" ref="X5:X28" si="16">IF(E5&gt;$B$29, X4 + ($B$3*$B$30), $B$11)</f>
        <v>4000</v>
      </c>
      <c r="Y5" s="1" t="e">
        <f>P5/O5</f>
        <v>#DIV/0!</v>
      </c>
      <c r="Z5" s="1" t="e">
        <f>T5/COS(O5)</f>
        <v>#DIV/0!</v>
      </c>
      <c r="AA5" s="1">
        <f>IF(E5&gt;$B$29, $B$27, IF(E5&lt;$B$29, AA4+($B$3*$B$26), AA4 - ($B$3*$B$26)))</f>
        <v>348.64756756756753</v>
      </c>
      <c r="AC5" s="19" t="e">
        <f>IF(G5&lt;100000, IF(G5&gt;10000, (343.2)+(-4.313943*G5)+(-0.291943*G5^2)+(0.053721*G5^3)+((-3.039687*10^(-3))*G5^4)+((9.262166*10^(-5))*G5^5)+((-1.647967*10^(-6))*G5^6)+((1.694814*10^(-8))*G5^7)+((-9.299892*10^(-11))*G5^8)+((2.104694*10^(-13))*G5^9), ((-0.00406576*G5)+340.3)), 0)</f>
        <v>#DIV/0!</v>
      </c>
      <c r="AD5" s="21" t="e">
        <f>IF(G5&gt;38000,0,(101325*(1-(2.25577*10^(-5))*G5)^5.25588))</f>
        <v>#DIV/0!</v>
      </c>
      <c r="AE5" s="19" t="e">
        <f>1.6667*AC5-273.15</f>
        <v>#DIV/0!</v>
      </c>
      <c r="AF5" s="20">
        <f t="shared" si="3"/>
        <v>6.2427261168861693E-2</v>
      </c>
      <c r="AG5" s="20" t="e">
        <f t="shared" si="4"/>
        <v>#DIV/0!</v>
      </c>
      <c r="AH5" s="1">
        <f xml:space="preserve"> ($B$25*POWER($B$3,2))/(T5)</f>
        <v>-7.3333721790008724E-6</v>
      </c>
      <c r="AI5" s="1">
        <f>AF5*$B$20/2</f>
        <v>7.8658349072765734</v>
      </c>
      <c r="AJ5" s="1" t="e">
        <f>($B$3^2)/Y5</f>
        <v>#DIV/0!</v>
      </c>
    </row>
    <row r="6" spans="1:36" x14ac:dyDescent="0.45">
      <c r="A6" s="18" t="s">
        <v>4</v>
      </c>
      <c r="B6" s="27">
        <v>0</v>
      </c>
      <c r="C6" s="30" t="s">
        <v>61</v>
      </c>
      <c r="D6" s="1">
        <f t="shared" si="5"/>
        <v>3</v>
      </c>
      <c r="E6" s="23">
        <f t="shared" si="6"/>
        <v>0.30000000000000004</v>
      </c>
      <c r="F6" s="1" t="e">
        <f>(AH5)*(-PRODUCT(U5,AI5,(J5*COS(O5))^2) - PRODUCT(V5,AI5,(J5*SIN(O5))^2) + PRODUCT(X5, COS(R5+O5)) +PRODUCT(AA5,SIN(O5))) + (2*F5) - F4 + PRODUCT(J5,COS(O5),$B$3)</f>
        <v>#DIV/0!</v>
      </c>
      <c r="G6" s="1" t="e">
        <f>(AI5)*(-PRODUCT(V5,AJ5,(L5*SIN(P5))^2) + PRODUCT(W5,AJ5,(L5*COS(P5))^2) - T5 + PRODUCT(#REF!, SIN(S5+P5)) - PRODUCT(AA5,COS(O5))) + (2*G5) - G4 + PRODUCT(J5,SIN(O5), $B$3)</f>
        <v>#DIV/0!</v>
      </c>
      <c r="H6" s="1" t="e">
        <f t="shared" si="7"/>
        <v>#DIV/0!</v>
      </c>
      <c r="I6" s="1" t="e">
        <f t="shared" si="8"/>
        <v>#DIV/0!</v>
      </c>
      <c r="J6" s="1" t="e">
        <f t="shared" si="9"/>
        <v>#DIV/0!</v>
      </c>
      <c r="K6" s="1" t="e">
        <f t="shared" si="10"/>
        <v>#DIV/0!</v>
      </c>
      <c r="L6" s="1" t="e">
        <f t="shared" si="11"/>
        <v>#DIV/0!</v>
      </c>
      <c r="M6" s="1" t="e">
        <f t="shared" si="12"/>
        <v>#DIV/0!</v>
      </c>
      <c r="N6" s="1" t="e">
        <f t="shared" si="0"/>
        <v>#DIV/0!</v>
      </c>
      <c r="O6" s="1" t="e">
        <f>(AJ5)*(PRODUCT($B$22+$B$23,AA5)-PRODUCT($B$23,V5,AI5,J5^2) + PRODUCT($B$21,W5, AI5,J5^2)) + (2*O5) - O4 + PRODUCT(P5, $B$3) + ATAN(I5/H5)</f>
        <v>#DIV/0!</v>
      </c>
      <c r="P6" s="1" t="e">
        <f t="shared" si="13"/>
        <v>#DIV/0!</v>
      </c>
      <c r="Q6" s="1" t="e">
        <f t="shared" ref="Q6:Q28" si="17">PRODUCT($B$3^2, O6-(2*O5)+O4)</f>
        <v>#DIV/0!</v>
      </c>
      <c r="R6" s="1" t="e">
        <f t="shared" si="1"/>
        <v>#DIV/0!</v>
      </c>
      <c r="T6" s="1">
        <f t="shared" si="14"/>
        <v>-45803.843960227641</v>
      </c>
      <c r="U6" s="1" t="e">
        <f t="shared" si="15"/>
        <v>#DIV/0!</v>
      </c>
      <c r="V6" s="1" t="e">
        <f>(2*T6)/PRODUCT(AF6,$B$20,J6^2,COS(O6))</f>
        <v>#DIV/0!</v>
      </c>
      <c r="W6" s="1" t="e">
        <f t="shared" si="2"/>
        <v>#DIV/0!</v>
      </c>
      <c r="X6" s="1">
        <f t="shared" si="16"/>
        <v>4000</v>
      </c>
      <c r="Y6" s="1" t="e">
        <f>P6/O6</f>
        <v>#DIV/0!</v>
      </c>
      <c r="Z6" s="1" t="e">
        <f>T6/COS(O6)</f>
        <v>#DIV/0!</v>
      </c>
      <c r="AA6" s="1">
        <f>IF(E6&gt;$B$29, $B$27, IF(E6&lt;$B$29, AA5+($B$3*$B$26), AA5 - ($B$3*$B$26)))</f>
        <v>358.64756756756753</v>
      </c>
      <c r="AC6" s="19" t="e">
        <f>IF(G6&lt;100000, IF(G6&gt;10000, (343.2)+(-4.313943*G6)+(-0.291943*G6^2)+(0.053721*G6^3)+((-3.039687*10^(-3))*G6^4)+((9.262166*10^(-5))*G6^5)+((-1.647967*10^(-6))*G6^6)+((1.694814*10^(-8))*G6^7)+((-9.299892*10^(-11))*G6^8)+((2.104694*10^(-13))*G6^9), ((-0.00406576*G6)+340.3)), 0)</f>
        <v>#DIV/0!</v>
      </c>
      <c r="AD6" s="21" t="e">
        <f>IF(G6&gt;38000,0,(101325*(1-(2.25577*10^(-5))*G6)^5.25588))</f>
        <v>#DIV/0!</v>
      </c>
      <c r="AE6" s="19" t="e">
        <f>1.6667*AC6-273.15</f>
        <v>#DIV/0!</v>
      </c>
      <c r="AF6" s="20">
        <f t="shared" si="3"/>
        <v>6.2427261168861693E-2</v>
      </c>
      <c r="AG6" s="20" t="e">
        <f t="shared" si="4"/>
        <v>#DIV/0!</v>
      </c>
      <c r="AH6" s="1">
        <f xml:space="preserve"> ($B$25*POWER($B$3,2))/(T6)</f>
        <v>-7.0243012852670866E-6</v>
      </c>
      <c r="AI6" s="1">
        <f>AF6*$B$20/2</f>
        <v>7.8658349072765734</v>
      </c>
      <c r="AJ6" s="1" t="e">
        <f>($B$3^2)/Y6</f>
        <v>#DIV/0!</v>
      </c>
    </row>
    <row r="7" spans="1:36" x14ac:dyDescent="0.45">
      <c r="A7" s="18" t="s">
        <v>4</v>
      </c>
      <c r="B7" s="33">
        <f>B6*(PI()/180)</f>
        <v>0</v>
      </c>
      <c r="C7" s="30" t="s">
        <v>62</v>
      </c>
      <c r="D7" s="1">
        <f t="shared" si="5"/>
        <v>4</v>
      </c>
      <c r="E7" s="23">
        <f t="shared" si="6"/>
        <v>0.4</v>
      </c>
      <c r="F7" s="1" t="e">
        <f>(AH6)*(-PRODUCT(U6,AI6,(J6*COS(O6))^2) - PRODUCT(V6,AI6,(J6*SIN(O6))^2) + PRODUCT(X6, COS(R6+O6)) +PRODUCT(AA6,SIN(O6))) + (2*F6) - F5 + PRODUCT(J6,COS(O6),$B$3)</f>
        <v>#DIV/0!</v>
      </c>
      <c r="G7" s="1" t="e">
        <f>(AI6)*(-PRODUCT(V6,AJ6,(L6*SIN(P6))^2) + PRODUCT(W6,AJ6,(L6*COS(P6))^2) - T6 + PRODUCT(#REF!, SIN(S6+P6)) - PRODUCT(AA6,COS(O6))) + (2*G6) - G5 + PRODUCT(J6,SIN(O6), $B$3)</f>
        <v>#DIV/0!</v>
      </c>
      <c r="H7" s="1" t="e">
        <f t="shared" si="7"/>
        <v>#DIV/0!</v>
      </c>
      <c r="I7" s="1" t="e">
        <f t="shared" si="8"/>
        <v>#DIV/0!</v>
      </c>
      <c r="J7" s="1" t="e">
        <f t="shared" si="9"/>
        <v>#DIV/0!</v>
      </c>
      <c r="K7" s="1" t="e">
        <f t="shared" si="10"/>
        <v>#DIV/0!</v>
      </c>
      <c r="L7" s="1" t="e">
        <f t="shared" si="11"/>
        <v>#DIV/0!</v>
      </c>
      <c r="M7" s="1" t="e">
        <f t="shared" si="12"/>
        <v>#DIV/0!</v>
      </c>
      <c r="N7" s="1" t="e">
        <f t="shared" si="0"/>
        <v>#DIV/0!</v>
      </c>
      <c r="O7" s="1" t="e">
        <f>(AJ6)*(PRODUCT($B$22+$B$23,AA6)-PRODUCT($B$23,V6,AI6,J6^2) + PRODUCT($B$21,W6, AI6,J6^2)) + (2*O6) - O5 + PRODUCT(P6, $B$3) + ATAN(I6/H6)</f>
        <v>#DIV/0!</v>
      </c>
      <c r="P7" s="1" t="e">
        <f t="shared" si="13"/>
        <v>#DIV/0!</v>
      </c>
      <c r="Q7" s="1" t="e">
        <f t="shared" si="17"/>
        <v>#DIV/0!</v>
      </c>
      <c r="R7" s="1" t="e">
        <f t="shared" si="1"/>
        <v>#DIV/0!</v>
      </c>
      <c r="T7" s="1">
        <f t="shared" si="14"/>
        <v>-47734.283960227644</v>
      </c>
      <c r="U7" s="1" t="e">
        <f t="shared" si="15"/>
        <v>#DIV/0!</v>
      </c>
      <c r="V7" s="1" t="e">
        <f>(2*T7)/PRODUCT(AF7,$B$20,J7^2,COS(O7))</f>
        <v>#DIV/0!</v>
      </c>
      <c r="W7" s="1" t="e">
        <f t="shared" si="2"/>
        <v>#DIV/0!</v>
      </c>
      <c r="X7" s="1">
        <f t="shared" si="16"/>
        <v>4000</v>
      </c>
      <c r="Y7" s="1" t="e">
        <f>P7/O7</f>
        <v>#DIV/0!</v>
      </c>
      <c r="Z7" s="1" t="e">
        <f>T7/COS(O7)</f>
        <v>#DIV/0!</v>
      </c>
      <c r="AA7" s="1">
        <f>IF(E7&gt;$B$29, $B$27, IF(E7&lt;$B$29, AA6+($B$3*$B$26), AA6 - ($B$3*$B$26)))</f>
        <v>368.64756756756753</v>
      </c>
      <c r="AC7" s="19" t="e">
        <f>IF(G7&lt;100000, IF(G7&gt;10000, (343.2)+(-4.313943*G7)+(-0.291943*G7^2)+(0.053721*G7^3)+((-3.039687*10^(-3))*G7^4)+((9.262166*10^(-5))*G7^5)+((-1.647967*10^(-6))*G7^6)+((1.694814*10^(-8))*G7^7)+((-9.299892*10^(-11))*G7^8)+((2.104694*10^(-13))*G7^9), ((-0.00406576*G7)+340.3)), 0)</f>
        <v>#DIV/0!</v>
      </c>
      <c r="AD7" s="21" t="e">
        <f>IF(G7&gt;38000,0,(101325*(1-(2.25577*10^(-5))*G7)^5.25588))</f>
        <v>#DIV/0!</v>
      </c>
      <c r="AE7" s="19" t="e">
        <f>1.6667*AC7-273.15</f>
        <v>#DIV/0!</v>
      </c>
      <c r="AF7" s="20">
        <f t="shared" si="3"/>
        <v>6.2427261168861693E-2</v>
      </c>
      <c r="AG7" s="20" t="e">
        <f t="shared" si="4"/>
        <v>#DIV/0!</v>
      </c>
      <c r="AH7" s="1">
        <f xml:space="preserve"> ($B$25*POWER($B$3,2))/(T7)</f>
        <v>-6.7402288943534773E-6</v>
      </c>
      <c r="AI7" s="1">
        <f>AF7*$B$20/2</f>
        <v>7.8658349072765734</v>
      </c>
      <c r="AJ7" s="1" t="e">
        <f>($B$3^2)/Y7</f>
        <v>#DIV/0!</v>
      </c>
    </row>
    <row r="8" spans="1:36" x14ac:dyDescent="0.45">
      <c r="A8" s="18" t="s">
        <v>59</v>
      </c>
      <c r="B8" s="27">
        <v>0</v>
      </c>
      <c r="C8" s="30" t="s">
        <v>61</v>
      </c>
      <c r="D8" s="1">
        <f t="shared" si="5"/>
        <v>5</v>
      </c>
      <c r="E8" s="23">
        <f t="shared" si="6"/>
        <v>0.5</v>
      </c>
      <c r="F8" s="1" t="e">
        <f>(AH7)*(-PRODUCT(U7,AI7,(J7*COS(O7))^2) - PRODUCT(V7,AI7,(J7*SIN(O7))^2) + PRODUCT(X7, COS(R7+O7)) +PRODUCT(AA7,SIN(O7))) + (2*F7) - F6 + PRODUCT(J7,COS(O7),$B$3)</f>
        <v>#DIV/0!</v>
      </c>
      <c r="G8" s="1" t="e">
        <f>(AI7)*(-PRODUCT(V7,AJ7,(L7*SIN(P7))^2) + PRODUCT(W7,AJ7,(L7*COS(P7))^2) - T7 + PRODUCT(#REF!, SIN(S7+P7)) - PRODUCT(AA7,COS(O7))) + (2*G7) - G6 + PRODUCT(J7,SIN(O7), $B$3)</f>
        <v>#DIV/0!</v>
      </c>
      <c r="H8" s="1" t="e">
        <f t="shared" si="7"/>
        <v>#DIV/0!</v>
      </c>
      <c r="I8" s="1" t="e">
        <f t="shared" si="8"/>
        <v>#DIV/0!</v>
      </c>
      <c r="J8" s="1" t="e">
        <f t="shared" si="9"/>
        <v>#DIV/0!</v>
      </c>
      <c r="K8" s="1" t="e">
        <f t="shared" si="10"/>
        <v>#DIV/0!</v>
      </c>
      <c r="L8" s="1" t="e">
        <f t="shared" si="11"/>
        <v>#DIV/0!</v>
      </c>
      <c r="M8" s="1" t="e">
        <f t="shared" si="12"/>
        <v>#DIV/0!</v>
      </c>
      <c r="N8" s="1" t="e">
        <f t="shared" si="0"/>
        <v>#DIV/0!</v>
      </c>
      <c r="O8" s="1" t="e">
        <f>(AJ7)*(PRODUCT($B$22+$B$23,AA7)-PRODUCT($B$23,V7,AI7,J7^2) + PRODUCT($B$21,W7, AI7,J7^2)) + (2*O7) - O6 + PRODUCT(P7, $B$3) + ATAN(I7/H7)</f>
        <v>#DIV/0!</v>
      </c>
      <c r="P8" s="1" t="e">
        <f t="shared" si="13"/>
        <v>#DIV/0!</v>
      </c>
      <c r="Q8" s="1" t="e">
        <f t="shared" si="17"/>
        <v>#DIV/0!</v>
      </c>
      <c r="R8" s="1" t="e">
        <f t="shared" si="1"/>
        <v>#DIV/0!</v>
      </c>
      <c r="T8" s="1">
        <f t="shared" si="14"/>
        <v>-49664.723960227646</v>
      </c>
      <c r="U8" s="1" t="e">
        <f t="shared" si="15"/>
        <v>#DIV/0!</v>
      </c>
      <c r="V8" s="1" t="e">
        <f>(2*T8)/PRODUCT(AF8,$B$20,J8^2,COS(O8))</f>
        <v>#DIV/0!</v>
      </c>
      <c r="W8" s="1" t="e">
        <f t="shared" si="2"/>
        <v>#DIV/0!</v>
      </c>
      <c r="X8" s="1">
        <f t="shared" si="16"/>
        <v>4000</v>
      </c>
      <c r="Y8" s="1" t="e">
        <f>P8/O8</f>
        <v>#DIV/0!</v>
      </c>
      <c r="Z8" s="1" t="e">
        <f>T8/COS(O8)</f>
        <v>#DIV/0!</v>
      </c>
      <c r="AA8" s="1">
        <f>IF(E8&gt;$B$29, $B$27, IF(E8&lt;$B$29, AA7+($B$3*$B$26), AA7 - ($B$3*$B$26)))</f>
        <v>378.64756756756753</v>
      </c>
      <c r="AC8" s="19" t="e">
        <f>IF(G8&lt;100000, IF(G8&gt;10000, (343.2)+(-4.313943*G8)+(-0.291943*G8^2)+(0.053721*G8^3)+((-3.039687*10^(-3))*G8^4)+((9.262166*10^(-5))*G8^5)+((-1.647967*10^(-6))*G8^6)+((1.694814*10^(-8))*G8^7)+((-9.299892*10^(-11))*G8^8)+((2.104694*10^(-13))*G8^9), ((-0.00406576*G8)+340.3)), 0)</f>
        <v>#DIV/0!</v>
      </c>
      <c r="AD8" s="21" t="e">
        <f>IF(G8&gt;38000,0,(101325*(1-(2.25577*10^(-5))*G8)^5.25588))</f>
        <v>#DIV/0!</v>
      </c>
      <c r="AE8" s="19" t="e">
        <f>1.6667*AC8-273.15</f>
        <v>#DIV/0!</v>
      </c>
      <c r="AF8" s="20">
        <f t="shared" si="3"/>
        <v>6.2427261168861693E-2</v>
      </c>
      <c r="AG8" s="20" t="e">
        <f t="shared" si="4"/>
        <v>#DIV/0!</v>
      </c>
      <c r="AH8" s="1">
        <f xml:space="preserve"> ($B$25*POWER($B$3,2))/(T8)</f>
        <v>-6.4782399728558834E-6</v>
      </c>
      <c r="AI8" s="1">
        <f>AF8*$B$20/2</f>
        <v>7.8658349072765734</v>
      </c>
      <c r="AJ8" s="1" t="e">
        <f>($B$3^2)/Y8</f>
        <v>#DIV/0!</v>
      </c>
    </row>
    <row r="9" spans="1:36" x14ac:dyDescent="0.45">
      <c r="A9" s="18" t="s">
        <v>59</v>
      </c>
      <c r="B9" s="22">
        <f xml:space="preserve"> B8 *(PI()/180)</f>
        <v>0</v>
      </c>
      <c r="C9" s="30" t="s">
        <v>62</v>
      </c>
      <c r="D9" s="1">
        <f t="shared" si="5"/>
        <v>6</v>
      </c>
      <c r="E9" s="23">
        <f t="shared" si="6"/>
        <v>0.6</v>
      </c>
      <c r="F9" s="1" t="e">
        <f>(AH8)*(-PRODUCT(U8,AI8,(J8*COS(O8))^2) - PRODUCT(V8,AI8,(J8*SIN(O8))^2) + PRODUCT(X8, COS(R8+O8)) +PRODUCT(AA8,SIN(O8))) + (2*F8) - F7 + PRODUCT(J8,COS(O8),$B$3)</f>
        <v>#DIV/0!</v>
      </c>
      <c r="G9" s="1" t="e">
        <f>(AI8)*(-PRODUCT(V8,AJ8,(L8*SIN(P8))^2) + PRODUCT(W8,AJ8,(L8*COS(P8))^2) - T8 + PRODUCT(#REF!, SIN(S8+P8)) - PRODUCT(AA8,COS(O8))) + (2*G8) - G7 + PRODUCT(J8,SIN(O8), $B$3)</f>
        <v>#DIV/0!</v>
      </c>
      <c r="H9" s="1" t="e">
        <f t="shared" si="7"/>
        <v>#DIV/0!</v>
      </c>
      <c r="I9" s="1" t="e">
        <f t="shared" si="8"/>
        <v>#DIV/0!</v>
      </c>
      <c r="J9" s="1" t="e">
        <f t="shared" si="9"/>
        <v>#DIV/0!</v>
      </c>
      <c r="K9" s="1" t="e">
        <f t="shared" si="10"/>
        <v>#DIV/0!</v>
      </c>
      <c r="L9" s="1" t="e">
        <f t="shared" si="11"/>
        <v>#DIV/0!</v>
      </c>
      <c r="M9" s="1" t="e">
        <f t="shared" si="12"/>
        <v>#DIV/0!</v>
      </c>
      <c r="N9" s="1" t="e">
        <f t="shared" si="0"/>
        <v>#DIV/0!</v>
      </c>
      <c r="O9" s="1" t="e">
        <f>(AJ8)*(PRODUCT($B$22+$B$23,AA8)-PRODUCT($B$23,V8,AI8,J8^2) + PRODUCT($B$21,W8, AI8,J8^2)) + (2*O8) - O7 + PRODUCT(P8, $B$3) + ATAN(I8/H8)</f>
        <v>#DIV/0!</v>
      </c>
      <c r="P9" s="1" t="e">
        <f t="shared" si="13"/>
        <v>#DIV/0!</v>
      </c>
      <c r="Q9" s="1" t="e">
        <f t="shared" si="17"/>
        <v>#DIV/0!</v>
      </c>
      <c r="R9" s="1" t="e">
        <f t="shared" si="1"/>
        <v>#DIV/0!</v>
      </c>
      <c r="T9" s="1">
        <f t="shared" si="14"/>
        <v>-51595.163960227648</v>
      </c>
      <c r="U9" s="1" t="e">
        <f t="shared" si="15"/>
        <v>#DIV/0!</v>
      </c>
      <c r="V9" s="1" t="e">
        <f>(2*T9)/PRODUCT(AF9,$B$20,J9^2,COS(O9))</f>
        <v>#DIV/0!</v>
      </c>
      <c r="W9" s="1" t="e">
        <f t="shared" si="2"/>
        <v>#DIV/0!</v>
      </c>
      <c r="X9" s="1">
        <f t="shared" si="16"/>
        <v>4000</v>
      </c>
      <c r="Y9" s="1" t="e">
        <f>P9/O9</f>
        <v>#DIV/0!</v>
      </c>
      <c r="Z9" s="1" t="e">
        <f>T9/COS(O9)</f>
        <v>#DIV/0!</v>
      </c>
      <c r="AA9" s="1">
        <f>IF(E9&gt;$B$29, $B$27, IF(E9&lt;$B$29, AA8+($B$3*$B$26), AA8 - ($B$3*$B$26)))</f>
        <v>388.64756756756753</v>
      </c>
      <c r="AC9" s="19" t="e">
        <f>IF(G9&lt;100000, IF(G9&gt;10000, (343.2)+(-4.313943*G9)+(-0.291943*G9^2)+(0.053721*G9^3)+((-3.039687*10^(-3))*G9^4)+((9.262166*10^(-5))*G9^5)+((-1.647967*10^(-6))*G9^6)+((1.694814*10^(-8))*G9^7)+((-9.299892*10^(-11))*G9^8)+((2.104694*10^(-13))*G9^9), ((-0.00406576*G9)+340.3)), 0)</f>
        <v>#DIV/0!</v>
      </c>
      <c r="AD9" s="21" t="e">
        <f>IF(G9&gt;38000,0,(101325*(1-(2.25577*10^(-5))*G9)^5.25588))</f>
        <v>#DIV/0!</v>
      </c>
      <c r="AE9" s="19" t="e">
        <f>1.6667*AC9-273.15</f>
        <v>#DIV/0!</v>
      </c>
      <c r="AF9" s="20">
        <f t="shared" si="3"/>
        <v>6.2427261168861693E-2</v>
      </c>
      <c r="AG9" s="20" t="e">
        <f t="shared" si="4"/>
        <v>#DIV/0!</v>
      </c>
      <c r="AH9" s="1">
        <f xml:space="preserve"> ($B$25*POWER($B$3,2))/(T9)</f>
        <v>-6.2358557528378963E-6</v>
      </c>
      <c r="AI9" s="1">
        <f>AF9*$B$20/2</f>
        <v>7.8658349072765734</v>
      </c>
      <c r="AJ9" s="1" t="e">
        <f>($B$3^2)/Y9</f>
        <v>#DIV/0!</v>
      </c>
    </row>
    <row r="10" spans="1:36" x14ac:dyDescent="0.45">
      <c r="D10" s="1">
        <f t="shared" si="5"/>
        <v>7</v>
      </c>
      <c r="E10" s="23">
        <f t="shared" si="6"/>
        <v>0.7</v>
      </c>
      <c r="F10" s="1" t="e">
        <f>(AH9)*(-PRODUCT(U9,AI9,(J9*COS(O9))^2) - PRODUCT(V9,AI9,(J9*SIN(O9))^2) + PRODUCT(X9, COS(R9+O9)) +PRODUCT(AA9,SIN(O9))) + (2*F9) - F8 + PRODUCT(J9,COS(O9),$B$3)</f>
        <v>#DIV/0!</v>
      </c>
      <c r="G10" s="1" t="e">
        <f>(AI9)*(-PRODUCT(V9,AJ9,(L9*SIN(P9))^2) + PRODUCT(W9,AJ9,(L9*COS(P9))^2) - T9 + PRODUCT(#REF!, SIN(S9+P9)) - PRODUCT(AA9,COS(O9))) + (2*G9) - G8 + PRODUCT(J9,SIN(O9), $B$3)</f>
        <v>#DIV/0!</v>
      </c>
      <c r="H10" s="1" t="e">
        <f t="shared" si="7"/>
        <v>#DIV/0!</v>
      </c>
      <c r="I10" s="1" t="e">
        <f t="shared" si="8"/>
        <v>#DIV/0!</v>
      </c>
      <c r="J10" s="1" t="e">
        <f t="shared" si="9"/>
        <v>#DIV/0!</v>
      </c>
      <c r="K10" s="1" t="e">
        <f t="shared" si="10"/>
        <v>#DIV/0!</v>
      </c>
      <c r="L10" s="1" t="e">
        <f t="shared" si="11"/>
        <v>#DIV/0!</v>
      </c>
      <c r="M10" s="1" t="e">
        <f t="shared" si="12"/>
        <v>#DIV/0!</v>
      </c>
      <c r="N10" s="1" t="e">
        <f t="shared" si="0"/>
        <v>#DIV/0!</v>
      </c>
      <c r="O10" s="1" t="e">
        <f>(AJ9)*(PRODUCT($B$22+$B$23,AA9)-PRODUCT($B$23,V9,AI9,J9^2) + PRODUCT($B$21,W9, AI9,J9^2)) + (2*O9) - O8 + PRODUCT(P9, $B$3) + ATAN(I9/H9)</f>
        <v>#DIV/0!</v>
      </c>
      <c r="P10" s="1" t="e">
        <f t="shared" si="13"/>
        <v>#DIV/0!</v>
      </c>
      <c r="Q10" s="1" t="e">
        <f t="shared" si="17"/>
        <v>#DIV/0!</v>
      </c>
      <c r="R10" s="1" t="e">
        <f t="shared" si="1"/>
        <v>#DIV/0!</v>
      </c>
      <c r="T10" s="1">
        <f t="shared" si="14"/>
        <v>-53525.603960227651</v>
      </c>
      <c r="U10" s="1" t="e">
        <f t="shared" si="15"/>
        <v>#DIV/0!</v>
      </c>
      <c r="V10" s="1" t="e">
        <f>(2*T10)/PRODUCT(AF10,$B$20,J10^2,COS(O10))</f>
        <v>#DIV/0!</v>
      </c>
      <c r="W10" s="1" t="e">
        <f t="shared" si="2"/>
        <v>#DIV/0!</v>
      </c>
      <c r="X10" s="1">
        <f t="shared" si="16"/>
        <v>4000</v>
      </c>
      <c r="Y10" s="1" t="e">
        <f>P10/O10</f>
        <v>#DIV/0!</v>
      </c>
      <c r="Z10" s="1" t="e">
        <f>T10/COS(O10)</f>
        <v>#DIV/0!</v>
      </c>
      <c r="AA10" s="1">
        <f>IF(E10&gt;$B$29, $B$27, IF(E10&lt;$B$29, AA9+($B$3*$B$26), AA9 - ($B$3*$B$26)))</f>
        <v>398.64756756756753</v>
      </c>
      <c r="AC10" s="19" t="e">
        <f>IF(G10&lt;100000, IF(G10&gt;10000, (343.2)+(-4.313943*G10)+(-0.291943*G10^2)+(0.053721*G10^3)+((-3.039687*10^(-3))*G10^4)+((9.262166*10^(-5))*G10^5)+((-1.647967*10^(-6))*G10^6)+((1.694814*10^(-8))*G10^7)+((-9.299892*10^(-11))*G10^8)+((2.104694*10^(-13))*G10^9), ((-0.00406576*G10)+340.3)), 0)</f>
        <v>#DIV/0!</v>
      </c>
      <c r="AD10" s="21" t="e">
        <f>IF(G10&gt;38000,0,(101325*(1-(2.25577*10^(-5))*G10)^5.25588))</f>
        <v>#DIV/0!</v>
      </c>
      <c r="AE10" s="19" t="e">
        <f>1.6667*AC10-273.15</f>
        <v>#DIV/0!</v>
      </c>
      <c r="AF10" s="20">
        <f t="shared" si="3"/>
        <v>6.2427261168861693E-2</v>
      </c>
      <c r="AG10" s="20" t="e">
        <f t="shared" si="4"/>
        <v>#DIV/0!</v>
      </c>
      <c r="AH10" s="1">
        <f xml:space="preserve"> ($B$25*POWER($B$3,2))/(T10)</f>
        <v>-6.0109550606672254E-6</v>
      </c>
      <c r="AI10" s="1">
        <f>AF10*$B$20/2</f>
        <v>7.8658349072765734</v>
      </c>
      <c r="AJ10" s="1" t="e">
        <f>($B$3^2)/Y10</f>
        <v>#DIV/0!</v>
      </c>
    </row>
    <row r="11" spans="1:36" x14ac:dyDescent="0.45">
      <c r="A11" s="1" t="s">
        <v>17</v>
      </c>
      <c r="B11" s="17">
        <v>4000</v>
      </c>
      <c r="C11" s="32" t="s">
        <v>1</v>
      </c>
      <c r="D11" s="1">
        <f t="shared" si="5"/>
        <v>8</v>
      </c>
      <c r="E11" s="23">
        <f t="shared" si="6"/>
        <v>0.79999999999999993</v>
      </c>
      <c r="F11" s="1" t="e">
        <f>(AH10)*(-PRODUCT(U10,AI10,(J10*COS(O10))^2) - PRODUCT(V10,AI10,(J10*SIN(O10))^2) + PRODUCT(X10, COS(R10+O10)) +PRODUCT(AA10,SIN(O10))) + (2*F10) - F9 + PRODUCT(J10,COS(O10),$B$3)</f>
        <v>#DIV/0!</v>
      </c>
      <c r="G11" s="1" t="e">
        <f>(AI10)*(-PRODUCT(V10,AJ10,(L10*SIN(P10))^2) + PRODUCT(W10,AJ10,(L10*COS(P10))^2) - T10 + PRODUCT(#REF!, SIN(S10+P10)) - PRODUCT(AA10,COS(O10))) + (2*G10) - G9 + PRODUCT(J10,SIN(O10), $B$3)</f>
        <v>#DIV/0!</v>
      </c>
      <c r="H11" s="1" t="e">
        <f t="shared" si="7"/>
        <v>#DIV/0!</v>
      </c>
      <c r="I11" s="1" t="e">
        <f t="shared" si="8"/>
        <v>#DIV/0!</v>
      </c>
      <c r="J11" s="1" t="e">
        <f t="shared" si="9"/>
        <v>#DIV/0!</v>
      </c>
      <c r="K11" s="1" t="e">
        <f t="shared" si="10"/>
        <v>#DIV/0!</v>
      </c>
      <c r="L11" s="1" t="e">
        <f t="shared" si="11"/>
        <v>#DIV/0!</v>
      </c>
      <c r="M11" s="1" t="e">
        <f t="shared" si="12"/>
        <v>#DIV/0!</v>
      </c>
      <c r="N11" s="1" t="e">
        <f t="shared" si="0"/>
        <v>#DIV/0!</v>
      </c>
      <c r="O11" s="1" t="e">
        <f>(AJ10)*(PRODUCT($B$22+$B$23,AA10)-PRODUCT($B$23,V10,AI10,J10^2) + PRODUCT($B$21,W10, AI10,J10^2)) + (2*O10) - O9 + PRODUCT(P10, $B$3) + ATAN(I10/H10)</f>
        <v>#DIV/0!</v>
      </c>
      <c r="P11" s="1" t="e">
        <f t="shared" si="13"/>
        <v>#DIV/0!</v>
      </c>
      <c r="Q11" s="1" t="e">
        <f t="shared" si="17"/>
        <v>#DIV/0!</v>
      </c>
      <c r="R11" s="1" t="e">
        <f t="shared" si="1"/>
        <v>#DIV/0!</v>
      </c>
      <c r="T11" s="1">
        <f t="shared" si="14"/>
        <v>-55456.043960227653</v>
      </c>
      <c r="U11" s="1" t="e">
        <f t="shared" si="15"/>
        <v>#DIV/0!</v>
      </c>
      <c r="V11" s="1" t="e">
        <f>(2*T11)/PRODUCT(AF11,$B$20,J11^2,COS(O11))</f>
        <v>#DIV/0!</v>
      </c>
      <c r="W11" s="1" t="e">
        <f t="shared" si="2"/>
        <v>#DIV/0!</v>
      </c>
      <c r="X11" s="1">
        <f t="shared" si="16"/>
        <v>4000</v>
      </c>
      <c r="Y11" s="1" t="e">
        <f>P11/O11</f>
        <v>#DIV/0!</v>
      </c>
      <c r="Z11" s="1" t="e">
        <f>T11/COS(O11)</f>
        <v>#DIV/0!</v>
      </c>
      <c r="AA11" s="1">
        <f>IF(E11&gt;$B$29, $B$27, IF(E11&lt;$B$29, AA10+($B$3*$B$26), AA10 - ($B$3*$B$26)))</f>
        <v>408.64756756756753</v>
      </c>
      <c r="AC11" s="19" t="e">
        <f>IF(G11&lt;100000, IF(G11&gt;10000, (343.2)+(-4.313943*G11)+(-0.291943*G11^2)+(0.053721*G11^3)+((-3.039687*10^(-3))*G11^4)+((9.262166*10^(-5))*G11^5)+((-1.647967*10^(-6))*G11^6)+((1.694814*10^(-8))*G11^7)+((-9.299892*10^(-11))*G11^8)+((2.104694*10^(-13))*G11^9), ((-0.00406576*G11)+340.3)), 0)</f>
        <v>#DIV/0!</v>
      </c>
      <c r="AD11" s="21" t="e">
        <f>IF(G11&gt;38000,0,(101325*(1-(2.25577*10^(-5))*G11)^5.25588))</f>
        <v>#DIV/0!</v>
      </c>
      <c r="AE11" s="19" t="e">
        <f>1.6667*AC11-273.15</f>
        <v>#DIV/0!</v>
      </c>
      <c r="AF11" s="20">
        <f t="shared" si="3"/>
        <v>6.2427261168861693E-2</v>
      </c>
      <c r="AG11" s="20" t="e">
        <f t="shared" si="4"/>
        <v>#DIV/0!</v>
      </c>
      <c r="AH11" s="1">
        <f xml:space="preserve"> ($B$25*POWER($B$3,2))/(T11)</f>
        <v>-5.8017120772399089E-6</v>
      </c>
      <c r="AI11" s="1">
        <f>AF11*$B$20/2</f>
        <v>7.8658349072765734</v>
      </c>
      <c r="AJ11" s="1" t="e">
        <f>($B$3^2)/Y11</f>
        <v>#DIV/0!</v>
      </c>
    </row>
    <row r="12" spans="1:36" x14ac:dyDescent="0.45">
      <c r="A12" s="1" t="s">
        <v>18</v>
      </c>
      <c r="B12" s="17">
        <v>13000</v>
      </c>
      <c r="C12" s="32" t="s">
        <v>1</v>
      </c>
      <c r="D12" s="1">
        <f t="shared" si="5"/>
        <v>9</v>
      </c>
      <c r="E12" s="23">
        <f t="shared" si="6"/>
        <v>0.89999999999999991</v>
      </c>
      <c r="F12" s="1" t="e">
        <f>(AH11)*(-PRODUCT(U11,AI11,(J11*COS(O11))^2) - PRODUCT(V11,AI11,(J11*SIN(O11))^2) + PRODUCT(X11, COS(R11+O11)) +PRODUCT(AA11,SIN(O11))) + (2*F11) - F10 + PRODUCT(J11,COS(O11),$B$3)</f>
        <v>#DIV/0!</v>
      </c>
      <c r="G12" s="1" t="e">
        <f>(AI11)*(-PRODUCT(V11,AJ11,(L11*SIN(P11))^2) + PRODUCT(W11,AJ11,(L11*COS(P11))^2) - T11 + PRODUCT(#REF!, SIN(S11+P11)) - PRODUCT(AA11,COS(O11))) + (2*G11) - G10 + PRODUCT(J11,SIN(O11), $B$3)</f>
        <v>#DIV/0!</v>
      </c>
      <c r="H12" s="1" t="e">
        <f t="shared" si="7"/>
        <v>#DIV/0!</v>
      </c>
      <c r="I12" s="1" t="e">
        <f t="shared" si="8"/>
        <v>#DIV/0!</v>
      </c>
      <c r="J12" s="1" t="e">
        <f t="shared" si="9"/>
        <v>#DIV/0!</v>
      </c>
      <c r="K12" s="1" t="e">
        <f t="shared" si="10"/>
        <v>#DIV/0!</v>
      </c>
      <c r="L12" s="1" t="e">
        <f t="shared" si="11"/>
        <v>#DIV/0!</v>
      </c>
      <c r="M12" s="1" t="e">
        <f t="shared" si="12"/>
        <v>#DIV/0!</v>
      </c>
      <c r="N12" s="1" t="e">
        <f t="shared" si="0"/>
        <v>#DIV/0!</v>
      </c>
      <c r="O12" s="1" t="e">
        <f>(AJ11)*(PRODUCT($B$22+$B$23,AA11)-PRODUCT($B$23,V11,AI11,J11^2) + PRODUCT($B$21,W11, AI11,J11^2)) + (2*O11) - O10 + PRODUCT(P11, $B$3) + ATAN(I11/H11)</f>
        <v>#DIV/0!</v>
      </c>
      <c r="P12" s="1" t="e">
        <f t="shared" si="13"/>
        <v>#DIV/0!</v>
      </c>
      <c r="Q12" s="1" t="e">
        <f t="shared" si="17"/>
        <v>#DIV/0!</v>
      </c>
      <c r="R12" s="1" t="e">
        <f t="shared" si="1"/>
        <v>#DIV/0!</v>
      </c>
      <c r="T12" s="1">
        <f t="shared" si="14"/>
        <v>-57386.483960227655</v>
      </c>
      <c r="U12" s="1" t="e">
        <f t="shared" si="15"/>
        <v>#DIV/0!</v>
      </c>
      <c r="V12" s="1" t="e">
        <f>(2*T12)/PRODUCT(AF12,$B$20,J12^2,COS(O12))</f>
        <v>#DIV/0!</v>
      </c>
      <c r="W12" s="1" t="e">
        <f t="shared" si="2"/>
        <v>#DIV/0!</v>
      </c>
      <c r="X12" s="1">
        <f t="shared" si="16"/>
        <v>4000</v>
      </c>
      <c r="Y12" s="1" t="e">
        <f>P12/O12</f>
        <v>#DIV/0!</v>
      </c>
      <c r="Z12" s="1" t="e">
        <f>T12/COS(O12)</f>
        <v>#DIV/0!</v>
      </c>
      <c r="AA12" s="1">
        <f>IF(E12&gt;$B$29, $B$27, IF(E12&lt;$B$29, AA11+($B$3*$B$26), AA11 - ($B$3*$B$26)))</f>
        <v>418.64756756756753</v>
      </c>
      <c r="AC12" s="19" t="e">
        <f>IF(G12&lt;100000, IF(G12&gt;10000, (343.2)+(-4.313943*G12)+(-0.291943*G12^2)+(0.053721*G12^3)+((-3.039687*10^(-3))*G12^4)+((9.262166*10^(-5))*G12^5)+((-1.647967*10^(-6))*G12^6)+((1.694814*10^(-8))*G12^7)+((-9.299892*10^(-11))*G12^8)+((2.104694*10^(-13))*G12^9), ((-0.00406576*G12)+340.3)), 0)</f>
        <v>#DIV/0!</v>
      </c>
      <c r="AD12" s="21" t="e">
        <f>IF(G12&gt;38000,0,(101325*(1-(2.25577*10^(-5))*G12)^5.25588))</f>
        <v>#DIV/0!</v>
      </c>
      <c r="AE12" s="19" t="e">
        <f>1.6667*AC12-273.15</f>
        <v>#DIV/0!</v>
      </c>
      <c r="AF12" s="20">
        <f t="shared" si="3"/>
        <v>6.2427261168861693E-2</v>
      </c>
      <c r="AG12" s="20" t="e">
        <f t="shared" si="4"/>
        <v>#DIV/0!</v>
      </c>
      <c r="AH12" s="1">
        <f xml:space="preserve"> ($B$25*POWER($B$3,2))/(T12)</f>
        <v>-5.6065466604119815E-6</v>
      </c>
      <c r="AI12" s="1">
        <f>AF12*$B$20/2</f>
        <v>7.8658349072765734</v>
      </c>
      <c r="AJ12" s="1" t="e">
        <f>($B$3^2)/Y12</f>
        <v>#DIV/0!</v>
      </c>
    </row>
    <row r="13" spans="1:36" x14ac:dyDescent="0.45">
      <c r="A13" s="1" t="s">
        <v>19</v>
      </c>
      <c r="B13" s="17">
        <v>2000</v>
      </c>
      <c r="C13" s="32" t="s">
        <v>1</v>
      </c>
      <c r="D13" s="1">
        <f t="shared" si="5"/>
        <v>10</v>
      </c>
      <c r="E13" s="23">
        <f t="shared" si="6"/>
        <v>0.99999999999999989</v>
      </c>
      <c r="F13" s="1" t="e">
        <f>(AH12)*(-PRODUCT(U12,AI12,(J12*COS(O12))^2) - PRODUCT(V12,AI12,(J12*SIN(O12))^2) + PRODUCT(X12, COS(R12+O12)) +PRODUCT(AA12,SIN(O12))) + (2*F12) - F11 + PRODUCT(J12,COS(O12),$B$3)</f>
        <v>#DIV/0!</v>
      </c>
      <c r="G13" s="1" t="e">
        <f>(AI12)*(-PRODUCT(V12,AJ12,(L12*SIN(P12))^2) + PRODUCT(W12,AJ12,(L12*COS(P12))^2) - T12 + PRODUCT(#REF!, SIN(S12+P12)) - PRODUCT(AA12,COS(O12))) + (2*G12) - G11 + PRODUCT(J12,SIN(O12), $B$3)</f>
        <v>#DIV/0!</v>
      </c>
      <c r="H13" s="1" t="e">
        <f t="shared" si="7"/>
        <v>#DIV/0!</v>
      </c>
      <c r="I13" s="1" t="e">
        <f t="shared" si="8"/>
        <v>#DIV/0!</v>
      </c>
      <c r="J13" s="1" t="e">
        <f t="shared" si="9"/>
        <v>#DIV/0!</v>
      </c>
      <c r="K13" s="1" t="e">
        <f t="shared" si="10"/>
        <v>#DIV/0!</v>
      </c>
      <c r="L13" s="1" t="e">
        <f t="shared" si="11"/>
        <v>#DIV/0!</v>
      </c>
      <c r="M13" s="1" t="e">
        <f t="shared" si="12"/>
        <v>#DIV/0!</v>
      </c>
      <c r="N13" s="1" t="e">
        <f t="shared" si="0"/>
        <v>#DIV/0!</v>
      </c>
      <c r="O13" s="1" t="e">
        <f>(AJ12)*(PRODUCT($B$22+$B$23,AA12)-PRODUCT($B$23,V12,AI12,J12^2) + PRODUCT($B$21,W12, AI12,J12^2)) + (2*O12) - O11 + PRODUCT(P12, $B$3) + ATAN(I12/H12)</f>
        <v>#DIV/0!</v>
      </c>
      <c r="P13" s="1" t="e">
        <f t="shared" si="13"/>
        <v>#DIV/0!</v>
      </c>
      <c r="Q13" s="1" t="e">
        <f t="shared" si="17"/>
        <v>#DIV/0!</v>
      </c>
      <c r="R13" s="1" t="e">
        <f t="shared" si="1"/>
        <v>#DIV/0!</v>
      </c>
      <c r="T13" s="1">
        <f t="shared" si="14"/>
        <v>-59316.923960227658</v>
      </c>
      <c r="U13" s="1" t="e">
        <f t="shared" si="15"/>
        <v>#DIV/0!</v>
      </c>
      <c r="V13" s="1" t="e">
        <f>(2*T13)/PRODUCT(AF13,$B$20,J13^2,COS(O13))</f>
        <v>#DIV/0!</v>
      </c>
      <c r="W13" s="1" t="e">
        <f t="shared" si="2"/>
        <v>#DIV/0!</v>
      </c>
      <c r="X13" s="1">
        <f t="shared" si="16"/>
        <v>4000</v>
      </c>
      <c r="Y13" s="1" t="e">
        <f>P13/O13</f>
        <v>#DIV/0!</v>
      </c>
      <c r="Z13" s="1" t="e">
        <f>T13/COS(O13)</f>
        <v>#DIV/0!</v>
      </c>
      <c r="AA13" s="1">
        <f>IF(E13&gt;$B$29, $B$27, IF(E13&lt;$B$29, AA12+($B$3*$B$26), AA12 - ($B$3*$B$26)))</f>
        <v>428.64756756756753</v>
      </c>
      <c r="AC13" s="19" t="e">
        <f>IF(G13&lt;100000, IF(G13&gt;10000, (343.2)+(-4.313943*G13)+(-0.291943*G13^2)+(0.053721*G13^3)+((-3.039687*10^(-3))*G13^4)+((9.262166*10^(-5))*G13^5)+((-1.647967*10^(-6))*G13^6)+((1.694814*10^(-8))*G13^7)+((-9.299892*10^(-11))*G13^8)+((2.104694*10^(-13))*G13^9), ((-0.00406576*G13)+340.3)), 0)</f>
        <v>#DIV/0!</v>
      </c>
      <c r="AD13" s="21" t="e">
        <f>IF(G13&gt;38000,0,(101325*(1-(2.25577*10^(-5))*G13)^5.25588))</f>
        <v>#DIV/0!</v>
      </c>
      <c r="AE13" s="19" t="e">
        <f>1.6667*AC13-273.15</f>
        <v>#DIV/0!</v>
      </c>
      <c r="AF13" s="20">
        <f t="shared" si="3"/>
        <v>6.2427261168861693E-2</v>
      </c>
      <c r="AG13" s="20" t="e">
        <f t="shared" si="4"/>
        <v>#DIV/0!</v>
      </c>
      <c r="AH13" s="1">
        <f xml:space="preserve"> ($B$25*POWER($B$3,2))/(T13)</f>
        <v>-5.4240843678227248E-6</v>
      </c>
      <c r="AI13" s="1">
        <f>AF13*$B$20/2</f>
        <v>7.8658349072765734</v>
      </c>
      <c r="AJ13" s="1" t="e">
        <f>($B$3^2)/Y13</f>
        <v>#DIV/0!</v>
      </c>
    </row>
    <row r="14" spans="1:36" x14ac:dyDescent="0.45">
      <c r="A14" s="1" t="s">
        <v>21</v>
      </c>
      <c r="B14" s="17">
        <v>3</v>
      </c>
      <c r="C14" s="32" t="s">
        <v>33</v>
      </c>
      <c r="D14" s="1">
        <f t="shared" si="5"/>
        <v>11</v>
      </c>
      <c r="E14" s="23">
        <f t="shared" si="6"/>
        <v>1.0999999999999999</v>
      </c>
      <c r="F14" s="1" t="e">
        <f>(AH13)*(-PRODUCT(U13,AI13,(J13*COS(O13))^2) - PRODUCT(V13,AI13,(J13*SIN(O13))^2) + PRODUCT(X13, COS(R13+O13)) +PRODUCT(AA13,SIN(O13))) + (2*F13) - F12 + PRODUCT(J13,COS(O13),$B$3)</f>
        <v>#DIV/0!</v>
      </c>
      <c r="G14" s="1" t="e">
        <f>(AI13)*(-PRODUCT(V13,AJ13,(L13*SIN(P13))^2) + PRODUCT(W13,AJ13,(L13*COS(P13))^2) - T13 + PRODUCT(#REF!, SIN(S13+P13)) - PRODUCT(AA13,COS(O13))) + (2*G13) - G12 + PRODUCT(J13,SIN(O13), $B$3)</f>
        <v>#DIV/0!</v>
      </c>
      <c r="H14" s="1" t="e">
        <f t="shared" si="7"/>
        <v>#DIV/0!</v>
      </c>
      <c r="I14" s="1" t="e">
        <f t="shared" si="8"/>
        <v>#DIV/0!</v>
      </c>
      <c r="J14" s="1" t="e">
        <f t="shared" si="9"/>
        <v>#DIV/0!</v>
      </c>
      <c r="K14" s="1" t="e">
        <f t="shared" si="10"/>
        <v>#DIV/0!</v>
      </c>
      <c r="L14" s="1" t="e">
        <f t="shared" si="11"/>
        <v>#DIV/0!</v>
      </c>
      <c r="M14" s="1" t="e">
        <f t="shared" si="12"/>
        <v>#DIV/0!</v>
      </c>
      <c r="N14" s="1" t="e">
        <f t="shared" si="0"/>
        <v>#DIV/0!</v>
      </c>
      <c r="O14" s="1" t="e">
        <f>(AJ13)*(PRODUCT($B$22+$B$23,AA13)-PRODUCT($B$23,V13,AI13,J13^2) + PRODUCT($B$21,W13, AI13,J13^2)) + (2*O13) - O12 + PRODUCT(P13, $B$3) + ATAN(I13/H13)</f>
        <v>#DIV/0!</v>
      </c>
      <c r="P14" s="1" t="e">
        <f t="shared" si="13"/>
        <v>#DIV/0!</v>
      </c>
      <c r="Q14" s="1" t="e">
        <f t="shared" si="17"/>
        <v>#DIV/0!</v>
      </c>
      <c r="R14" s="1" t="e">
        <f t="shared" si="1"/>
        <v>#DIV/0!</v>
      </c>
      <c r="T14" s="1">
        <f t="shared" si="14"/>
        <v>-61247.36396022766</v>
      </c>
      <c r="U14" s="1" t="e">
        <f t="shared" si="15"/>
        <v>#DIV/0!</v>
      </c>
      <c r="V14" s="1" t="e">
        <f>(2*T14)/PRODUCT(AF14,$B$20,J14^2,COS(O14))</f>
        <v>#DIV/0!</v>
      </c>
      <c r="W14" s="1" t="e">
        <f t="shared" si="2"/>
        <v>#DIV/0!</v>
      </c>
      <c r="X14" s="1">
        <f t="shared" si="16"/>
        <v>4000</v>
      </c>
      <c r="Y14" s="1" t="e">
        <f>P14/O14</f>
        <v>#DIV/0!</v>
      </c>
      <c r="Z14" s="1" t="e">
        <f>T14/COS(O14)</f>
        <v>#DIV/0!</v>
      </c>
      <c r="AA14" s="1">
        <f>IF(E14&gt;$B$29, $B$27, IF(E14&lt;$B$29, AA13+($B$3*$B$26), AA13 - ($B$3*$B$26)))</f>
        <v>438.64756756756753</v>
      </c>
      <c r="AC14" s="19" t="e">
        <f>IF(G14&lt;100000, IF(G14&gt;10000, (343.2)+(-4.313943*G14)+(-0.291943*G14^2)+(0.053721*G14^3)+((-3.039687*10^(-3))*G14^4)+((9.262166*10^(-5))*G14^5)+((-1.647967*10^(-6))*G14^6)+((1.694814*10^(-8))*G14^7)+((-9.299892*10^(-11))*G14^8)+((2.104694*10^(-13))*G14^9), ((-0.00406576*G14)+340.3)), 0)</f>
        <v>#DIV/0!</v>
      </c>
      <c r="AD14" s="21" t="e">
        <f>IF(G14&gt;38000,0,(101325*(1-(2.25577*10^(-5))*G14)^5.25588))</f>
        <v>#DIV/0!</v>
      </c>
      <c r="AE14" s="19" t="e">
        <f>1.6667*AC14-273.15</f>
        <v>#DIV/0!</v>
      </c>
      <c r="AF14" s="20">
        <f t="shared" si="3"/>
        <v>6.2427261168861693E-2</v>
      </c>
      <c r="AG14" s="20" t="e">
        <f t="shared" si="4"/>
        <v>#DIV/0!</v>
      </c>
      <c r="AH14" s="1">
        <f xml:space="preserve"> ($B$25*POWER($B$3,2))/(T14)</f>
        <v>-5.2531240399003801E-6</v>
      </c>
      <c r="AI14" s="1">
        <f>AF14*$B$20/2</f>
        <v>7.8658349072765734</v>
      </c>
      <c r="AJ14" s="1" t="e">
        <f>($B$3^2)/Y14</f>
        <v>#DIV/0!</v>
      </c>
    </row>
    <row r="15" spans="1:36" x14ac:dyDescent="0.45">
      <c r="A15" s="1" t="s">
        <v>20</v>
      </c>
      <c r="B15" s="17">
        <v>600</v>
      </c>
      <c r="C15" s="32" t="s">
        <v>34</v>
      </c>
      <c r="D15" s="1">
        <f t="shared" si="5"/>
        <v>12</v>
      </c>
      <c r="E15" s="23">
        <f t="shared" si="6"/>
        <v>1.2</v>
      </c>
      <c r="F15" s="1" t="e">
        <f>(AH14)*(-PRODUCT(U14,AI14,(J14*COS(O14))^2) - PRODUCT(V14,AI14,(J14*SIN(O14))^2) + PRODUCT(X14, COS(R14+O14)) +PRODUCT(AA14,SIN(O14))) + (2*F14) - F13 + PRODUCT(J14,COS(O14),$B$3)</f>
        <v>#DIV/0!</v>
      </c>
      <c r="G15" s="1" t="e">
        <f>(AI14)*(-PRODUCT(V14,AJ14,(L14*SIN(P14))^2) + PRODUCT(W14,AJ14,(L14*COS(P14))^2) - T14 + PRODUCT(#REF!, SIN(S14+P14)) - PRODUCT(AA14,COS(O14))) + (2*G14) - G13 + PRODUCT(J14,SIN(O14), $B$3)</f>
        <v>#DIV/0!</v>
      </c>
      <c r="H15" s="1" t="e">
        <f t="shared" si="7"/>
        <v>#DIV/0!</v>
      </c>
      <c r="I15" s="1" t="e">
        <f t="shared" si="8"/>
        <v>#DIV/0!</v>
      </c>
      <c r="J15" s="1" t="e">
        <f t="shared" si="9"/>
        <v>#DIV/0!</v>
      </c>
      <c r="K15" s="1" t="e">
        <f t="shared" si="10"/>
        <v>#DIV/0!</v>
      </c>
      <c r="L15" s="1" t="e">
        <f t="shared" si="11"/>
        <v>#DIV/0!</v>
      </c>
      <c r="M15" s="1" t="e">
        <f t="shared" si="12"/>
        <v>#DIV/0!</v>
      </c>
      <c r="N15" s="1" t="e">
        <f t="shared" si="0"/>
        <v>#DIV/0!</v>
      </c>
      <c r="O15" s="1" t="e">
        <f>(AJ14)*(PRODUCT($B$22+$B$23,AA14)-PRODUCT($B$23,V14,AI14,J14^2) + PRODUCT($B$21,W14, AI14,J14^2)) + (2*O14) - O13 + PRODUCT(P14, $B$3) + ATAN(I14/H14)</f>
        <v>#DIV/0!</v>
      </c>
      <c r="P15" s="1" t="e">
        <f t="shared" si="13"/>
        <v>#DIV/0!</v>
      </c>
      <c r="Q15" s="1" t="e">
        <f t="shared" si="17"/>
        <v>#DIV/0!</v>
      </c>
      <c r="R15" s="1" t="e">
        <f t="shared" si="1"/>
        <v>#DIV/0!</v>
      </c>
      <c r="T15" s="1">
        <f t="shared" si="14"/>
        <v>-63177.803960227662</v>
      </c>
      <c r="U15" s="1" t="e">
        <f t="shared" si="15"/>
        <v>#DIV/0!</v>
      </c>
      <c r="V15" s="1" t="e">
        <f>(2*T15)/PRODUCT(AF15,$B$20,J15^2,COS(O15))</f>
        <v>#DIV/0!</v>
      </c>
      <c r="W15" s="1" t="e">
        <f t="shared" si="2"/>
        <v>#DIV/0!</v>
      </c>
      <c r="X15" s="1">
        <f t="shared" si="16"/>
        <v>4000</v>
      </c>
      <c r="Y15" s="1" t="e">
        <f>P15/O15</f>
        <v>#DIV/0!</v>
      </c>
      <c r="Z15" s="1" t="e">
        <f>T15/COS(O15)</f>
        <v>#DIV/0!</v>
      </c>
      <c r="AA15" s="1">
        <f>IF(E15&gt;$B$29, $B$27, IF(E15&lt;$B$29, AA14+($B$3*$B$26), AA14 - ($B$3*$B$26)))</f>
        <v>448.64756756756753</v>
      </c>
      <c r="AC15" s="19" t="e">
        <f>IF(G15&lt;100000, IF(G15&gt;10000, (343.2)+(-4.313943*G15)+(-0.291943*G15^2)+(0.053721*G15^3)+((-3.039687*10^(-3))*G15^4)+((9.262166*10^(-5))*G15^5)+((-1.647967*10^(-6))*G15^6)+((1.694814*10^(-8))*G15^7)+((-9.299892*10^(-11))*G15^8)+((2.104694*10^(-13))*G15^9), ((-0.00406576*G15)+340.3)), 0)</f>
        <v>#DIV/0!</v>
      </c>
      <c r="AD15" s="21" t="e">
        <f>IF(G15&gt;38000,0,(101325*(1-(2.25577*10^(-5))*G15)^5.25588))</f>
        <v>#DIV/0!</v>
      </c>
      <c r="AE15" s="19" t="e">
        <f>1.6667*AC15-273.15</f>
        <v>#DIV/0!</v>
      </c>
      <c r="AF15" s="20">
        <f t="shared" si="3"/>
        <v>6.2427261168861693E-2</v>
      </c>
      <c r="AG15" s="20" t="e">
        <f t="shared" si="4"/>
        <v>#DIV/0!</v>
      </c>
      <c r="AH15" s="1">
        <f xml:space="preserve"> ($B$25*POWER($B$3,2))/(T15)</f>
        <v>-5.0926113260053346E-6</v>
      </c>
      <c r="AI15" s="1">
        <f>AF15*$B$20/2</f>
        <v>7.8658349072765734</v>
      </c>
      <c r="AJ15" s="1" t="e">
        <f>($B$3^2)/Y15</f>
        <v>#DIV/0!</v>
      </c>
    </row>
    <row r="16" spans="1:36" x14ac:dyDescent="0.45">
      <c r="A16" s="1" t="s">
        <v>22</v>
      </c>
      <c r="B16" s="17">
        <f>1.089*10^6</f>
        <v>1089000</v>
      </c>
      <c r="C16" s="32" t="s">
        <v>35</v>
      </c>
      <c r="D16" s="1">
        <f t="shared" si="5"/>
        <v>13</v>
      </c>
      <c r="E16" s="23">
        <f t="shared" si="6"/>
        <v>1.3</v>
      </c>
      <c r="F16" s="1" t="e">
        <f>(AH15)*(-PRODUCT(U15,AI15,(J15*COS(O15))^2) - PRODUCT(V15,AI15,(J15*SIN(O15))^2) + PRODUCT(X15, COS(R15+O15)) +PRODUCT(AA15,SIN(O15))) + (2*F15) - F14 + PRODUCT(J15,COS(O15),$B$3)</f>
        <v>#DIV/0!</v>
      </c>
      <c r="G16" s="1" t="e">
        <f>(AI15)*(-PRODUCT(V15,AJ15,(L15*SIN(P15))^2) + PRODUCT(W15,AJ15,(L15*COS(P15))^2) - T15 + PRODUCT(#REF!, SIN(S15+P15)) - PRODUCT(AA15,COS(O15))) + (2*G15) - G14 + PRODUCT(J15,SIN(O15), $B$3)</f>
        <v>#DIV/0!</v>
      </c>
      <c r="H16" s="1" t="e">
        <f t="shared" si="7"/>
        <v>#DIV/0!</v>
      </c>
      <c r="I16" s="1" t="e">
        <f t="shared" si="8"/>
        <v>#DIV/0!</v>
      </c>
      <c r="J16" s="1" t="e">
        <f t="shared" si="9"/>
        <v>#DIV/0!</v>
      </c>
      <c r="K16" s="1" t="e">
        <f t="shared" si="10"/>
        <v>#DIV/0!</v>
      </c>
      <c r="L16" s="1" t="e">
        <f t="shared" si="11"/>
        <v>#DIV/0!</v>
      </c>
      <c r="M16" s="1" t="e">
        <f t="shared" si="12"/>
        <v>#DIV/0!</v>
      </c>
      <c r="N16" s="1" t="e">
        <f t="shared" si="0"/>
        <v>#DIV/0!</v>
      </c>
      <c r="O16" s="1" t="e">
        <f>(AJ15)*(PRODUCT($B$22+$B$23,AA15)-PRODUCT($B$23,V15,AI15,J15^2) + PRODUCT($B$21,W15, AI15,J15^2)) + (2*O15) - O14 + PRODUCT(P15, $B$3) + ATAN(I15/H15)</f>
        <v>#DIV/0!</v>
      </c>
      <c r="P16" s="1" t="e">
        <f t="shared" si="13"/>
        <v>#DIV/0!</v>
      </c>
      <c r="Q16" s="1" t="e">
        <f t="shared" si="17"/>
        <v>#DIV/0!</v>
      </c>
      <c r="R16" s="1" t="e">
        <f t="shared" si="1"/>
        <v>#DIV/0!</v>
      </c>
      <c r="T16" s="1">
        <f t="shared" si="14"/>
        <v>-65108.243960227665</v>
      </c>
      <c r="U16" s="1" t="e">
        <f t="shared" si="15"/>
        <v>#DIV/0!</v>
      </c>
      <c r="V16" s="1" t="e">
        <f>(2*T16)/PRODUCT(AF16,$B$20,J16^2,COS(O16))</f>
        <v>#DIV/0!</v>
      </c>
      <c r="W16" s="1" t="e">
        <f t="shared" si="2"/>
        <v>#DIV/0!</v>
      </c>
      <c r="X16" s="1">
        <f t="shared" si="16"/>
        <v>4000</v>
      </c>
      <c r="Y16" s="1" t="e">
        <f>P16/O16</f>
        <v>#DIV/0!</v>
      </c>
      <c r="Z16" s="1" t="e">
        <f>T16/COS(O16)</f>
        <v>#DIV/0!</v>
      </c>
      <c r="AA16" s="1">
        <f>IF(E16&gt;$B$29, $B$27, IF(E16&lt;$B$29, AA15+($B$3*$B$26), AA15 - ($B$3*$B$26)))</f>
        <v>458.64756756756753</v>
      </c>
      <c r="AC16" s="19" t="e">
        <f>IF(G16&lt;100000, IF(G16&gt;10000, (343.2)+(-4.313943*G16)+(-0.291943*G16^2)+(0.053721*G16^3)+((-3.039687*10^(-3))*G16^4)+((9.262166*10^(-5))*G16^5)+((-1.647967*10^(-6))*G16^6)+((1.694814*10^(-8))*G16^7)+((-9.299892*10^(-11))*G16^8)+((2.104694*10^(-13))*G16^9), ((-0.00406576*G16)+340.3)), 0)</f>
        <v>#DIV/0!</v>
      </c>
      <c r="AD16" s="21" t="e">
        <f>IF(G16&gt;38000,0,(101325*(1-(2.25577*10^(-5))*G16)^5.25588))</f>
        <v>#DIV/0!</v>
      </c>
      <c r="AE16" s="19" t="e">
        <f>1.6667*AC16-273.15</f>
        <v>#DIV/0!</v>
      </c>
      <c r="AF16" s="20">
        <f t="shared" si="3"/>
        <v>6.2427261168861693E-2</v>
      </c>
      <c r="AG16" s="20" t="e">
        <f t="shared" si="4"/>
        <v>#DIV/0!</v>
      </c>
      <c r="AH16" s="1">
        <f xml:space="preserve"> ($B$25*POWER($B$3,2))/(T16)</f>
        <v>-4.9416169202250293E-6</v>
      </c>
      <c r="AI16" s="1">
        <f>AF16*$B$20/2</f>
        <v>7.8658349072765734</v>
      </c>
      <c r="AJ16" s="1" t="e">
        <f>($B$3^2)/Y16</f>
        <v>#DIV/0!</v>
      </c>
    </row>
    <row r="17" spans="1:36" x14ac:dyDescent="0.45">
      <c r="A17" s="1" t="s">
        <v>23</v>
      </c>
      <c r="B17" s="17">
        <v>1.4999999999999999E-2</v>
      </c>
      <c r="C17" s="32">
        <v>1.4999999999999999E-2</v>
      </c>
      <c r="D17" s="1">
        <f t="shared" si="5"/>
        <v>14</v>
      </c>
      <c r="E17" s="23">
        <f t="shared" si="6"/>
        <v>1.4000000000000001</v>
      </c>
      <c r="F17" s="1" t="e">
        <f>(AH16)*(-PRODUCT(U16,AI16,(J16*COS(O16))^2) - PRODUCT(V16,AI16,(J16*SIN(O16))^2) + PRODUCT(X16, COS(R16+O16)) +PRODUCT(AA16,SIN(O16))) + (2*F16) - F15 + PRODUCT(J16,COS(O16),$B$3)</f>
        <v>#DIV/0!</v>
      </c>
      <c r="G17" s="1" t="e">
        <f>(AI16)*(-PRODUCT(V16,AJ16,(L16*SIN(P16))^2) + PRODUCT(W16,AJ16,(L16*COS(P16))^2) - T16 + PRODUCT(#REF!, SIN(S16+P16)) - PRODUCT(AA16,COS(O16))) + (2*G16) - G15 + PRODUCT(J16,SIN(O16), $B$3)</f>
        <v>#DIV/0!</v>
      </c>
      <c r="H17" s="1" t="e">
        <f t="shared" si="7"/>
        <v>#DIV/0!</v>
      </c>
      <c r="I17" s="1" t="e">
        <f t="shared" si="8"/>
        <v>#DIV/0!</v>
      </c>
      <c r="J17" s="1" t="e">
        <f t="shared" si="9"/>
        <v>#DIV/0!</v>
      </c>
      <c r="K17" s="1" t="e">
        <f t="shared" si="10"/>
        <v>#DIV/0!</v>
      </c>
      <c r="L17" s="1" t="e">
        <f t="shared" si="11"/>
        <v>#DIV/0!</v>
      </c>
      <c r="M17" s="1" t="e">
        <f t="shared" si="12"/>
        <v>#DIV/0!</v>
      </c>
      <c r="N17" s="1" t="e">
        <f t="shared" si="0"/>
        <v>#DIV/0!</v>
      </c>
      <c r="O17" s="1" t="e">
        <f>(AJ16)*(PRODUCT($B$22+$B$23,AA16)-PRODUCT($B$23,V16,AI16,J16^2) + PRODUCT($B$21,W16, AI16,J16^2)) + (2*O16) - O15 + PRODUCT(P16, $B$3) + ATAN(I16/H16)</f>
        <v>#DIV/0!</v>
      </c>
      <c r="P17" s="1" t="e">
        <f t="shared" si="13"/>
        <v>#DIV/0!</v>
      </c>
      <c r="Q17" s="1" t="e">
        <f t="shared" si="17"/>
        <v>#DIV/0!</v>
      </c>
      <c r="R17" s="1" t="e">
        <f t="shared" si="1"/>
        <v>#DIV/0!</v>
      </c>
      <c r="T17" s="1">
        <f t="shared" si="14"/>
        <v>-67038.68396022766</v>
      </c>
      <c r="U17" s="1" t="e">
        <f t="shared" si="15"/>
        <v>#DIV/0!</v>
      </c>
      <c r="V17" s="1" t="e">
        <f>(2*T17)/PRODUCT(AF17,$B$20,J17^2,COS(O17))</f>
        <v>#DIV/0!</v>
      </c>
      <c r="W17" s="1" t="e">
        <f t="shared" si="2"/>
        <v>#DIV/0!</v>
      </c>
      <c r="X17" s="1">
        <f t="shared" si="16"/>
        <v>4000</v>
      </c>
      <c r="Y17" s="1" t="e">
        <f>P17/O17</f>
        <v>#DIV/0!</v>
      </c>
      <c r="Z17" s="1" t="e">
        <f>T17/COS(O17)</f>
        <v>#DIV/0!</v>
      </c>
      <c r="AA17" s="1">
        <f>IF(E17&gt;$B$29, $B$27, IF(E17&lt;$B$29, AA16+($B$3*$B$26), AA16 - ($B$3*$B$26)))</f>
        <v>468.64756756756753</v>
      </c>
      <c r="AC17" s="19" t="e">
        <f>IF(G17&lt;100000, IF(G17&gt;10000, (343.2)+(-4.313943*G17)+(-0.291943*G17^2)+(0.053721*G17^3)+((-3.039687*10^(-3))*G17^4)+((9.262166*10^(-5))*G17^5)+((-1.647967*10^(-6))*G17^6)+((1.694814*10^(-8))*G17^7)+((-9.299892*10^(-11))*G17^8)+((2.104694*10^(-13))*G17^9), ((-0.00406576*G17)+340.3)), 0)</f>
        <v>#DIV/0!</v>
      </c>
      <c r="AD17" s="21" t="e">
        <f>IF(G17&gt;38000,0,(101325*(1-(2.25577*10^(-5))*G17)^5.25588))</f>
        <v>#DIV/0!</v>
      </c>
      <c r="AE17" s="19" t="e">
        <f>1.6667*AC17-273.15</f>
        <v>#DIV/0!</v>
      </c>
      <c r="AF17" s="20">
        <f t="shared" si="3"/>
        <v>6.2427261168861693E-2</v>
      </c>
      <c r="AG17" s="20" t="e">
        <f t="shared" si="4"/>
        <v>#DIV/0!</v>
      </c>
      <c r="AH17" s="1">
        <f xml:space="preserve"> ($B$25*POWER($B$3,2))/(T17)</f>
        <v>-4.7993185574895861E-6</v>
      </c>
      <c r="AI17" s="1">
        <f>AF17*$B$20/2</f>
        <v>7.8658349072765734</v>
      </c>
      <c r="AJ17" s="1" t="e">
        <f>($B$3^2)/Y17</f>
        <v>#DIV/0!</v>
      </c>
    </row>
    <row r="18" spans="1:36" x14ac:dyDescent="0.45">
      <c r="A18" s="1" t="s">
        <v>24</v>
      </c>
      <c r="B18" s="17">
        <v>0.85</v>
      </c>
      <c r="D18" s="1">
        <f t="shared" si="5"/>
        <v>15</v>
      </c>
      <c r="E18" s="23">
        <f t="shared" si="6"/>
        <v>1.5000000000000002</v>
      </c>
      <c r="F18" s="1" t="e">
        <f>(AH17)*(-PRODUCT(U17,AI17,(J17*COS(O17))^2) - PRODUCT(V17,AI17,(J17*SIN(O17))^2) + PRODUCT(X17, COS(R17+O17)) +PRODUCT(AA17,SIN(O17))) + (2*F17) - F16 + PRODUCT(J17,COS(O17),$B$3)</f>
        <v>#DIV/0!</v>
      </c>
      <c r="G18" s="1" t="e">
        <f>(AI17)*(-PRODUCT(V17,AJ17,(L17*SIN(P17))^2) + PRODUCT(W17,AJ17,(L17*COS(P17))^2) - T17 + PRODUCT(#REF!, SIN(S17+P17)) - PRODUCT(AA17,COS(O17))) + (2*G17) - G16 + PRODUCT(J17,SIN(O17), $B$3)</f>
        <v>#DIV/0!</v>
      </c>
      <c r="H18" s="1" t="e">
        <f t="shared" si="7"/>
        <v>#DIV/0!</v>
      </c>
      <c r="I18" s="1" t="e">
        <f t="shared" si="8"/>
        <v>#DIV/0!</v>
      </c>
      <c r="J18" s="1" t="e">
        <f t="shared" si="9"/>
        <v>#DIV/0!</v>
      </c>
      <c r="K18" s="1" t="e">
        <f t="shared" si="10"/>
        <v>#DIV/0!</v>
      </c>
      <c r="L18" s="1" t="e">
        <f t="shared" si="11"/>
        <v>#DIV/0!</v>
      </c>
      <c r="M18" s="1" t="e">
        <f t="shared" si="12"/>
        <v>#DIV/0!</v>
      </c>
      <c r="N18" s="1" t="e">
        <f t="shared" si="0"/>
        <v>#DIV/0!</v>
      </c>
      <c r="O18" s="1" t="e">
        <f>(AJ17)*(PRODUCT($B$22+$B$23,AA17)-PRODUCT($B$23,V17,AI17,J17^2) + PRODUCT($B$21,W17, AI17,J17^2)) + (2*O17) - O16 + PRODUCT(P17, $B$3) + ATAN(I17/H17)</f>
        <v>#DIV/0!</v>
      </c>
      <c r="P18" s="1" t="e">
        <f t="shared" si="13"/>
        <v>#DIV/0!</v>
      </c>
      <c r="Q18" s="1" t="e">
        <f t="shared" si="17"/>
        <v>#DIV/0!</v>
      </c>
      <c r="R18" s="1" t="e">
        <f t="shared" si="1"/>
        <v>#DIV/0!</v>
      </c>
      <c r="T18" s="1">
        <f t="shared" si="14"/>
        <v>-68969.123960227662</v>
      </c>
      <c r="U18" s="1" t="e">
        <f t="shared" si="15"/>
        <v>#DIV/0!</v>
      </c>
      <c r="V18" s="1" t="e">
        <f>(2*T18)/PRODUCT(AF18,$B$20,J18^2,COS(O18))</f>
        <v>#DIV/0!</v>
      </c>
      <c r="W18" s="1" t="e">
        <f t="shared" si="2"/>
        <v>#DIV/0!</v>
      </c>
      <c r="X18" s="1">
        <f t="shared" si="16"/>
        <v>4000</v>
      </c>
      <c r="Y18" s="1" t="e">
        <f>P18/O18</f>
        <v>#DIV/0!</v>
      </c>
      <c r="Z18" s="1" t="e">
        <f>T18/COS(O18)</f>
        <v>#DIV/0!</v>
      </c>
      <c r="AA18" s="1">
        <f>IF(E18&gt;$B$29, $B$27, IF(E18&lt;$B$29, AA17+($B$3*$B$26), AA17 - ($B$3*$B$26)))</f>
        <v>478.64756756756753</v>
      </c>
      <c r="AC18" s="19" t="e">
        <f>IF(G18&lt;100000, IF(G18&gt;10000, (343.2)+(-4.313943*G18)+(-0.291943*G18^2)+(0.053721*G18^3)+((-3.039687*10^(-3))*G18^4)+((9.262166*10^(-5))*G18^5)+((-1.647967*10^(-6))*G18^6)+((1.694814*10^(-8))*G18^7)+((-9.299892*10^(-11))*G18^8)+((2.104694*10^(-13))*G18^9), ((-0.00406576*G18)+340.3)), 0)</f>
        <v>#DIV/0!</v>
      </c>
      <c r="AD18" s="21" t="e">
        <f>IF(G18&gt;38000,0,(101325*(1-(2.25577*10^(-5))*G18)^5.25588))</f>
        <v>#DIV/0!</v>
      </c>
      <c r="AE18" s="19" t="e">
        <f>1.6667*AC18-273.15</f>
        <v>#DIV/0!</v>
      </c>
      <c r="AF18" s="20">
        <f t="shared" si="3"/>
        <v>6.2427261168861693E-2</v>
      </c>
      <c r="AG18" s="20" t="e">
        <f t="shared" si="4"/>
        <v>#DIV/0!</v>
      </c>
      <c r="AH18" s="1">
        <f xml:space="preserve"> ($B$25*POWER($B$3,2))/(T18)</f>
        <v>-4.6649860332507267E-6</v>
      </c>
      <c r="AI18" s="1">
        <f>AF18*$B$20/2</f>
        <v>7.8658349072765734</v>
      </c>
      <c r="AJ18" s="1" t="e">
        <f>($B$3^2)/Y18</f>
        <v>#DIV/0!</v>
      </c>
    </row>
    <row r="19" spans="1:36" x14ac:dyDescent="0.45">
      <c r="A19" s="1" t="s">
        <v>25</v>
      </c>
      <c r="B19" s="17">
        <v>5.1429999999999998</v>
      </c>
      <c r="D19" s="1">
        <f t="shared" si="5"/>
        <v>16</v>
      </c>
      <c r="E19" s="23">
        <f t="shared" si="6"/>
        <v>1.6000000000000003</v>
      </c>
      <c r="F19" s="1" t="e">
        <f>(AH18)*(-PRODUCT(U18,AI18,(J18*COS(O18))^2) - PRODUCT(V18,AI18,(J18*SIN(O18))^2) + PRODUCT(X18, COS(R18+O18)) +PRODUCT(AA18,SIN(O18))) + (2*F18) - F17 + PRODUCT(J18,COS(O18),$B$3)</f>
        <v>#DIV/0!</v>
      </c>
      <c r="G19" s="1" t="e">
        <f>(AI18)*(-PRODUCT(V18,AJ18,(L18*SIN(P18))^2) + PRODUCT(W18,AJ18,(L18*COS(P18))^2) - T18 + PRODUCT(#REF!, SIN(S18+P18)) - PRODUCT(AA18,COS(O18))) + (2*G18) - G17 + PRODUCT(J18,SIN(O18), $B$3)</f>
        <v>#DIV/0!</v>
      </c>
      <c r="H19" s="1" t="e">
        <f t="shared" si="7"/>
        <v>#DIV/0!</v>
      </c>
      <c r="I19" s="1" t="e">
        <f t="shared" si="8"/>
        <v>#DIV/0!</v>
      </c>
      <c r="J19" s="1" t="e">
        <f t="shared" si="9"/>
        <v>#DIV/0!</v>
      </c>
      <c r="K19" s="1" t="e">
        <f t="shared" si="10"/>
        <v>#DIV/0!</v>
      </c>
      <c r="L19" s="1" t="e">
        <f t="shared" si="11"/>
        <v>#DIV/0!</v>
      </c>
      <c r="M19" s="1" t="e">
        <f t="shared" si="12"/>
        <v>#DIV/0!</v>
      </c>
      <c r="N19" s="1" t="e">
        <f t="shared" si="0"/>
        <v>#DIV/0!</v>
      </c>
      <c r="O19" s="1" t="e">
        <f>(AJ18)*(PRODUCT($B$22+$B$23,AA18)-PRODUCT($B$23,V18,AI18,J18^2) + PRODUCT($B$21,W18, AI18,J18^2)) + (2*O18) - O17 + PRODUCT(P18, $B$3) + ATAN(I18/H18)</f>
        <v>#DIV/0!</v>
      </c>
      <c r="P19" s="1" t="e">
        <f t="shared" si="13"/>
        <v>#DIV/0!</v>
      </c>
      <c r="Q19" s="1" t="e">
        <f t="shared" si="17"/>
        <v>#DIV/0!</v>
      </c>
      <c r="R19" s="1" t="e">
        <f t="shared" si="1"/>
        <v>#DIV/0!</v>
      </c>
      <c r="T19" s="1">
        <f t="shared" si="14"/>
        <v>-70899.563960227664</v>
      </c>
      <c r="U19" s="1" t="e">
        <f t="shared" si="15"/>
        <v>#DIV/0!</v>
      </c>
      <c r="V19" s="1" t="e">
        <f>(2*T19)/PRODUCT(AF19,$B$20,J19^2,COS(O19))</f>
        <v>#DIV/0!</v>
      </c>
      <c r="W19" s="1" t="e">
        <f t="shared" si="2"/>
        <v>#DIV/0!</v>
      </c>
      <c r="X19" s="1">
        <f t="shared" si="16"/>
        <v>4000</v>
      </c>
      <c r="Y19" s="1" t="e">
        <f>P19/O19</f>
        <v>#DIV/0!</v>
      </c>
      <c r="Z19" s="1" t="e">
        <f>T19/COS(O19)</f>
        <v>#DIV/0!</v>
      </c>
      <c r="AA19" s="1">
        <f>IF(E19&gt;$B$29, $B$27, IF(E19&lt;$B$29, AA18+($B$3*$B$26), AA18 - ($B$3*$B$26)))</f>
        <v>488.64756756756753</v>
      </c>
      <c r="AC19" s="19" t="e">
        <f>IF(G19&lt;100000, IF(G19&gt;10000, (343.2)+(-4.313943*G19)+(-0.291943*G19^2)+(0.053721*G19^3)+((-3.039687*10^(-3))*G19^4)+((9.262166*10^(-5))*G19^5)+((-1.647967*10^(-6))*G19^6)+((1.694814*10^(-8))*G19^7)+((-9.299892*10^(-11))*G19^8)+((2.104694*10^(-13))*G19^9), ((-0.00406576*G19)+340.3)), 0)</f>
        <v>#DIV/0!</v>
      </c>
      <c r="AD19" s="21" t="e">
        <f>IF(G19&gt;38000,0,(101325*(1-(2.25577*10^(-5))*G19)^5.25588))</f>
        <v>#DIV/0!</v>
      </c>
      <c r="AE19" s="19" t="e">
        <f>1.6667*AC19-273.15</f>
        <v>#DIV/0!</v>
      </c>
      <c r="AF19" s="20">
        <f t="shared" si="3"/>
        <v>6.2427261168861693E-2</v>
      </c>
      <c r="AG19" s="20" t="e">
        <f t="shared" si="4"/>
        <v>#DIV/0!</v>
      </c>
      <c r="AH19" s="1">
        <f xml:space="preserve"> ($B$25*POWER($B$3,2))/(T19)</f>
        <v>-4.5379686704488856E-6</v>
      </c>
      <c r="AI19" s="1">
        <f>AF19*$B$20/2</f>
        <v>7.8658349072765734</v>
      </c>
      <c r="AJ19" s="1" t="e">
        <f>($B$3^2)/Y19</f>
        <v>#DIV/0!</v>
      </c>
    </row>
    <row r="20" spans="1:36" x14ac:dyDescent="0.45">
      <c r="A20" s="1" t="s">
        <v>27</v>
      </c>
      <c r="B20" s="17">
        <v>252</v>
      </c>
      <c r="C20" s="32" t="s">
        <v>36</v>
      </c>
      <c r="D20" s="1">
        <f t="shared" si="5"/>
        <v>17</v>
      </c>
      <c r="E20" s="23">
        <f t="shared" si="6"/>
        <v>1.7000000000000004</v>
      </c>
      <c r="F20" s="1" t="e">
        <f>(AH19)*(-PRODUCT(U19,AI19,(J19*COS(O19))^2) - PRODUCT(V19,AI19,(J19*SIN(O19))^2) + PRODUCT(X19, COS(R19+O19)) +PRODUCT(AA19,SIN(O19))) + (2*F19) - F18 + PRODUCT(J19,COS(O19),$B$3)</f>
        <v>#DIV/0!</v>
      </c>
      <c r="G20" s="1" t="e">
        <f>(AI19)*(-PRODUCT(V19,AJ19,(L19*SIN(P19))^2) + PRODUCT(W19,AJ19,(L19*COS(P19))^2) - T19 + PRODUCT(#REF!, SIN(S19+P19)) - PRODUCT(AA19,COS(O19))) + (2*G19) - G18 + PRODUCT(J19,SIN(O19), $B$3)</f>
        <v>#DIV/0!</v>
      </c>
      <c r="H20" s="1" t="e">
        <f t="shared" si="7"/>
        <v>#DIV/0!</v>
      </c>
      <c r="I20" s="1" t="e">
        <f t="shared" si="8"/>
        <v>#DIV/0!</v>
      </c>
      <c r="J20" s="1" t="e">
        <f t="shared" si="9"/>
        <v>#DIV/0!</v>
      </c>
      <c r="K20" s="1" t="e">
        <f t="shared" si="10"/>
        <v>#DIV/0!</v>
      </c>
      <c r="L20" s="1" t="e">
        <f t="shared" si="11"/>
        <v>#DIV/0!</v>
      </c>
      <c r="M20" s="1" t="e">
        <f t="shared" si="12"/>
        <v>#DIV/0!</v>
      </c>
      <c r="N20" s="1" t="e">
        <f t="shared" si="0"/>
        <v>#DIV/0!</v>
      </c>
      <c r="O20" s="1" t="e">
        <f>(AJ19)*(PRODUCT($B$22+$B$23,AA19)-PRODUCT($B$23,V19,AI19,J19^2) + PRODUCT($B$21,W19, AI19,J19^2)) + (2*O19) - O18 + PRODUCT(P19, $B$3) + ATAN(I19/H19)</f>
        <v>#DIV/0!</v>
      </c>
      <c r="P20" s="1" t="e">
        <f t="shared" si="13"/>
        <v>#DIV/0!</v>
      </c>
      <c r="Q20" s="1" t="e">
        <f t="shared" si="17"/>
        <v>#DIV/0!</v>
      </c>
      <c r="R20" s="1" t="e">
        <f t="shared" si="1"/>
        <v>#DIV/0!</v>
      </c>
      <c r="T20" s="1">
        <f t="shared" si="14"/>
        <v>-72830.003960227667</v>
      </c>
      <c r="U20" s="1" t="e">
        <f t="shared" si="15"/>
        <v>#DIV/0!</v>
      </c>
      <c r="V20" s="1" t="e">
        <f>(2*T20)/PRODUCT(AF20,$B$20,J20^2,COS(O20))</f>
        <v>#DIV/0!</v>
      </c>
      <c r="W20" s="1" t="e">
        <f t="shared" si="2"/>
        <v>#DIV/0!</v>
      </c>
      <c r="X20" s="1">
        <f t="shared" si="16"/>
        <v>4000</v>
      </c>
      <c r="Y20" s="1" t="e">
        <f>P20/O20</f>
        <v>#DIV/0!</v>
      </c>
      <c r="Z20" s="1" t="e">
        <f>T20/COS(O20)</f>
        <v>#DIV/0!</v>
      </c>
      <c r="AA20" s="1">
        <f>IF(E20&gt;$B$29, $B$27, IF(E20&lt;$B$29, AA19+($B$3*$B$26), AA19 - ($B$3*$B$26)))</f>
        <v>498.64756756756753</v>
      </c>
      <c r="AC20" s="19" t="e">
        <f>IF(G20&lt;100000, IF(G20&gt;10000, (343.2)+(-4.313943*G20)+(-0.291943*G20^2)+(0.053721*G20^3)+((-3.039687*10^(-3))*G20^4)+((9.262166*10^(-5))*G20^5)+((-1.647967*10^(-6))*G20^6)+((1.694814*10^(-8))*G20^7)+((-9.299892*10^(-11))*G20^8)+((2.104694*10^(-13))*G20^9), ((-0.00406576*G20)+340.3)), 0)</f>
        <v>#DIV/0!</v>
      </c>
      <c r="AD20" s="21" t="e">
        <f>IF(G20&gt;38000,0,(101325*(1-(2.25577*10^(-5))*G20)^5.25588))</f>
        <v>#DIV/0!</v>
      </c>
      <c r="AE20" s="19" t="e">
        <f>1.6667*AC20-273.15</f>
        <v>#DIV/0!</v>
      </c>
      <c r="AF20" s="20">
        <f t="shared" si="3"/>
        <v>6.2427261168861693E-2</v>
      </c>
      <c r="AG20" s="20" t="e">
        <f t="shared" si="4"/>
        <v>#DIV/0!</v>
      </c>
      <c r="AH20" s="1">
        <f xml:space="preserve"> ($B$25*POWER($B$3,2))/(T20)</f>
        <v>-4.4176847796919209E-6</v>
      </c>
      <c r="AI20" s="1">
        <f>AF20*$B$20/2</f>
        <v>7.8658349072765734</v>
      </c>
      <c r="AJ20" s="1" t="e">
        <f>($B$3^2)/Y20</f>
        <v>#DIV/0!</v>
      </c>
    </row>
    <row r="21" spans="1:36" x14ac:dyDescent="0.45">
      <c r="A21" s="1" t="s">
        <v>31</v>
      </c>
      <c r="B21" s="17">
        <v>7</v>
      </c>
      <c r="D21" s="1">
        <f t="shared" si="5"/>
        <v>18</v>
      </c>
      <c r="E21" s="23">
        <f t="shared" si="6"/>
        <v>1.8000000000000005</v>
      </c>
      <c r="F21" s="1" t="e">
        <f>(AH20)*(-PRODUCT(U20,AI20,(J20*COS(O20))^2) - PRODUCT(V20,AI20,(J20*SIN(O20))^2) + PRODUCT(X20, COS(R20+O20)) +PRODUCT(AA20,SIN(O20))) + (2*F20) - F19 + PRODUCT(J20,COS(O20),$B$3)</f>
        <v>#DIV/0!</v>
      </c>
      <c r="G21" s="1" t="e">
        <f>(AI20)*(-PRODUCT(V20,AJ20,(L20*SIN(P20))^2) + PRODUCT(W20,AJ20,(L20*COS(P20))^2) - T20 + PRODUCT(#REF!, SIN(S20+P20)) - PRODUCT(AA20,COS(O20))) + (2*G20) - G19 + PRODUCT(J20,SIN(O20), $B$3)</f>
        <v>#DIV/0!</v>
      </c>
      <c r="H21" s="1" t="e">
        <f t="shared" si="7"/>
        <v>#DIV/0!</v>
      </c>
      <c r="I21" s="1" t="e">
        <f t="shared" si="8"/>
        <v>#DIV/0!</v>
      </c>
      <c r="J21" s="1" t="e">
        <f t="shared" si="9"/>
        <v>#DIV/0!</v>
      </c>
      <c r="K21" s="1" t="e">
        <f t="shared" si="10"/>
        <v>#DIV/0!</v>
      </c>
      <c r="L21" s="1" t="e">
        <f t="shared" si="11"/>
        <v>#DIV/0!</v>
      </c>
      <c r="M21" s="1" t="e">
        <f t="shared" si="12"/>
        <v>#DIV/0!</v>
      </c>
      <c r="N21" s="1" t="e">
        <f t="shared" si="0"/>
        <v>#DIV/0!</v>
      </c>
      <c r="O21" s="1" t="e">
        <f>(AJ20)*(PRODUCT($B$22+$B$23,AA20)-PRODUCT($B$23,V20,AI20,J20^2) + PRODUCT($B$21,W20, AI20,J20^2)) + (2*O20) - O19 + PRODUCT(P20, $B$3) + ATAN(I20/H20)</f>
        <v>#DIV/0!</v>
      </c>
      <c r="P21" s="1" t="e">
        <f t="shared" si="13"/>
        <v>#DIV/0!</v>
      </c>
      <c r="Q21" s="1" t="e">
        <f t="shared" si="17"/>
        <v>#DIV/0!</v>
      </c>
      <c r="R21" s="1" t="e">
        <f t="shared" si="1"/>
        <v>#DIV/0!</v>
      </c>
      <c r="T21" s="1">
        <f t="shared" si="14"/>
        <v>-74760.443960227669</v>
      </c>
      <c r="U21" s="1" t="e">
        <f t="shared" si="15"/>
        <v>#DIV/0!</v>
      </c>
      <c r="V21" s="1" t="e">
        <f>(2*T21)/PRODUCT(AF21,$B$20,J21^2,COS(O21))</f>
        <v>#DIV/0!</v>
      </c>
      <c r="W21" s="1" t="e">
        <f t="shared" si="2"/>
        <v>#DIV/0!</v>
      </c>
      <c r="X21" s="1">
        <f t="shared" si="16"/>
        <v>4000</v>
      </c>
      <c r="Y21" s="1" t="e">
        <f>P21/O21</f>
        <v>#DIV/0!</v>
      </c>
      <c r="Z21" s="1" t="e">
        <f>T21/COS(O21)</f>
        <v>#DIV/0!</v>
      </c>
      <c r="AA21" s="1">
        <f>IF(E21&gt;$B$29, $B$27, IF(E21&lt;$B$29, AA20+($B$3*$B$26), AA20 - ($B$3*$B$26)))</f>
        <v>508.64756756756753</v>
      </c>
      <c r="AC21" s="19" t="e">
        <f>IF(G21&lt;100000, IF(G21&gt;10000, (343.2)+(-4.313943*G21)+(-0.291943*G21^2)+(0.053721*G21^3)+((-3.039687*10^(-3))*G21^4)+((9.262166*10^(-5))*G21^5)+((-1.647967*10^(-6))*G21^6)+((1.694814*10^(-8))*G21^7)+((-9.299892*10^(-11))*G21^8)+((2.104694*10^(-13))*G21^9), ((-0.00406576*G21)+340.3)), 0)</f>
        <v>#DIV/0!</v>
      </c>
      <c r="AD21" s="21" t="e">
        <f>IF(G21&gt;38000,0,(101325*(1-(2.25577*10^(-5))*G21)^5.25588))</f>
        <v>#DIV/0!</v>
      </c>
      <c r="AE21" s="19" t="e">
        <f>1.6667*AC21-273.15</f>
        <v>#DIV/0!</v>
      </c>
      <c r="AF21" s="20">
        <f t="shared" si="3"/>
        <v>6.2427261168861693E-2</v>
      </c>
      <c r="AG21" s="20" t="e">
        <f t="shared" si="4"/>
        <v>#DIV/0!</v>
      </c>
      <c r="AH21" s="1">
        <f xml:space="preserve"> ($B$25*POWER($B$3,2))/(T21)</f>
        <v>-4.3036127523689509E-6</v>
      </c>
      <c r="AI21" s="1">
        <f>AF21*$B$20/2</f>
        <v>7.8658349072765734</v>
      </c>
      <c r="AJ21" s="1" t="e">
        <f>($B$3^2)/Y21</f>
        <v>#DIV/0!</v>
      </c>
    </row>
    <row r="22" spans="1:36" x14ac:dyDescent="0.45">
      <c r="A22" s="1" t="s">
        <v>28</v>
      </c>
      <c r="B22" s="17">
        <v>18</v>
      </c>
      <c r="D22" s="1">
        <f t="shared" si="5"/>
        <v>19</v>
      </c>
      <c r="E22" s="23">
        <f t="shared" si="6"/>
        <v>1.9000000000000006</v>
      </c>
      <c r="F22" s="1" t="e">
        <f>(AH21)*(-PRODUCT(U21,AI21,(J21*COS(O21))^2) - PRODUCT(V21,AI21,(J21*SIN(O21))^2) + PRODUCT(X21, COS(R21+O21)) +PRODUCT(AA21,SIN(O21))) + (2*F21) - F20 + PRODUCT(J21,COS(O21),$B$3)</f>
        <v>#DIV/0!</v>
      </c>
      <c r="G22" s="1" t="e">
        <f>(AI21)*(-PRODUCT(V21,AJ21,(L21*SIN(P21))^2) + PRODUCT(W21,AJ21,(L21*COS(P21))^2) - T21 + PRODUCT(#REF!, SIN(S21+P21)) - PRODUCT(AA21,COS(O21))) + (2*G21) - G20 + PRODUCT(J21,SIN(O21), $B$3)</f>
        <v>#DIV/0!</v>
      </c>
      <c r="H22" s="1" t="e">
        <f t="shared" si="7"/>
        <v>#DIV/0!</v>
      </c>
      <c r="I22" s="1" t="e">
        <f t="shared" si="8"/>
        <v>#DIV/0!</v>
      </c>
      <c r="J22" s="1" t="e">
        <f t="shared" si="9"/>
        <v>#DIV/0!</v>
      </c>
      <c r="K22" s="1" t="e">
        <f t="shared" si="10"/>
        <v>#DIV/0!</v>
      </c>
      <c r="L22" s="1" t="e">
        <f t="shared" si="11"/>
        <v>#DIV/0!</v>
      </c>
      <c r="M22" s="1" t="e">
        <f t="shared" si="12"/>
        <v>#DIV/0!</v>
      </c>
      <c r="N22" s="1" t="e">
        <f t="shared" si="0"/>
        <v>#DIV/0!</v>
      </c>
      <c r="O22" s="1" t="e">
        <f>(AJ21)*(PRODUCT($B$22+$B$23,AA21)-PRODUCT($B$23,V21,AI21,J21^2) + PRODUCT($B$21,W21, AI21,J21^2)) + (2*O21) - O20 + PRODUCT(P21, $B$3) + ATAN(I21/H21)</f>
        <v>#DIV/0!</v>
      </c>
      <c r="P22" s="1" t="e">
        <f t="shared" si="13"/>
        <v>#DIV/0!</v>
      </c>
      <c r="Q22" s="1" t="e">
        <f t="shared" si="17"/>
        <v>#DIV/0!</v>
      </c>
      <c r="R22" s="1" t="e">
        <f t="shared" si="1"/>
        <v>#DIV/0!</v>
      </c>
      <c r="T22" s="1">
        <f t="shared" si="14"/>
        <v>-76690.883960227671</v>
      </c>
      <c r="U22" s="1" t="e">
        <f t="shared" si="15"/>
        <v>#DIV/0!</v>
      </c>
      <c r="V22" s="1" t="e">
        <f>(2*T22)/PRODUCT(AF22,$B$20,J22^2,COS(O22))</f>
        <v>#DIV/0!</v>
      </c>
      <c r="W22" s="1" t="e">
        <f t="shared" si="2"/>
        <v>#DIV/0!</v>
      </c>
      <c r="X22" s="1">
        <f t="shared" si="16"/>
        <v>4000</v>
      </c>
      <c r="Y22" s="1" t="e">
        <f>P22/O22</f>
        <v>#DIV/0!</v>
      </c>
      <c r="Z22" s="1" t="e">
        <f>T22/COS(O22)</f>
        <v>#DIV/0!</v>
      </c>
      <c r="AA22" s="1">
        <f>IF(E22&gt;$B$29, $B$27, IF(E22&lt;$B$29, AA21+($B$3*$B$26), AA21 - ($B$3*$B$26)))</f>
        <v>518.64756756756753</v>
      </c>
      <c r="AC22" s="19" t="e">
        <f>IF(G22&lt;100000, IF(G22&gt;10000, (343.2)+(-4.313943*G22)+(-0.291943*G22^2)+(0.053721*G22^3)+((-3.039687*10^(-3))*G22^4)+((9.262166*10^(-5))*G22^5)+((-1.647967*10^(-6))*G22^6)+((1.694814*10^(-8))*G22^7)+((-9.299892*10^(-11))*G22^8)+((2.104694*10^(-13))*G22^9), ((-0.00406576*G22)+340.3)), 0)</f>
        <v>#DIV/0!</v>
      </c>
      <c r="AD22" s="21" t="e">
        <f>IF(G22&gt;38000,0,(101325*(1-(2.25577*10^(-5))*G22)^5.25588))</f>
        <v>#DIV/0!</v>
      </c>
      <c r="AE22" s="19" t="e">
        <f>1.6667*AC22-273.15</f>
        <v>#DIV/0!</v>
      </c>
      <c r="AF22" s="20">
        <f t="shared" si="3"/>
        <v>6.2427261168861693E-2</v>
      </c>
      <c r="AG22" s="20" t="e">
        <f t="shared" si="4"/>
        <v>#DIV/0!</v>
      </c>
      <c r="AH22" s="1">
        <f xml:space="preserve"> ($B$25*POWER($B$3,2))/(T22)</f>
        <v>-4.1952834989730498E-6</v>
      </c>
      <c r="AI22" s="1">
        <f>AF22*$B$20/2</f>
        <v>7.8658349072765734</v>
      </c>
      <c r="AJ22" s="1" t="e">
        <f>($B$3^2)/Y22</f>
        <v>#DIV/0!</v>
      </c>
    </row>
    <row r="23" spans="1:36" x14ac:dyDescent="0.45">
      <c r="A23" s="1" t="s">
        <v>29</v>
      </c>
      <c r="B23" s="17">
        <v>0.5</v>
      </c>
      <c r="D23" s="1">
        <f t="shared" si="5"/>
        <v>20</v>
      </c>
      <c r="E23" s="23">
        <f t="shared" si="6"/>
        <v>2.0000000000000004</v>
      </c>
      <c r="F23" s="1" t="e">
        <f>(AH22)*(-PRODUCT(U22,AI22,(J22*COS(O22))^2) - PRODUCT(V22,AI22,(J22*SIN(O22))^2) + PRODUCT(X22, COS(R22+O22)) +PRODUCT(AA22,SIN(O22))) + (2*F22) - F21 + PRODUCT(J22,COS(O22),$B$3)</f>
        <v>#DIV/0!</v>
      </c>
      <c r="G23" s="1" t="e">
        <f>(AI22)*(-PRODUCT(V22,AJ22,(L22*SIN(P22))^2) + PRODUCT(W22,AJ22,(L22*COS(P22))^2) - T22 + PRODUCT(#REF!, SIN(S22+P22)) - PRODUCT(AA22,COS(O22))) + (2*G22) - G21 + PRODUCT(J22,SIN(O22), $B$3)</f>
        <v>#DIV/0!</v>
      </c>
      <c r="H23" s="1" t="e">
        <f t="shared" si="7"/>
        <v>#DIV/0!</v>
      </c>
      <c r="I23" s="1" t="e">
        <f t="shared" si="8"/>
        <v>#DIV/0!</v>
      </c>
      <c r="J23" s="1" t="e">
        <f t="shared" si="9"/>
        <v>#DIV/0!</v>
      </c>
      <c r="K23" s="1" t="e">
        <f t="shared" si="10"/>
        <v>#DIV/0!</v>
      </c>
      <c r="L23" s="1" t="e">
        <f t="shared" si="11"/>
        <v>#DIV/0!</v>
      </c>
      <c r="M23" s="1" t="e">
        <f t="shared" si="12"/>
        <v>#DIV/0!</v>
      </c>
      <c r="N23" s="1" t="e">
        <f t="shared" si="0"/>
        <v>#DIV/0!</v>
      </c>
      <c r="O23" s="1" t="e">
        <f>(AJ22)*(PRODUCT($B$22+$B$23,AA22)-PRODUCT($B$23,V22,AI22,J22^2) + PRODUCT($B$21,W22, AI22,J22^2)) + (2*O22) - O21 + PRODUCT(P22, $B$3) + ATAN(I22/H22)</f>
        <v>#DIV/0!</v>
      </c>
      <c r="P23" s="1" t="e">
        <f t="shared" si="13"/>
        <v>#DIV/0!</v>
      </c>
      <c r="Q23" s="1" t="e">
        <f t="shared" si="17"/>
        <v>#DIV/0!</v>
      </c>
      <c r="R23" s="1" t="e">
        <f t="shared" si="1"/>
        <v>#DIV/0!</v>
      </c>
      <c r="T23" s="1">
        <f t="shared" si="14"/>
        <v>-78621.323960227674</v>
      </c>
      <c r="U23" s="1" t="e">
        <f t="shared" si="15"/>
        <v>#DIV/0!</v>
      </c>
      <c r="V23" s="1" t="e">
        <f>(2*T23)/PRODUCT(AF23,$B$20,J23^2,COS(O23))</f>
        <v>#DIV/0!</v>
      </c>
      <c r="W23" s="1" t="e">
        <f t="shared" si="2"/>
        <v>#DIV/0!</v>
      </c>
      <c r="X23" s="1">
        <f t="shared" si="16"/>
        <v>4000</v>
      </c>
      <c r="Y23" s="1" t="e">
        <f>P23/O23</f>
        <v>#DIV/0!</v>
      </c>
      <c r="Z23" s="1" t="e">
        <f>T23/COS(O23)</f>
        <v>#DIV/0!</v>
      </c>
      <c r="AA23" s="1">
        <f>IF(E23&gt;$B$29, $B$27, IF(E23&lt;$B$29, AA22+($B$3*$B$26), AA22 - ($B$3*$B$26)))</f>
        <v>528.64756756756753</v>
      </c>
      <c r="AC23" s="19" t="e">
        <f>IF(G23&lt;100000, IF(G23&gt;10000, (343.2)+(-4.313943*G23)+(-0.291943*G23^2)+(0.053721*G23^3)+((-3.039687*10^(-3))*G23^4)+((9.262166*10^(-5))*G23^5)+((-1.647967*10^(-6))*G23^6)+((1.694814*10^(-8))*G23^7)+((-9.299892*10^(-11))*G23^8)+((2.104694*10^(-13))*G23^9), ((-0.00406576*G23)+340.3)), 0)</f>
        <v>#DIV/0!</v>
      </c>
      <c r="AD23" s="21" t="e">
        <f>IF(G23&gt;38000,0,(101325*(1-(2.25577*10^(-5))*G23)^5.25588))</f>
        <v>#DIV/0!</v>
      </c>
      <c r="AE23" s="19" t="e">
        <f>1.6667*AC23-273.15</f>
        <v>#DIV/0!</v>
      </c>
      <c r="AF23" s="20">
        <f t="shared" si="3"/>
        <v>6.2427261168861693E-2</v>
      </c>
      <c r="AG23" s="20" t="e">
        <f t="shared" si="4"/>
        <v>#DIV/0!</v>
      </c>
      <c r="AH23" s="1">
        <f xml:space="preserve"> ($B$25*POWER($B$3,2))/(T23)</f>
        <v>-4.0922740014243379E-6</v>
      </c>
      <c r="AI23" s="1">
        <f>AF23*$B$20/2</f>
        <v>7.8658349072765734</v>
      </c>
      <c r="AJ23" s="1" t="e">
        <f>($B$3^2)/Y23</f>
        <v>#DIV/0!</v>
      </c>
    </row>
    <row r="24" spans="1:36" x14ac:dyDescent="0.45">
      <c r="A24" s="1" t="s">
        <v>30</v>
      </c>
      <c r="B24" s="17">
        <v>0</v>
      </c>
      <c r="D24" s="1">
        <f t="shared" si="5"/>
        <v>21</v>
      </c>
      <c r="E24" s="23">
        <f t="shared" si="6"/>
        <v>2.1000000000000005</v>
      </c>
      <c r="F24" s="1" t="e">
        <f>(AH23)*(-PRODUCT(U23,AI23,(J23*COS(O23))^2) - PRODUCT(V23,AI23,(J23*SIN(O23))^2) + PRODUCT(X23, COS(R23+O23)) +PRODUCT(AA23,SIN(O23))) + (2*F23) - F22 + PRODUCT(J23,COS(O23),$B$3)</f>
        <v>#DIV/0!</v>
      </c>
      <c r="G24" s="1" t="e">
        <f>(AI23)*(-PRODUCT(V23,AJ23,(L23*SIN(P23))^2) + PRODUCT(W23,AJ23,(L23*COS(P23))^2) - T23 + PRODUCT(#REF!, SIN(S23+P23)) - PRODUCT(AA23,COS(O23))) + (2*G23) - G22 + PRODUCT(J23,SIN(O23), $B$3)</f>
        <v>#DIV/0!</v>
      </c>
      <c r="H24" s="1" t="e">
        <f t="shared" si="7"/>
        <v>#DIV/0!</v>
      </c>
      <c r="I24" s="1" t="e">
        <f t="shared" si="8"/>
        <v>#DIV/0!</v>
      </c>
      <c r="J24" s="1" t="e">
        <f t="shared" si="9"/>
        <v>#DIV/0!</v>
      </c>
      <c r="K24" s="1" t="e">
        <f t="shared" si="10"/>
        <v>#DIV/0!</v>
      </c>
      <c r="L24" s="1" t="e">
        <f t="shared" si="11"/>
        <v>#DIV/0!</v>
      </c>
      <c r="M24" s="1" t="e">
        <f t="shared" si="12"/>
        <v>#DIV/0!</v>
      </c>
      <c r="N24" s="1" t="e">
        <f t="shared" si="0"/>
        <v>#DIV/0!</v>
      </c>
      <c r="O24" s="1" t="e">
        <f>(AJ23)*(PRODUCT($B$22+$B$23,AA23)-PRODUCT($B$23,V23,AI23,J23^2) + PRODUCT($B$21,W23, AI23,J23^2)) + (2*O23) - O22 + PRODUCT(P23, $B$3) + ATAN(I23/H23)</f>
        <v>#DIV/0!</v>
      </c>
      <c r="P24" s="1" t="e">
        <f t="shared" si="13"/>
        <v>#DIV/0!</v>
      </c>
      <c r="Q24" s="1" t="e">
        <f t="shared" si="17"/>
        <v>#DIV/0!</v>
      </c>
      <c r="R24" s="1" t="e">
        <f t="shared" si="1"/>
        <v>#DIV/0!</v>
      </c>
      <c r="T24" s="1">
        <f t="shared" si="14"/>
        <v>-80551.763960227676</v>
      </c>
      <c r="U24" s="1" t="e">
        <f t="shared" si="15"/>
        <v>#DIV/0!</v>
      </c>
      <c r="V24" s="1" t="e">
        <f>(2*T24)/PRODUCT(AF24,$B$20,J24^2,COS(O24))</f>
        <v>#DIV/0!</v>
      </c>
      <c r="W24" s="1" t="e">
        <f t="shared" si="2"/>
        <v>#DIV/0!</v>
      </c>
      <c r="X24" s="1">
        <f t="shared" si="16"/>
        <v>4000</v>
      </c>
      <c r="Y24" s="1" t="e">
        <f>P24/O24</f>
        <v>#DIV/0!</v>
      </c>
      <c r="Z24" s="1" t="e">
        <f>T24/COS(O24)</f>
        <v>#DIV/0!</v>
      </c>
      <c r="AA24" s="1">
        <f>IF(E24&gt;$B$29, $B$27, IF(E24&lt;$B$29, AA23+($B$3*$B$26), AA23 - ($B$3*$B$26)))</f>
        <v>538.64756756756753</v>
      </c>
      <c r="AC24" s="19" t="e">
        <f>IF(G24&lt;100000, IF(G24&gt;10000, (343.2)+(-4.313943*G24)+(-0.291943*G24^2)+(0.053721*G24^3)+((-3.039687*10^(-3))*G24^4)+((9.262166*10^(-5))*G24^5)+((-1.647967*10^(-6))*G24^6)+((1.694814*10^(-8))*G24^7)+((-9.299892*10^(-11))*G24^8)+((2.104694*10^(-13))*G24^9), ((-0.00406576*G24)+340.3)), 0)</f>
        <v>#DIV/0!</v>
      </c>
      <c r="AD24" s="21" t="e">
        <f>IF(G24&gt;38000,0,(101325*(1-(2.25577*10^(-5))*G24)^5.25588))</f>
        <v>#DIV/0!</v>
      </c>
      <c r="AE24" s="19" t="e">
        <f>1.6667*AC24-273.15</f>
        <v>#DIV/0!</v>
      </c>
      <c r="AF24" s="20">
        <f t="shared" si="3"/>
        <v>6.2427261168861693E-2</v>
      </c>
      <c r="AG24" s="20" t="e">
        <f t="shared" si="4"/>
        <v>#DIV/0!</v>
      </c>
      <c r="AH24" s="1">
        <f xml:space="preserve"> ($B$25*POWER($B$3,2))/(T24)</f>
        <v>-3.9942017925126849E-6</v>
      </c>
      <c r="AI24" s="1">
        <f>AF24*$B$20/2</f>
        <v>7.8658349072765734</v>
      </c>
      <c r="AJ24" s="1" t="e">
        <f>($B$3^2)/Y24</f>
        <v>#DIV/0!</v>
      </c>
    </row>
    <row r="25" spans="1:36" x14ac:dyDescent="0.45">
      <c r="A25" s="1" t="s">
        <v>26</v>
      </c>
      <c r="B25" s="1">
        <v>32.173999999999999</v>
      </c>
      <c r="C25" s="32" t="s">
        <v>32</v>
      </c>
      <c r="D25" s="1">
        <f t="shared" si="5"/>
        <v>22</v>
      </c>
      <c r="E25" s="23">
        <f t="shared" si="6"/>
        <v>2.2000000000000006</v>
      </c>
      <c r="F25" s="1" t="e">
        <f>(AH24)*(-PRODUCT(U24,AI24,(J24*COS(O24))^2) - PRODUCT(V24,AI24,(J24*SIN(O24))^2) + PRODUCT(X24, COS(R24+O24)) +PRODUCT(AA24,SIN(O24))) + (2*F24) - F23 + PRODUCT(J24,COS(O24),$B$3)</f>
        <v>#DIV/0!</v>
      </c>
      <c r="G25" s="1" t="e">
        <f>(AI24)*(-PRODUCT(V24,AJ24,(L24*SIN(P24))^2) + PRODUCT(W24,AJ24,(L24*COS(P24))^2) - T24 + PRODUCT(#REF!, SIN(S24+P24)) - PRODUCT(AA24,COS(O24))) + (2*G24) - G23 + PRODUCT(J24,SIN(O24), $B$3)</f>
        <v>#DIV/0!</v>
      </c>
      <c r="H25" s="1" t="e">
        <f t="shared" si="7"/>
        <v>#DIV/0!</v>
      </c>
      <c r="I25" s="1" t="e">
        <f t="shared" si="8"/>
        <v>#DIV/0!</v>
      </c>
      <c r="J25" s="1" t="e">
        <f t="shared" si="9"/>
        <v>#DIV/0!</v>
      </c>
      <c r="K25" s="1" t="e">
        <f t="shared" si="10"/>
        <v>#DIV/0!</v>
      </c>
      <c r="L25" s="1" t="e">
        <f t="shared" si="11"/>
        <v>#DIV/0!</v>
      </c>
      <c r="M25" s="1" t="e">
        <f t="shared" si="12"/>
        <v>#DIV/0!</v>
      </c>
      <c r="N25" s="1" t="e">
        <f t="shared" si="0"/>
        <v>#DIV/0!</v>
      </c>
      <c r="O25" s="1" t="e">
        <f>(AJ24)*(PRODUCT($B$22+$B$23,AA24)-PRODUCT($B$23,V24,AI24,J24^2) + PRODUCT($B$21,W24, AI24,J24^2)) + (2*O24) - O23 + PRODUCT(P24, $B$3) + ATAN(I24/H24)</f>
        <v>#DIV/0!</v>
      </c>
      <c r="P25" s="1" t="e">
        <f t="shared" si="13"/>
        <v>#DIV/0!</v>
      </c>
      <c r="Q25" s="1" t="e">
        <f t="shared" si="17"/>
        <v>#DIV/0!</v>
      </c>
      <c r="R25" s="1" t="e">
        <f t="shared" si="1"/>
        <v>#DIV/0!</v>
      </c>
      <c r="T25" s="1">
        <f t="shared" si="14"/>
        <v>-82482.203960227678</v>
      </c>
      <c r="U25" s="1" t="e">
        <f t="shared" si="15"/>
        <v>#DIV/0!</v>
      </c>
      <c r="V25" s="1" t="e">
        <f>(2*T25)/PRODUCT(AF25,$B$20,J25^2,COS(O25))</f>
        <v>#DIV/0!</v>
      </c>
      <c r="W25" s="1" t="e">
        <f t="shared" si="2"/>
        <v>#DIV/0!</v>
      </c>
      <c r="X25" s="1">
        <f t="shared" si="16"/>
        <v>4000</v>
      </c>
      <c r="Y25" s="1" t="e">
        <f>P25/O25</f>
        <v>#DIV/0!</v>
      </c>
      <c r="Z25" s="1" t="e">
        <f>T25/COS(O25)</f>
        <v>#DIV/0!</v>
      </c>
      <c r="AA25" s="1">
        <f>IF(E25&gt;$B$29, $B$27, IF(E25&lt;$B$29, AA24+($B$3*$B$26), AA24 - ($B$3*$B$26)))</f>
        <v>548.64756756756753</v>
      </c>
      <c r="AC25" s="19" t="e">
        <f>IF(G25&lt;100000, IF(G25&gt;10000, (343.2)+(-4.313943*G25)+(-0.291943*G25^2)+(0.053721*G25^3)+((-3.039687*10^(-3))*G25^4)+((9.262166*10^(-5))*G25^5)+((-1.647967*10^(-6))*G25^6)+((1.694814*10^(-8))*G25^7)+((-9.299892*10^(-11))*G25^8)+((2.104694*10^(-13))*G25^9), ((-0.00406576*G25)+340.3)), 0)</f>
        <v>#DIV/0!</v>
      </c>
      <c r="AD25" s="21" t="e">
        <f>IF(G25&gt;38000,0,(101325*(1-(2.25577*10^(-5))*G25)^5.25588))</f>
        <v>#DIV/0!</v>
      </c>
      <c r="AE25" s="19" t="e">
        <f>1.6667*AC25-273.15</f>
        <v>#DIV/0!</v>
      </c>
      <c r="AF25" s="20">
        <f t="shared" si="3"/>
        <v>6.2427261168861693E-2</v>
      </c>
      <c r="AG25" s="20" t="e">
        <f t="shared" si="4"/>
        <v>#DIV/0!</v>
      </c>
      <c r="AH25" s="1">
        <f xml:space="preserve"> ($B$25*POWER($B$3,2))/(T25)</f>
        <v>-3.9007202105697949E-6</v>
      </c>
      <c r="AI25" s="1">
        <f>AF25*$B$20/2</f>
        <v>7.8658349072765734</v>
      </c>
      <c r="AJ25" s="1" t="e">
        <f>($B$3^2)/Y25</f>
        <v>#DIV/0!</v>
      </c>
    </row>
    <row r="26" spans="1:36" x14ac:dyDescent="0.45">
      <c r="A26" s="24" t="s">
        <v>72</v>
      </c>
      <c r="B26" s="17">
        <v>100</v>
      </c>
      <c r="C26" s="31" t="s">
        <v>73</v>
      </c>
      <c r="D26" s="1">
        <f t="shared" si="5"/>
        <v>23</v>
      </c>
      <c r="E26" s="23">
        <f t="shared" si="6"/>
        <v>2.3000000000000007</v>
      </c>
      <c r="F26" s="1" t="e">
        <f>(AH25)*(-PRODUCT(U25,AI25,(J25*COS(O25))^2) - PRODUCT(V25,AI25,(J25*SIN(O25))^2) + PRODUCT(X25, COS(R25+O25)) +PRODUCT(AA25,SIN(O25))) + (2*F25) - F24 + PRODUCT(J25,COS(O25),$B$3)</f>
        <v>#DIV/0!</v>
      </c>
      <c r="G26" s="1" t="e">
        <f>(AI25)*(-PRODUCT(V25,AJ25,(L25*SIN(P25))^2) + PRODUCT(W25,AJ25,(L25*COS(P25))^2) - T25 + PRODUCT(#REF!, SIN(S25+P25)) - PRODUCT(AA25,COS(O25))) + (2*G25) - G24 + PRODUCT(J25,SIN(O25), $B$3)</f>
        <v>#DIV/0!</v>
      </c>
      <c r="H26" s="1" t="e">
        <f t="shared" si="7"/>
        <v>#DIV/0!</v>
      </c>
      <c r="I26" s="1" t="e">
        <f t="shared" si="8"/>
        <v>#DIV/0!</v>
      </c>
      <c r="J26" s="1" t="e">
        <f t="shared" si="9"/>
        <v>#DIV/0!</v>
      </c>
      <c r="K26" s="1" t="e">
        <f t="shared" si="10"/>
        <v>#DIV/0!</v>
      </c>
      <c r="L26" s="1" t="e">
        <f t="shared" si="11"/>
        <v>#DIV/0!</v>
      </c>
      <c r="M26" s="1" t="e">
        <f t="shared" si="12"/>
        <v>#DIV/0!</v>
      </c>
      <c r="N26" s="1" t="e">
        <f t="shared" si="0"/>
        <v>#DIV/0!</v>
      </c>
      <c r="O26" s="1" t="e">
        <f>(AJ25)*(PRODUCT($B$22+$B$23,AA25)-PRODUCT($B$23,V25,AI25,J25^2) + PRODUCT($B$21,W25, AI25,J25^2)) + (2*O25) - O24 + PRODUCT(P25, $B$3) + ATAN(I25/H25)</f>
        <v>#DIV/0!</v>
      </c>
      <c r="P26" s="1" t="e">
        <f t="shared" si="13"/>
        <v>#DIV/0!</v>
      </c>
      <c r="Q26" s="1" t="e">
        <f t="shared" si="17"/>
        <v>#DIV/0!</v>
      </c>
      <c r="R26" s="1" t="e">
        <f t="shared" si="1"/>
        <v>#DIV/0!</v>
      </c>
      <c r="T26" s="1">
        <f t="shared" si="14"/>
        <v>-84412.643960227681</v>
      </c>
      <c r="U26" s="1" t="e">
        <f t="shared" si="15"/>
        <v>#DIV/0!</v>
      </c>
      <c r="V26" s="1" t="e">
        <f>(2*T26)/PRODUCT(AF26,$B$20,J26^2,COS(O26))</f>
        <v>#DIV/0!</v>
      </c>
      <c r="W26" s="1" t="e">
        <f t="shared" si="2"/>
        <v>#DIV/0!</v>
      </c>
      <c r="X26" s="1">
        <f t="shared" si="16"/>
        <v>4000</v>
      </c>
      <c r="Y26" s="1" t="e">
        <f>P26/O26</f>
        <v>#DIV/0!</v>
      </c>
      <c r="Z26" s="1" t="e">
        <f>T26/COS(O26)</f>
        <v>#DIV/0!</v>
      </c>
      <c r="AA26" s="1">
        <f>IF(E26&gt;$B$29, $B$27, IF(E26&lt;$B$29, AA25+($B$3*$B$26), AA25 - ($B$3*$B$26)))</f>
        <v>558.64756756756753</v>
      </c>
      <c r="AC26" s="19" t="e">
        <f>IF(G26&lt;100000, IF(G26&gt;10000, (343.2)+(-4.313943*G26)+(-0.291943*G26^2)+(0.053721*G26^3)+((-3.039687*10^(-3))*G26^4)+((9.262166*10^(-5))*G26^5)+((-1.647967*10^(-6))*G26^6)+((1.694814*10^(-8))*G26^7)+((-9.299892*10^(-11))*G26^8)+((2.104694*10^(-13))*G26^9), ((-0.00406576*G26)+340.3)), 0)</f>
        <v>#DIV/0!</v>
      </c>
      <c r="AD26" s="21" t="e">
        <f>IF(G26&gt;38000,0,(101325*(1-(2.25577*10^(-5))*G26)^5.25588))</f>
        <v>#DIV/0!</v>
      </c>
      <c r="AE26" s="19" t="e">
        <f>1.6667*AC26-273.15</f>
        <v>#DIV/0!</v>
      </c>
      <c r="AF26" s="20">
        <f t="shared" si="3"/>
        <v>6.2427261168861693E-2</v>
      </c>
      <c r="AG26" s="20" t="e">
        <f t="shared" si="4"/>
        <v>#DIV/0!</v>
      </c>
      <c r="AH26" s="1">
        <f xml:space="preserve"> ($B$25*POWER($B$3,2))/(T26)</f>
        <v>-3.8115143052691591E-6</v>
      </c>
      <c r="AI26" s="1">
        <f>AF26*$B$20/2</f>
        <v>7.8658349072765734</v>
      </c>
      <c r="AJ26" s="1" t="e">
        <f>($B$3^2)/Y26</f>
        <v>#DIV/0!</v>
      </c>
    </row>
    <row r="27" spans="1:36" x14ac:dyDescent="0.45">
      <c r="A27" s="24" t="s">
        <v>74</v>
      </c>
      <c r="B27" s="17">
        <v>1000</v>
      </c>
      <c r="D27" s="1">
        <f>D26+1</f>
        <v>24</v>
      </c>
      <c r="E27" s="23">
        <f>E26+$B$3</f>
        <v>2.4000000000000008</v>
      </c>
      <c r="F27" s="1" t="e">
        <f>(AH26)*(-PRODUCT(U26,AI26,(J26*COS(O26))^2) - PRODUCT(V26,AI26,(J26*SIN(O26))^2) + PRODUCT(X26, COS(R26+O26)) +PRODUCT(AA26,SIN(O26))) + (2*F26) - F25 + PRODUCT(J26,COS(O26),$B$3)</f>
        <v>#DIV/0!</v>
      </c>
      <c r="G27" s="1" t="e">
        <f>(AI26)*(-PRODUCT(V26,AJ26,(L26*SIN(P26))^2) + PRODUCT(W26,AJ26,(L26*COS(P26))^2) - T26 + PRODUCT(#REF!, SIN(S26+P26)) - PRODUCT(AA26,COS(O26))) + (2*G26) - G25 + PRODUCT(J26,SIN(O26), $B$3)</f>
        <v>#DIV/0!</v>
      </c>
      <c r="H27" s="1" t="e">
        <f t="shared" si="7"/>
        <v>#DIV/0!</v>
      </c>
      <c r="I27" s="1" t="e">
        <f t="shared" si="8"/>
        <v>#DIV/0!</v>
      </c>
      <c r="J27" s="1" t="e">
        <f t="shared" si="9"/>
        <v>#DIV/0!</v>
      </c>
      <c r="K27" s="1" t="e">
        <f t="shared" si="10"/>
        <v>#DIV/0!</v>
      </c>
      <c r="L27" s="1" t="e">
        <f t="shared" si="11"/>
        <v>#DIV/0!</v>
      </c>
      <c r="M27" s="1" t="e">
        <f t="shared" si="12"/>
        <v>#DIV/0!</v>
      </c>
      <c r="N27" s="1" t="e">
        <f t="shared" si="0"/>
        <v>#DIV/0!</v>
      </c>
      <c r="O27" s="1" t="e">
        <f>(AJ26)*(PRODUCT($B$22+$B$23,AA26)-PRODUCT($B$23,V26,AI26,J26^2) + PRODUCT($B$21,W26, AI26,J26^2)) + (2*O26) - O25 + PRODUCT(P26, $B$3) + ATAN(I26/H26)</f>
        <v>#DIV/0!</v>
      </c>
      <c r="P27" s="1" t="e">
        <f t="shared" si="13"/>
        <v>#DIV/0!</v>
      </c>
      <c r="Q27" s="1" t="e">
        <f t="shared" si="17"/>
        <v>#DIV/0!</v>
      </c>
      <c r="R27" s="1" t="e">
        <f t="shared" si="1"/>
        <v>#DIV/0!</v>
      </c>
      <c r="T27" s="1">
        <f t="shared" si="14"/>
        <v>-86343.083960227683</v>
      </c>
      <c r="U27" s="1" t="e">
        <f t="shared" si="15"/>
        <v>#DIV/0!</v>
      </c>
      <c r="V27" s="1" t="e">
        <f>(2*T27)/PRODUCT(AF27,$B$20,J27^2,COS(O27))</f>
        <v>#DIV/0!</v>
      </c>
      <c r="W27" s="1" t="e">
        <f t="shared" si="2"/>
        <v>#DIV/0!</v>
      </c>
      <c r="X27" s="1">
        <f t="shared" si="16"/>
        <v>4000</v>
      </c>
      <c r="Y27" s="1" t="e">
        <f>P27/O27</f>
        <v>#DIV/0!</v>
      </c>
      <c r="Z27" s="1" t="e">
        <f>T27/COS(O27)</f>
        <v>#DIV/0!</v>
      </c>
      <c r="AA27" s="1">
        <f>IF(E27&gt;$B$29, $B$27, IF(E27&lt;$B$29, AA26+($B$3*$B$26), AA26 - ($B$3*$B$26)))</f>
        <v>568.64756756756753</v>
      </c>
      <c r="AC27" s="19" t="e">
        <f>IF(G27&lt;100000, IF(G27&gt;10000, (343.2)+(-4.313943*G27)+(-0.291943*G27^2)+(0.053721*G27^3)+((-3.039687*10^(-3))*G27^4)+((9.262166*10^(-5))*G27^5)+((-1.647967*10^(-6))*G27^6)+((1.694814*10^(-8))*G27^7)+((-9.299892*10^(-11))*G27^8)+((2.104694*10^(-13))*G27^9), ((-0.00406576*G27)+340.3)), 0)</f>
        <v>#DIV/0!</v>
      </c>
      <c r="AD27" s="21" t="e">
        <f>IF(G27&gt;38000,0,(101325*(1-(2.25577*10^(-5))*G27)^5.25588))</f>
        <v>#DIV/0!</v>
      </c>
      <c r="AE27" s="19" t="e">
        <f>1.6667*AC27-273.15</f>
        <v>#DIV/0!</v>
      </c>
      <c r="AF27" s="20">
        <f t="shared" si="3"/>
        <v>6.2427261168861693E-2</v>
      </c>
      <c r="AG27" s="20" t="e">
        <f t="shared" si="4"/>
        <v>#DIV/0!</v>
      </c>
      <c r="AH27" s="1">
        <f xml:space="preserve"> ($B$25*POWER($B$3,2))/(T27)</f>
        <v>-3.7262972926494444E-6</v>
      </c>
      <c r="AI27" s="1">
        <f>AF27*$B$20/2</f>
        <v>7.8658349072765734</v>
      </c>
      <c r="AJ27" s="1" t="e">
        <f>($B$3^2)/Y27</f>
        <v>#DIV/0!</v>
      </c>
    </row>
    <row r="28" spans="1:36" x14ac:dyDescent="0.45">
      <c r="D28" s="1">
        <f t="shared" ref="D28" si="18">D27+1</f>
        <v>25</v>
      </c>
      <c r="E28" s="23">
        <f t="shared" ref="E28" si="19">E27+$B$3</f>
        <v>2.5000000000000009</v>
      </c>
      <c r="F28" s="1" t="e">
        <f>(AH27)*(-PRODUCT(U27,AI27,(J27*COS(O27))^2) - PRODUCT(V27,AI27,(J27*SIN(O27))^2) + PRODUCT(X27, COS(R27+O27)) +PRODUCT(AA27,SIN(O27))) + (2*F27) - F26 + PRODUCT(J27,COS(O27),$B$3)</f>
        <v>#DIV/0!</v>
      </c>
      <c r="G28" s="1" t="e">
        <f>(AI27)*(-PRODUCT(V27,AJ27,(L27*SIN(P27))^2) + PRODUCT(W27,AJ27,(L27*COS(P27))^2) - T27 + PRODUCT(#REF!, SIN(S27+P27)) - PRODUCT(AA27,COS(O27))) + (2*G27) - G26 + PRODUCT(J27,SIN(O27), $B$3)</f>
        <v>#DIV/0!</v>
      </c>
      <c r="H28" s="1" t="e">
        <f t="shared" si="7"/>
        <v>#DIV/0!</v>
      </c>
      <c r="I28" s="1" t="e">
        <f t="shared" si="8"/>
        <v>#DIV/0!</v>
      </c>
      <c r="J28" s="1" t="e">
        <f t="shared" si="9"/>
        <v>#DIV/0!</v>
      </c>
      <c r="K28" s="1" t="e">
        <f t="shared" si="10"/>
        <v>#DIV/0!</v>
      </c>
      <c r="L28" s="1" t="e">
        <f t="shared" si="11"/>
        <v>#DIV/0!</v>
      </c>
      <c r="M28" s="1" t="e">
        <f t="shared" si="12"/>
        <v>#DIV/0!</v>
      </c>
      <c r="N28" s="1" t="e">
        <f t="shared" si="0"/>
        <v>#DIV/0!</v>
      </c>
      <c r="O28" s="1" t="e">
        <f>(AJ27)*(PRODUCT($B$22+$B$23,AA27)-PRODUCT($B$23,V27,AI27,J27^2) + PRODUCT($B$21,W27, AI27,J27^2)) + (2*O27) - O26 + PRODUCT(P27, $B$3) + ATAN(I27/H27)</f>
        <v>#DIV/0!</v>
      </c>
      <c r="P28" s="1" t="e">
        <f t="shared" si="13"/>
        <v>#DIV/0!</v>
      </c>
      <c r="Q28" s="1" t="e">
        <f t="shared" si="17"/>
        <v>#DIV/0!</v>
      </c>
      <c r="R28" s="1" t="e">
        <f t="shared" si="1"/>
        <v>#DIV/0!</v>
      </c>
      <c r="T28" s="1">
        <f t="shared" si="14"/>
        <v>-88273.523960227685</v>
      </c>
      <c r="U28" s="1" t="e">
        <f t="shared" si="15"/>
        <v>#DIV/0!</v>
      </c>
      <c r="V28" s="1" t="e">
        <f>(2*T28)/PRODUCT(AF28,$B$20,J28^2,COS(O28))</f>
        <v>#DIV/0!</v>
      </c>
      <c r="W28" s="1" t="e">
        <f t="shared" si="2"/>
        <v>#DIV/0!</v>
      </c>
      <c r="X28" s="1">
        <f t="shared" si="16"/>
        <v>4000</v>
      </c>
      <c r="Y28" s="1" t="e">
        <f>P28/O28</f>
        <v>#DIV/0!</v>
      </c>
      <c r="Z28" s="1" t="e">
        <f>T28/COS(O28)</f>
        <v>#DIV/0!</v>
      </c>
      <c r="AA28" s="1">
        <f>IF(E28&gt;$B$29, $B$27, IF(E28&lt;$B$29, AA27+($B$3*$B$26), AA27 - ($B$3*$B$26)))</f>
        <v>578.64756756756753</v>
      </c>
      <c r="AC28" s="19" t="e">
        <f>IF(G28&lt;100000, IF(G28&gt;10000, (343.2)+(-4.313943*G28)+(-0.291943*G28^2)+(0.053721*G28^3)+((-3.039687*10^(-3))*G28^4)+((9.262166*10^(-5))*G28^5)+((-1.647967*10^(-6))*G28^6)+((1.694814*10^(-8))*G28^7)+((-9.299892*10^(-11))*G28^8)+((2.104694*10^(-13))*G28^9), ((-0.00406576*G28)+340.3)), 0)</f>
        <v>#DIV/0!</v>
      </c>
      <c r="AD28" s="21" t="e">
        <f>IF(G28&gt;38000,0,(101325*(1-(2.25577*10^(-5))*G28)^5.25588))</f>
        <v>#DIV/0!</v>
      </c>
      <c r="AE28" s="19" t="e">
        <f t="shared" ref="AE28" si="20">1.6667*AC28-273.15</f>
        <v>#DIV/0!</v>
      </c>
      <c r="AF28" s="20">
        <f t="shared" si="3"/>
        <v>6.2427261168861693E-2</v>
      </c>
      <c r="AG28" s="20" t="e">
        <f t="shared" si="4"/>
        <v>#DIV/0!</v>
      </c>
      <c r="AH28" s="1">
        <f>AF28*$B$20/2</f>
        <v>7.8658349072765734</v>
      </c>
      <c r="AI28" s="1" t="e">
        <f t="shared" ref="AI28" si="21">($B$3^2)/Y28</f>
        <v>#DIV/0!</v>
      </c>
    </row>
    <row r="29" spans="1:36" x14ac:dyDescent="0.45">
      <c r="A29" s="24" t="s">
        <v>67</v>
      </c>
      <c r="B29" s="17">
        <v>5</v>
      </c>
      <c r="C29" s="31" t="s">
        <v>56</v>
      </c>
      <c r="AD29" s="19"/>
      <c r="AE29" s="20"/>
      <c r="AF29" s="21"/>
      <c r="AG29" s="19"/>
    </row>
    <row r="30" spans="1:36" x14ac:dyDescent="0.45">
      <c r="A30" s="24" t="s">
        <v>68</v>
      </c>
      <c r="B30" s="1">
        <f>PRODUCT(1/$B$29, $B$11 - $X$3)</f>
        <v>-22797.921286433197</v>
      </c>
      <c r="AD30" s="19"/>
      <c r="AE30" s="20"/>
      <c r="AF30" s="21"/>
      <c r="AG30" s="19"/>
    </row>
  </sheetData>
  <mergeCells count="1">
    <mergeCell ref="A1:C2"/>
  </mergeCells>
  <pageMargins left="0.7" right="0.7" top="0.75" bottom="0.75" header="0.3" footer="0.3"/>
  <pageSetup orientation="portrait" r:id="rId1"/>
  <ignoredErrors>
    <ignoredError sqref="G5" evalErro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2016-11-28T18:09:10Z</dcterms:created>
  <dcterms:modified xsi:type="dcterms:W3CDTF">2016-12-05T22:31:38Z</dcterms:modified>
</cp:coreProperties>
</file>