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20250176\Computer_Utilization_Practice\Excel\ch1.종합예제+연습문제\"/>
    </mc:Choice>
  </mc:AlternateContent>
  <xr:revisionPtr revIDLastSave="0" documentId="13_ncr:1_{ACD125BB-833C-4AF1-873B-3DC77D861573}" xr6:coauthVersionLast="36" xr6:coauthVersionMax="36" xr10:uidLastSave="{00000000-0000-0000-0000-000000000000}"/>
  <workbookProtection workbookAlgorithmName="SHA-512" workbookHashValue="I8fu3dca9T40Z6E29wgM0ecRA9ABEKXl7iiSDvHKRCEIy8OPMjvkeF9xRkhk5P3JD4PiSCqfGpwxloc2nPk4pg==" workbookSaltValue="+ypOzRfdqFNZyXg0c1mwiw==" workbookSpinCount="100000" lockStructure="1"/>
  <bookViews>
    <workbookView xWindow="0" yWindow="0" windowWidth="28800" windowHeight="14235" xr2:uid="{00000000-000D-0000-FFFF-FFFF00000000}"/>
  </bookViews>
  <sheets>
    <sheet name="데이터 입력" sheetId="1" r:id="rId1"/>
    <sheet name="판매 보고서" sheetId="2" r:id="rId2"/>
    <sheet name="판매 예측" sheetId="5" r:id="rId3"/>
  </sheets>
  <definedNames>
    <definedName name="fDate">'판매 예측'!$D$3</definedName>
    <definedName name="fDay">'판매 예측'!$H$2</definedName>
    <definedName name="fMonth">'판매 예측'!$G$2</definedName>
    <definedName name="ForecastDate">'판매 예측'!$D$3</definedName>
    <definedName name="fYear">'판매 예측'!$I$2</definedName>
    <definedName name="_xlnm.Print_Area" localSheetId="2">'판매 예측'!$B$2:$J$43</definedName>
    <definedName name="_xlnm.Print_Titles" localSheetId="0">'데이터 입력'!$1:$5</definedName>
    <definedName name="_xlnm.Print_Titles" localSheetId="1">'판매 보고서'!$B:$E,'판매 보고서'!$5:$5</definedName>
  </definedNames>
  <calcPr calcId="179021"/>
  <pivotCaches>
    <pivotCache cacheId="1" r:id="rId4"/>
  </pivotCaches>
</workbook>
</file>

<file path=xl/calcChain.xml><?xml version="1.0" encoding="utf-8"?>
<calcChain xmlns="http://schemas.openxmlformats.org/spreadsheetml/2006/main">
  <c r="B3" i="5" l="1"/>
  <c r="K1" i="5" l="1"/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L12" i="1" s="1"/>
  <c r="B11" i="1"/>
  <c r="B10" i="1"/>
  <c r="B9" i="1"/>
  <c r="B8" i="1"/>
  <c r="B7" i="1"/>
  <c r="L7" i="1" s="1"/>
  <c r="B6" i="1"/>
  <c r="L6" i="1" s="1"/>
  <c r="J1" i="1"/>
  <c r="L8" i="1" l="1"/>
  <c r="L10" i="1"/>
  <c r="L13" i="1"/>
  <c r="L15" i="1"/>
  <c r="L17" i="1"/>
  <c r="L9" i="1"/>
  <c r="L11" i="1"/>
  <c r="L14" i="1"/>
  <c r="L16" i="1"/>
  <c r="L18" i="1"/>
  <c r="L19" i="1"/>
  <c r="D3" i="5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H24" i="1"/>
  <c r="I24" i="1" s="1"/>
  <c r="J24" i="1"/>
  <c r="L24" i="1"/>
  <c r="N24" i="1"/>
  <c r="H23" i="1"/>
  <c r="I23" i="1" s="1"/>
  <c r="J23" i="1"/>
  <c r="L23" i="1"/>
  <c r="N2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L20" i="1"/>
  <c r="L21" i="1"/>
  <c r="L22" i="1"/>
  <c r="O6" i="1" l="1"/>
  <c r="O23" i="1"/>
  <c r="O21" i="1"/>
  <c r="O19" i="1"/>
  <c r="O17" i="1"/>
  <c r="O15" i="1"/>
  <c r="O13" i="1"/>
  <c r="O11" i="1"/>
  <c r="O9" i="1"/>
  <c r="O7" i="1"/>
  <c r="O24" i="1"/>
  <c r="O22" i="1"/>
  <c r="O20" i="1"/>
  <c r="O18" i="1"/>
  <c r="O16" i="1"/>
  <c r="O14" i="1"/>
  <c r="O12" i="1"/>
  <c r="O10" i="1"/>
  <c r="O8" i="1"/>
  <c r="I14" i="5" l="1"/>
  <c r="D14" i="5"/>
  <c r="H8" i="5"/>
  <c r="G7" i="5"/>
  <c r="H7" i="5"/>
  <c r="G10" i="5"/>
  <c r="G6" i="5"/>
  <c r="G8" i="5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H6" i="1"/>
  <c r="I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J7" i="5" l="1"/>
  <c r="G9" i="5"/>
  <c r="H9" i="5"/>
  <c r="J8" i="5"/>
  <c r="Q21" i="1"/>
  <c r="Q19" i="1"/>
  <c r="Q17" i="1"/>
  <c r="Q15" i="1"/>
  <c r="Q13" i="1"/>
  <c r="Q11" i="1"/>
  <c r="Q9" i="1"/>
  <c r="Q7" i="1"/>
  <c r="Q22" i="1"/>
  <c r="Q20" i="1"/>
  <c r="Q18" i="1"/>
  <c r="Q16" i="1"/>
  <c r="Q14" i="1"/>
  <c r="Q12" i="1"/>
  <c r="Q10" i="1"/>
  <c r="Q8" i="1"/>
  <c r="Q6" i="1"/>
  <c r="Q23" i="1"/>
  <c r="Q24" i="1"/>
  <c r="C8" i="5"/>
  <c r="C10" i="5"/>
  <c r="C7" i="5"/>
  <c r="D8" i="5"/>
  <c r="D7" i="5"/>
  <c r="C6" i="5"/>
  <c r="I21" i="1"/>
  <c r="I19" i="1"/>
  <c r="I17" i="1"/>
  <c r="I15" i="1"/>
  <c r="I13" i="1"/>
  <c r="I11" i="1"/>
  <c r="I9" i="1"/>
  <c r="I7" i="1"/>
  <c r="I22" i="1"/>
  <c r="I20" i="1"/>
  <c r="I18" i="1"/>
  <c r="I16" i="1"/>
  <c r="I14" i="1"/>
  <c r="I12" i="1"/>
  <c r="I10" i="1"/>
  <c r="I8" i="1"/>
  <c r="G11" i="5"/>
  <c r="I8" i="5"/>
  <c r="I7" i="5"/>
  <c r="J9" i="5" l="1"/>
  <c r="M24" i="1"/>
  <c r="M23" i="1"/>
  <c r="M6" i="1"/>
  <c r="M8" i="1"/>
  <c r="M12" i="1"/>
  <c r="M16" i="1"/>
  <c r="M20" i="1"/>
  <c r="M7" i="1"/>
  <c r="M11" i="1"/>
  <c r="M15" i="1"/>
  <c r="M19" i="1"/>
  <c r="M10" i="1"/>
  <c r="M14" i="1"/>
  <c r="M18" i="1"/>
  <c r="M22" i="1"/>
  <c r="M9" i="1"/>
  <c r="M13" i="1"/>
  <c r="M17" i="1"/>
  <c r="M21" i="1"/>
  <c r="F7" i="5"/>
  <c r="C11" i="5"/>
  <c r="F8" i="5"/>
  <c r="D9" i="5"/>
  <c r="C9" i="5"/>
  <c r="E8" i="5"/>
  <c r="E7" i="5"/>
  <c r="P10" i="1" l="1"/>
  <c r="P14" i="1"/>
  <c r="P15" i="1"/>
  <c r="P7" i="1"/>
  <c r="P16" i="1"/>
  <c r="P8" i="1"/>
  <c r="P23" i="1"/>
  <c r="P21" i="1"/>
  <c r="P13" i="1"/>
  <c r="P22" i="1"/>
  <c r="P19" i="1"/>
  <c r="P11" i="1"/>
  <c r="P20" i="1"/>
  <c r="P12" i="1"/>
  <c r="P24" i="1"/>
  <c r="P6" i="1"/>
  <c r="P17" i="1"/>
  <c r="P9" i="1"/>
  <c r="P18" i="1"/>
  <c r="F14" i="5"/>
  <c r="F9" i="5"/>
</calcChain>
</file>

<file path=xl/sharedStrings.xml><?xml version="1.0" encoding="utf-8"?>
<sst xmlns="http://schemas.openxmlformats.org/spreadsheetml/2006/main" count="94" uniqueCount="55">
  <si>
    <t>%</t>
  </si>
  <si>
    <t>MONTH NUM (HIDE)</t>
  </si>
  <si>
    <t xml:space="preserve"> </t>
  </si>
  <si>
    <t>총합계</t>
  </si>
  <si>
    <r>
      <rPr>
        <sz val="22"/>
        <color theme="3"/>
        <rFont val="맑은 고딕"/>
        <family val="3"/>
        <charset val="129"/>
      </rPr>
      <t xml:space="preserve">월 </t>
    </r>
    <r>
      <rPr>
        <sz val="22"/>
        <color theme="4"/>
        <rFont val="맑은 고딕"/>
        <family val="3"/>
        <charset val="129"/>
      </rPr>
      <t>데이터 입력</t>
    </r>
    <phoneticPr fontId="5" type="noConversion"/>
  </si>
  <si>
    <t>날짜</t>
  </si>
  <si>
    <t>회사</t>
  </si>
  <si>
    <t>금액</t>
  </si>
  <si>
    <t>계획</t>
  </si>
  <si>
    <t>비용</t>
  </si>
  <si>
    <t>수익</t>
  </si>
  <si>
    <t>월</t>
  </si>
  <si>
    <t>분기</t>
  </si>
  <si>
    <t>년</t>
  </si>
  <si>
    <t xml:space="preserve">월 </t>
  </si>
  <si>
    <t xml:space="preserve">분기 </t>
  </si>
  <si>
    <t xml:space="preserve">년 </t>
  </si>
  <si>
    <t xml:space="preserve">월  </t>
  </si>
  <si>
    <t xml:space="preserve">분기  </t>
  </si>
  <si>
    <t xml:space="preserve">년  </t>
  </si>
  <si>
    <t>합계</t>
  </si>
  <si>
    <t>예측</t>
  </si>
  <si>
    <t>동광 통상 ㈜</t>
  </si>
  <si>
    <t>한미 교역 (주)</t>
  </si>
  <si>
    <t>대진 상사 (주)</t>
  </si>
  <si>
    <t>베네디스 유통 ㈜</t>
  </si>
  <si>
    <t>정금 상사 (주)</t>
  </si>
  <si>
    <t>미림 백화점 ㈜</t>
  </si>
  <si>
    <t>이번 달</t>
  </si>
  <si>
    <t>실제</t>
  </si>
  <si>
    <t>차이</t>
  </si>
  <si>
    <t>연 누계 실제</t>
  </si>
  <si>
    <t>연 누계 계획</t>
  </si>
  <si>
    <t>연 누계 차이</t>
  </si>
  <si>
    <t>연 누계(%)</t>
  </si>
  <si>
    <t>다음 달</t>
  </si>
  <si>
    <t>다음 분기</t>
  </si>
  <si>
    <t>다음 연도</t>
  </si>
  <si>
    <t>판매</t>
  </si>
  <si>
    <t>월간 예측</t>
  </si>
  <si>
    <t>분기 예측</t>
  </si>
  <si>
    <t>연간 예측</t>
  </si>
  <si>
    <t>수입 흐름</t>
  </si>
  <si>
    <r>
      <rPr>
        <sz val="22"/>
        <color theme="3"/>
        <rFont val="맑은 고딕"/>
        <family val="3"/>
        <charset val="129"/>
      </rPr>
      <t xml:space="preserve">월 </t>
    </r>
    <r>
      <rPr>
        <sz val="22"/>
        <color theme="4"/>
        <rFont val="맑은 고딕"/>
        <family val="3"/>
        <charset val="129"/>
      </rPr>
      <t>판매 예측</t>
    </r>
    <phoneticPr fontId="5" type="noConversion"/>
  </si>
  <si>
    <t>판매 기록</t>
  </si>
  <si>
    <t>수량</t>
  </si>
  <si>
    <t>마진</t>
  </si>
  <si>
    <t>주문 건수</t>
  </si>
  <si>
    <t>평균 주문 금액</t>
  </si>
  <si>
    <t>합계 : 금액</t>
  </si>
  <si>
    <t>2013 요약</t>
  </si>
  <si>
    <t>2분기  요약</t>
  </si>
  <si>
    <t>3분기  요약</t>
  </si>
  <si>
    <t>4분기  요약</t>
  </si>
  <si>
    <r>
      <rPr>
        <sz val="22"/>
        <color theme="3"/>
        <rFont val="맑은 고딕"/>
        <family val="3"/>
        <charset val="129"/>
      </rPr>
      <t xml:space="preserve">월 </t>
    </r>
    <r>
      <rPr>
        <sz val="22"/>
        <color theme="4"/>
        <rFont val="맑은 고딕"/>
        <family val="3"/>
        <charset val="129"/>
      </rPr>
      <t>판매 보고서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</si>
</sst>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₩&quot;#,##0;[Red]\-&quot;₩&quot;#,##0"/>
    <numFmt numFmtId="43" formatCode="_-* #,##0.00_-;\-* #,##0.00_-;_-* &quot;-&quot;??_-;_-@_-"/>
    <numFmt numFmtId="176" formatCode="&quot;$&quot;#,##0.00"/>
    <numFmt numFmtId="177" formatCode="[$-412]mmmm"/>
    <numFmt numFmtId="178" formatCode="0&quot;분기&quot;\ "/>
  </numFmts>
  <fonts count="20" x14ac:knownFonts="1"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22"/>
      <color theme="4"/>
      <name val="Arial"/>
      <family val="2"/>
      <scheme val="minor"/>
    </font>
    <font>
      <sz val="22"/>
      <color theme="3"/>
      <name val="Arial Black"/>
      <family val="2"/>
      <scheme val="major"/>
    </font>
    <font>
      <sz val="10"/>
      <color theme="5"/>
      <name val="Arial"/>
      <family val="2"/>
      <scheme val="minor"/>
    </font>
    <font>
      <sz val="8"/>
      <name val="돋움"/>
      <family val="3"/>
      <charset val="129"/>
      <scheme val="minor"/>
    </font>
    <font>
      <sz val="8"/>
      <color theme="1"/>
      <name val="맑은 고딕"/>
      <family val="3"/>
      <charset val="129"/>
    </font>
    <font>
      <sz val="22"/>
      <name val="맑은 고딕"/>
      <family val="3"/>
      <charset val="129"/>
    </font>
    <font>
      <sz val="22"/>
      <color theme="3"/>
      <name val="맑은 고딕"/>
      <family val="3"/>
      <charset val="129"/>
    </font>
    <font>
      <sz val="22"/>
      <color theme="4"/>
      <name val="맑은 고딕"/>
      <family val="3"/>
      <charset val="129"/>
    </font>
    <font>
      <sz val="8"/>
      <color theme="3"/>
      <name val="맑은 고딕"/>
      <family val="3"/>
      <charset val="129"/>
    </font>
    <font>
      <sz val="6"/>
      <color theme="3"/>
      <name val="맑은 고딕"/>
      <family val="3"/>
      <charset val="129"/>
    </font>
    <font>
      <b/>
      <sz val="10"/>
      <color theme="5"/>
      <name val="맑은 고딕"/>
      <family val="3"/>
      <charset val="129"/>
    </font>
    <font>
      <sz val="10"/>
      <color theme="5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theme="3"/>
      <name val="맑은 고딕"/>
      <family val="3"/>
      <charset val="129"/>
    </font>
    <font>
      <sz val="12"/>
      <color theme="1" tint="0.249977111117893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2"/>
      <color theme="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59996337778862885"/>
      </top>
      <bottom style="thin">
        <color theme="3" tint="0.79998168889431442"/>
      </bottom>
      <diagonal/>
    </border>
    <border>
      <left/>
      <right/>
      <top style="thin">
        <color theme="3" tint="0.59996337778862885"/>
      </top>
      <bottom/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/>
    <xf numFmtId="0" fontId="3" fillId="0" borderId="0" applyNumberFormat="0" applyFill="0" applyProtection="0">
      <alignment vertical="center"/>
    </xf>
    <xf numFmtId="0" fontId="2" fillId="0" borderId="0" applyNumberFormat="0" applyFill="0" applyProtection="0">
      <alignment vertical="center"/>
    </xf>
    <xf numFmtId="0" fontId="4" fillId="0" borderId="0" applyNumberFormat="0" applyFill="0" applyBorder="0" applyAlignment="0" applyProtection="0"/>
  </cellStyleXfs>
  <cellXfs count="64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 applyFill="1" applyAlignment="1">
      <alignment vertical="center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6" fillId="0" borderId="5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6" xfId="0" applyFont="1" applyBorder="1">
      <alignment vertical="center"/>
    </xf>
    <xf numFmtId="0" fontId="12" fillId="0" borderId="0" xfId="4" applyFont="1" applyFill="1" applyBorder="1" applyAlignment="1">
      <alignment vertical="center"/>
    </xf>
    <xf numFmtId="0" fontId="13" fillId="0" borderId="0" xfId="4" applyFont="1" applyFill="1" applyBorder="1" applyAlignment="1">
      <alignment vertical="center"/>
    </xf>
    <xf numFmtId="0" fontId="6" fillId="0" borderId="0" xfId="0" applyFont="1" applyAlignment="1">
      <alignment vertical="center"/>
    </xf>
    <xf numFmtId="14" fontId="14" fillId="0" borderId="0" xfId="0" applyNumberFormat="1" applyFont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6" fillId="2" borderId="0" xfId="1" applyNumberFormat="1" applyFont="1" applyFill="1" applyBorder="1" applyAlignment="1">
      <alignment horizontal="left" vertical="center"/>
    </xf>
    <xf numFmtId="6" fontId="14" fillId="0" borderId="0" xfId="0" applyNumberFormat="1" applyFont="1" applyFill="1" applyBorder="1" applyAlignment="1">
      <alignment horizontal="left" vertical="center"/>
    </xf>
    <xf numFmtId="6" fontId="6" fillId="5" borderId="0" xfId="0" applyNumberFormat="1" applyFont="1" applyFill="1" applyBorder="1" applyAlignment="1">
      <alignment horizontal="left" vertical="center"/>
    </xf>
    <xf numFmtId="6" fontId="6" fillId="4" borderId="0" xfId="0" applyNumberFormat="1" applyFont="1" applyFill="1" applyBorder="1" applyAlignment="1">
      <alignment horizontal="left" vertical="center"/>
    </xf>
    <xf numFmtId="6" fontId="6" fillId="3" borderId="0" xfId="0" applyNumberFormat="1" applyFont="1" applyFill="1" applyBorder="1" applyAlignment="1">
      <alignment horizontal="left" vertical="center"/>
    </xf>
    <xf numFmtId="177" fontId="6" fillId="5" borderId="0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/>
    </xf>
    <xf numFmtId="14" fontId="17" fillId="0" borderId="0" xfId="0" applyNumberFormat="1" applyFont="1" applyAlignment="1">
      <alignment horizontal="right"/>
    </xf>
    <xf numFmtId="0" fontId="12" fillId="0" borderId="4" xfId="4" applyFont="1" applyFill="1" applyBorder="1" applyAlignment="1">
      <alignment horizontal="left" vertical="center"/>
    </xf>
    <xf numFmtId="176" fontId="13" fillId="0" borderId="4" xfId="4" applyNumberFormat="1" applyFont="1" applyFill="1" applyBorder="1" applyAlignment="1">
      <alignment horizontal="left" vertical="center" indent="1"/>
    </xf>
    <xf numFmtId="176" fontId="13" fillId="0" borderId="4" xfId="4" applyNumberFormat="1" applyFont="1" applyFill="1" applyBorder="1" applyAlignment="1">
      <alignment horizontal="right" vertical="center"/>
    </xf>
    <xf numFmtId="0" fontId="15" fillId="0" borderId="2" xfId="0" applyFont="1" applyFill="1" applyBorder="1" applyAlignment="1">
      <alignment horizontal="left" vertical="center"/>
    </xf>
    <xf numFmtId="0" fontId="10" fillId="5" borderId="2" xfId="1" applyNumberFormat="1" applyFont="1" applyFill="1" applyBorder="1" applyAlignment="1">
      <alignment horizontal="left" vertical="center" indent="1"/>
    </xf>
    <xf numFmtId="0" fontId="10" fillId="0" borderId="2" xfId="1" applyNumberFormat="1" applyFont="1" applyFill="1" applyBorder="1" applyAlignment="1">
      <alignment horizontal="left" vertical="center" indent="1"/>
    </xf>
    <xf numFmtId="0" fontId="10" fillId="0" borderId="2" xfId="0" applyNumberFormat="1" applyFont="1" applyFill="1" applyBorder="1" applyAlignment="1">
      <alignment horizontal="left" vertical="center"/>
    </xf>
    <xf numFmtId="10" fontId="10" fillId="0" borderId="2" xfId="0" applyNumberFormat="1" applyFont="1" applyFill="1" applyBorder="1" applyAlignment="1">
      <alignment horizontal="left" vertical="center"/>
    </xf>
    <xf numFmtId="0" fontId="10" fillId="0" borderId="2" xfId="1" applyNumberFormat="1" applyFont="1" applyFill="1" applyBorder="1" applyAlignment="1">
      <alignment horizontal="left" vertical="center"/>
    </xf>
    <xf numFmtId="10" fontId="10" fillId="0" borderId="2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left" vertical="center"/>
    </xf>
    <xf numFmtId="10" fontId="10" fillId="5" borderId="1" xfId="0" applyNumberFormat="1" applyFont="1" applyFill="1" applyBorder="1" applyAlignment="1">
      <alignment horizontal="left" vertical="center" indent="1"/>
    </xf>
    <xf numFmtId="10" fontId="10" fillId="5" borderId="1" xfId="0" applyNumberFormat="1" applyFont="1" applyFill="1" applyBorder="1" applyAlignment="1">
      <alignment horizontal="right" vertical="center"/>
    </xf>
    <xf numFmtId="0" fontId="10" fillId="5" borderId="1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right" vertical="center"/>
    </xf>
    <xf numFmtId="0" fontId="18" fillId="0" borderId="0" xfId="0" applyFont="1" applyBorder="1">
      <alignment vertical="center"/>
    </xf>
    <xf numFmtId="176" fontId="13" fillId="0" borderId="4" xfId="4" applyNumberFormat="1" applyFont="1" applyFill="1" applyBorder="1" applyAlignment="1">
      <alignment horizontal="left" vertical="center"/>
    </xf>
    <xf numFmtId="0" fontId="13" fillId="0" borderId="4" xfId="4" applyFont="1" applyBorder="1" applyAlignment="1">
      <alignment horizontal="left" vertical="center"/>
    </xf>
    <xf numFmtId="176" fontId="13" fillId="0" borderId="4" xfId="0" applyNumberFormat="1" applyFont="1" applyFill="1" applyBorder="1" applyAlignment="1">
      <alignment horizontal="left"/>
    </xf>
    <xf numFmtId="0" fontId="15" fillId="0" borderId="3" xfId="0" applyFont="1" applyFill="1" applyBorder="1" applyAlignment="1">
      <alignment horizontal="left"/>
    </xf>
    <xf numFmtId="176" fontId="15" fillId="0" borderId="3" xfId="0" applyNumberFormat="1" applyFont="1" applyBorder="1" applyAlignment="1">
      <alignment horizontal="left"/>
    </xf>
    <xf numFmtId="0" fontId="15" fillId="0" borderId="3" xfId="0" applyFont="1" applyBorder="1" applyAlignment="1">
      <alignment horizontal="left" vertical="center"/>
    </xf>
    <xf numFmtId="176" fontId="10" fillId="0" borderId="3" xfId="0" applyNumberFormat="1" applyFont="1" applyBorder="1" applyAlignment="1">
      <alignment horizontal="left"/>
    </xf>
    <xf numFmtId="176" fontId="1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pivotButton="1" applyFont="1">
      <alignment vertical="center"/>
    </xf>
    <xf numFmtId="0" fontId="1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6" fontId="10" fillId="5" borderId="1" xfId="0" applyNumberFormat="1" applyFont="1" applyFill="1" applyBorder="1" applyAlignment="1">
      <alignment horizontal="left" vertical="center" indent="1"/>
    </xf>
    <xf numFmtId="6" fontId="15" fillId="0" borderId="3" xfId="0" applyNumberFormat="1" applyFont="1" applyBorder="1" applyAlignment="1">
      <alignment horizontal="left"/>
    </xf>
    <xf numFmtId="178" fontId="6" fillId="5" borderId="0" xfId="0" applyNumberFormat="1" applyFont="1" applyFill="1" applyBorder="1" applyAlignment="1">
      <alignment horizontal="left" vertical="center"/>
    </xf>
    <xf numFmtId="177" fontId="6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0" fontId="19" fillId="0" borderId="0" xfId="0" applyFont="1" applyAlignment="1">
      <alignment horizontal="left"/>
    </xf>
    <xf numFmtId="6" fontId="6" fillId="0" borderId="0" xfId="0" applyNumberFormat="1" applyFont="1">
      <alignment vertical="center"/>
    </xf>
    <xf numFmtId="6" fontId="14" fillId="0" borderId="0" xfId="0" applyNumberFormat="1" applyFont="1">
      <alignment vertical="center"/>
    </xf>
  </cellXfs>
  <cellStyles count="5">
    <cellStyle name="쉼표" xfId="1" builtinId="3"/>
    <cellStyle name="제목 1" xfId="2" builtinId="16" customBuiltin="1"/>
    <cellStyle name="제목 2" xfId="3" builtinId="17" customBuiltin="1"/>
    <cellStyle name="제목 4" xfId="4" builtinId="19" customBuiltin="1"/>
    <cellStyle name="표준" xfId="0" builtinId="0" customBuiltin="1"/>
  </cellStyles>
  <dxfs count="62"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font>
        <name val="맑은 고딕"/>
        <scheme val="none"/>
      </font>
    </dxf>
    <dxf>
      <alignment horizontal="left" readingOrder="0"/>
    </dxf>
    <dxf>
      <font>
        <b/>
      </font>
    </dxf>
    <dxf>
      <numFmt numFmtId="10" formatCode="&quot;₩&quot;#,##0;[Red]\-&quot;₩&quot;#,##0"/>
    </dxf>
    <dxf>
      <font>
        <name val="맑은 고딕"/>
        <scheme val="none"/>
      </font>
    </dxf>
    <dxf>
      <font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scheme val="minor"/>
      </font>
    </dxf>
    <dxf>
      <alignment horizontal="right" readingOrder="0"/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numFmt numFmtId="10" formatCode="&quot;₩&quot;#,##0;[Red]\-&quot;₩&quot;#,##0"/>
      <fill>
        <patternFill patternType="solid">
          <fgColor indexed="64"/>
          <bgColor theme="4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numFmt numFmtId="10" formatCode="&quot;₩&quot;#,##0;[Red]\-&quot;₩&quot;#,##0"/>
      <fill>
        <patternFill patternType="solid">
          <fgColor indexed="64"/>
          <bgColor theme="4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numFmt numFmtId="10" formatCode="&quot;₩&quot;#,##0;[Red]\-&quot;₩&quot;#,##0"/>
      <fill>
        <patternFill patternType="solid">
          <fgColor indexed="64"/>
          <bgColor theme="4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numFmt numFmtId="10" formatCode="&quot;₩&quot;#,##0;[Red]\-&quot;₩&quot;#,##0"/>
      <fill>
        <patternFill patternType="solid">
          <fgColor indexed="64"/>
          <bgColor theme="4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numFmt numFmtId="10" formatCode="&quot;₩&quot;#,##0;[Red]\-&quot;₩&quot;#,##0"/>
      <fill>
        <patternFill patternType="solid">
          <fgColor indexed="64"/>
          <bgColor theme="4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numFmt numFmtId="10" formatCode="&quot;₩&quot;#,##0;[Red]\-&quot;₩&quot;#,##0"/>
      <fill>
        <patternFill patternType="solid">
          <fgColor indexed="64"/>
          <bgColor theme="4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numFmt numFmtId="10" formatCode="&quot;₩&quot;#,##0;[Red]\-&quot;₩&quot;#,##0"/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맑은 고딕"/>
        <scheme val="none"/>
      </font>
      <numFmt numFmtId="10" formatCode="&quot;₩&quot;#,##0;[Red]\-&quot;₩&quot;#,##0"/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맑은 고딕"/>
        <scheme val="none"/>
      </font>
      <numFmt numFmtId="10" formatCode="&quot;₩&quot;#,##0;[Red]\-&quot;₩&quot;#,##0"/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맑은 고딕"/>
        <scheme val="none"/>
      </font>
      <numFmt numFmtId="10" formatCode="&quot;₩&quot;#,##0;[Red]\-&quot;₩&quot;#,##0"/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맑은 고딕"/>
        <scheme val="none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맑은 고딕"/>
        <scheme val="none"/>
      </font>
      <numFmt numFmtId="179" formatCode="mm/dd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맑은 고딕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vertical="center" textRotation="0" indent="0" justifyLastLine="0" shrinkToFit="0" readingOrder="0"/>
    </dxf>
    <dxf>
      <font>
        <b val="0"/>
        <i val="0"/>
        <color theme="5"/>
      </font>
      <border diagonalUp="0" diagonalDown="0">
        <left/>
        <right/>
        <top/>
        <bottom style="thin">
          <color theme="3" tint="0.79998168889431442"/>
        </bottom>
        <vertical/>
        <horizontal/>
      </border>
    </dxf>
    <dxf>
      <font>
        <b val="0"/>
        <i val="0"/>
        <color theme="3"/>
      </font>
      <border diagonalUp="0" diagonalDown="0">
        <left/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  <border>
        <left style="thick">
          <color theme="0"/>
        </left>
      </border>
    </dxf>
    <dxf>
      <font>
        <b/>
        <i val="0"/>
        <color theme="0"/>
      </font>
      <fill>
        <patternFill>
          <bgColor theme="5"/>
        </patternFill>
      </fill>
      <border>
        <bottom style="thick">
          <color theme="0"/>
        </bottom>
      </border>
    </dxf>
    <dxf>
      <font>
        <b/>
        <i val="0"/>
      </font>
      <border>
        <bottom style="thin">
          <color theme="3" tint="0.79998168889431442"/>
        </bottom>
      </border>
    </dxf>
    <dxf>
      <font>
        <b/>
        <i val="0"/>
        <color theme="0"/>
      </font>
      <fill>
        <patternFill>
          <bgColor theme="4"/>
        </patternFill>
      </fill>
      <border>
        <left style="thick">
          <color theme="0"/>
        </left>
        <top style="thick">
          <color theme="0"/>
        </top>
        <bottom style="thick">
          <color theme="0"/>
        </bottom>
      </border>
    </dxf>
    <dxf>
      <font>
        <b/>
        <i val="0"/>
      </font>
      <border>
        <top style="thin">
          <color theme="3" tint="0.79995117038483843"/>
        </top>
        <bottom style="thin">
          <color theme="3" tint="0.79998168889431442"/>
        </bottom>
      </border>
    </dxf>
    <dxf>
      <font>
        <b/>
        <i val="0"/>
        <color theme="5"/>
      </font>
      <border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</dxfs>
  <tableStyles count="2" defaultTableStyle="Monthly Sales Report Table Style" defaultPivotStyle="Monthly Sales Report PivotTable Style">
    <tableStyle name="Monthly Sales Report PivotTable Style" table="0" count="8" xr9:uid="{00000000-0011-0000-FFFF-FFFF00000000}">
      <tableStyleElement type="wholeTable" dxfId="61"/>
      <tableStyleElement type="headerRow" dxfId="60"/>
      <tableStyleElement type="totalRow" dxfId="59"/>
      <tableStyleElement type="secondSubtotalRow" dxfId="58"/>
      <tableStyleElement type="thirdSubtotalRow" dxfId="57"/>
      <tableStyleElement type="firstRowSubheading" dxfId="56"/>
      <tableStyleElement type="secondRowSubheading" dxfId="55"/>
      <tableStyleElement type="thirdRowSubheading" dxfId="54"/>
    </tableStyle>
    <tableStyle name="Monthly Sales Report Table Style" pivot="0" count="2" xr9:uid="{00000000-0011-0000-FFFF-FFFF01000000}">
      <tableStyleElement type="wholeTable" dxfId="53"/>
      <tableStyleElement type="headerRow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'데이터 입력'!$D$5</c:f>
              <c:strCache>
                <c:ptCount val="1"/>
                <c:pt idx="0">
                  <c:v>금액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'데이터 입력'!$B$6:$B$24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'데이터 입력'!$D$6:$D$24</c:f>
              <c:numCache>
                <c:formatCode>"₩"#,##0_);[Red]\("₩"#,##0\)</c:formatCode>
                <c:ptCount val="19"/>
                <c:pt idx="0">
                  <c:v>6400000</c:v>
                </c:pt>
                <c:pt idx="1">
                  <c:v>8200000</c:v>
                </c:pt>
                <c:pt idx="2">
                  <c:v>4400000</c:v>
                </c:pt>
                <c:pt idx="3">
                  <c:v>5400000</c:v>
                </c:pt>
                <c:pt idx="4">
                  <c:v>5800000</c:v>
                </c:pt>
                <c:pt idx="5">
                  <c:v>6200000</c:v>
                </c:pt>
                <c:pt idx="6">
                  <c:v>6900000</c:v>
                </c:pt>
                <c:pt idx="7">
                  <c:v>7500000</c:v>
                </c:pt>
                <c:pt idx="8">
                  <c:v>8700000</c:v>
                </c:pt>
                <c:pt idx="9">
                  <c:v>8500000</c:v>
                </c:pt>
                <c:pt idx="10">
                  <c:v>7900000</c:v>
                </c:pt>
                <c:pt idx="11">
                  <c:v>9100000</c:v>
                </c:pt>
                <c:pt idx="12">
                  <c:v>5600000</c:v>
                </c:pt>
                <c:pt idx="13">
                  <c:v>9300000</c:v>
                </c:pt>
                <c:pt idx="14">
                  <c:v>8800000</c:v>
                </c:pt>
                <c:pt idx="15">
                  <c:v>9100000</c:v>
                </c:pt>
                <c:pt idx="16">
                  <c:v>9000000</c:v>
                </c:pt>
                <c:pt idx="17">
                  <c:v>7500000</c:v>
                </c:pt>
                <c:pt idx="18">
                  <c:v>9500000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3-498E-9FFB-3DA2B944FED6}"/>
            </c:ext>
          </c:extLst>
        </c:ser>
        <c:ser>
          <c:idx val="1"/>
          <c:order val="1"/>
          <c:tx>
            <c:strRef>
              <c:f>'데이터 입력'!$E$5</c:f>
              <c:strCache>
                <c:ptCount val="1"/>
                <c:pt idx="0">
                  <c:v>계획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'데이터 입력'!$B$6:$B$24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'데이터 입력'!$E$6:$E$24</c:f>
              <c:numCache>
                <c:formatCode>"₩"#,##0_);[Red]\("₩"#,##0\)</c:formatCode>
                <c:ptCount val="19"/>
                <c:pt idx="0">
                  <c:v>6200000</c:v>
                </c:pt>
                <c:pt idx="1">
                  <c:v>8000000</c:v>
                </c:pt>
                <c:pt idx="2">
                  <c:v>4200000</c:v>
                </c:pt>
                <c:pt idx="3">
                  <c:v>5500000</c:v>
                </c:pt>
                <c:pt idx="4">
                  <c:v>6000000</c:v>
                </c:pt>
                <c:pt idx="5">
                  <c:v>6000000</c:v>
                </c:pt>
                <c:pt idx="6">
                  <c:v>7500000</c:v>
                </c:pt>
                <c:pt idx="7">
                  <c:v>7200000</c:v>
                </c:pt>
                <c:pt idx="8">
                  <c:v>8500000</c:v>
                </c:pt>
                <c:pt idx="9">
                  <c:v>8300000</c:v>
                </c:pt>
                <c:pt idx="10">
                  <c:v>7700000</c:v>
                </c:pt>
                <c:pt idx="11">
                  <c:v>8900000</c:v>
                </c:pt>
                <c:pt idx="12">
                  <c:v>5800000</c:v>
                </c:pt>
                <c:pt idx="13">
                  <c:v>9100000</c:v>
                </c:pt>
                <c:pt idx="14">
                  <c:v>9350000</c:v>
                </c:pt>
                <c:pt idx="15">
                  <c:v>9200000</c:v>
                </c:pt>
                <c:pt idx="16">
                  <c:v>10000000</c:v>
                </c:pt>
                <c:pt idx="17">
                  <c:v>8000000</c:v>
                </c:pt>
                <c:pt idx="18">
                  <c:v>9200000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98E-9FFB-3DA2B944FED6}"/>
            </c:ext>
          </c:extLst>
        </c:ser>
        <c:ser>
          <c:idx val="2"/>
          <c:order val="2"/>
          <c:tx>
            <c:strRef>
              <c:f>'데이터 입력'!$F$5</c:f>
              <c:strCache>
                <c:ptCount val="1"/>
                <c:pt idx="0">
                  <c:v>비용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'데이터 입력'!$B$6:$B$24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'데이터 입력'!$F$6:$F$24</c:f>
              <c:numCache>
                <c:formatCode>"₩"#,##0_);[Red]\("₩"#,##0\)</c:formatCode>
                <c:ptCount val="19"/>
                <c:pt idx="0">
                  <c:v>4450000</c:v>
                </c:pt>
                <c:pt idx="1">
                  <c:v>6400000</c:v>
                </c:pt>
                <c:pt idx="2">
                  <c:v>2600000</c:v>
                </c:pt>
                <c:pt idx="3">
                  <c:v>4500000</c:v>
                </c:pt>
                <c:pt idx="4">
                  <c:v>4500000</c:v>
                </c:pt>
                <c:pt idx="5">
                  <c:v>4500000</c:v>
                </c:pt>
                <c:pt idx="6">
                  <c:v>5400000</c:v>
                </c:pt>
                <c:pt idx="7">
                  <c:v>6500000</c:v>
                </c:pt>
                <c:pt idx="8">
                  <c:v>7250000</c:v>
                </c:pt>
                <c:pt idx="9">
                  <c:v>7100000</c:v>
                </c:pt>
                <c:pt idx="10">
                  <c:v>6600000</c:v>
                </c:pt>
                <c:pt idx="11">
                  <c:v>7900000</c:v>
                </c:pt>
                <c:pt idx="12">
                  <c:v>4500000</c:v>
                </c:pt>
                <c:pt idx="13">
                  <c:v>7500000</c:v>
                </c:pt>
                <c:pt idx="14">
                  <c:v>7100000</c:v>
                </c:pt>
                <c:pt idx="15">
                  <c:v>7850000</c:v>
                </c:pt>
                <c:pt idx="16">
                  <c:v>7575000</c:v>
                </c:pt>
                <c:pt idx="17">
                  <c:v>5850000</c:v>
                </c:pt>
                <c:pt idx="18">
                  <c:v>8500000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3-498E-9FFB-3DA2B944FED6}"/>
            </c:ext>
          </c:extLst>
        </c:ser>
        <c:ser>
          <c:idx val="3"/>
          <c:order val="3"/>
          <c:tx>
            <c:strRef>
              <c:f>'데이터 입력'!$G$5</c:f>
              <c:strCache>
                <c:ptCount val="1"/>
                <c:pt idx="0">
                  <c:v>수익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'데이터 입력'!$B$6:$B$24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'데이터 입력'!$G$6:$G$24</c:f>
              <c:numCache>
                <c:formatCode>"₩"#,##0_);[Red]\("₩"#,##0\)</c:formatCode>
                <c:ptCount val="19"/>
                <c:pt idx="0">
                  <c:v>1950000</c:v>
                </c:pt>
                <c:pt idx="1">
                  <c:v>1800000</c:v>
                </c:pt>
                <c:pt idx="2">
                  <c:v>1800000</c:v>
                </c:pt>
                <c:pt idx="3">
                  <c:v>900000</c:v>
                </c:pt>
                <c:pt idx="4">
                  <c:v>1300000</c:v>
                </c:pt>
                <c:pt idx="5">
                  <c:v>1700000</c:v>
                </c:pt>
                <c:pt idx="6">
                  <c:v>1500000</c:v>
                </c:pt>
                <c:pt idx="7">
                  <c:v>1000000</c:v>
                </c:pt>
                <c:pt idx="8">
                  <c:v>1450000</c:v>
                </c:pt>
                <c:pt idx="9">
                  <c:v>1400000</c:v>
                </c:pt>
                <c:pt idx="10">
                  <c:v>1300000</c:v>
                </c:pt>
                <c:pt idx="11">
                  <c:v>1200000</c:v>
                </c:pt>
                <c:pt idx="12">
                  <c:v>1100000</c:v>
                </c:pt>
                <c:pt idx="13">
                  <c:v>1800000</c:v>
                </c:pt>
                <c:pt idx="14">
                  <c:v>1700000</c:v>
                </c:pt>
                <c:pt idx="15">
                  <c:v>1250000</c:v>
                </c:pt>
                <c:pt idx="16">
                  <c:v>1425000</c:v>
                </c:pt>
                <c:pt idx="17">
                  <c:v>1650000</c:v>
                </c:pt>
                <c:pt idx="18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3-498E-9FFB-3DA2B944F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1616"/>
        <c:axId val="43662176"/>
      </c:lineChart>
      <c:dateAx>
        <c:axId val="43661616"/>
        <c:scaling>
          <c:orientation val="minMax"/>
        </c:scaling>
        <c:delete val="0"/>
        <c:axPos val="b"/>
        <c:numFmt formatCode="yyyy&quot;년&quot;\ m&quot;월&quot;;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3662176"/>
        <c:crosses val="autoZero"/>
        <c:auto val="1"/>
        <c:lblOffset val="100"/>
        <c:baseTimeUnit val="days"/>
        <c:majorUnit val="1"/>
        <c:majorTimeUnit val="months"/>
      </c:dateAx>
      <c:valAx>
        <c:axId val="43662176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₩&quot;#,##0_);[Red]\(&quot;₩&quot;#,##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436616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7669607428103742"/>
          <c:y val="4.8780519032404476E-2"/>
          <c:w val="0.3945391019670928"/>
          <c:h val="8.758460502171741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'데이터 입력'!$O$5</c:f>
              <c:strCache>
                <c:ptCount val="1"/>
                <c:pt idx="0">
                  <c:v>월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'데이터 입력'!$B$6:$B$24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'데이터 입력'!$O$6:$O$24</c:f>
              <c:numCache>
                <c:formatCode>"₩"#,##0_);[Red]\("₩"#,##0\)</c:formatCode>
                <c:ptCount val="19"/>
                <c:pt idx="0">
                  <c:v>14600000</c:v>
                </c:pt>
                <c:pt idx="1">
                  <c:v>14600000</c:v>
                </c:pt>
                <c:pt idx="2">
                  <c:v>29000000</c:v>
                </c:pt>
                <c:pt idx="3">
                  <c:v>29000000</c:v>
                </c:pt>
                <c:pt idx="4">
                  <c:v>29000000</c:v>
                </c:pt>
                <c:pt idx="5">
                  <c:v>29000000.000000007</c:v>
                </c:pt>
                <c:pt idx="6">
                  <c:v>21600000</c:v>
                </c:pt>
                <c:pt idx="7">
                  <c:v>17950000</c:v>
                </c:pt>
                <c:pt idx="8">
                  <c:v>10776470.588235293</c:v>
                </c:pt>
                <c:pt idx="9">
                  <c:v>12455862.068965519</c:v>
                </c:pt>
                <c:pt idx="10">
                  <c:v>13667567.567567568</c:v>
                </c:pt>
                <c:pt idx="11">
                  <c:v>17651666.666666664</c:v>
                </c:pt>
                <c:pt idx="12">
                  <c:v>19877911.646586344</c:v>
                </c:pt>
                <c:pt idx="13">
                  <c:v>21138050.314465411</c:v>
                </c:pt>
                <c:pt idx="14">
                  <c:v>17951744.186046511</c:v>
                </c:pt>
                <c:pt idx="15">
                  <c:v>20556130.108423688</c:v>
                </c:pt>
                <c:pt idx="16">
                  <c:v>21997139.141742524</c:v>
                </c:pt>
                <c:pt idx="17">
                  <c:v>22917634.523175277</c:v>
                </c:pt>
                <c:pt idx="18">
                  <c:v>20504314.720812183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2-461A-BD72-CD8D3690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4976"/>
        <c:axId val="43665536"/>
      </c:lineChart>
      <c:dateAx>
        <c:axId val="43664976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43665536"/>
        <c:crosses val="autoZero"/>
        <c:auto val="1"/>
        <c:lblOffset val="100"/>
        <c:baseTimeUnit val="days"/>
        <c:majorUnit val="1"/>
        <c:majorTimeUnit val="months"/>
      </c:dateAx>
      <c:valAx>
        <c:axId val="43665536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₩&quot;#,##0_);[Red]\(&quot;₩&quot;#,##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4366497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'데이터 입력'!$P$5</c:f>
              <c:strCache>
                <c:ptCount val="1"/>
                <c:pt idx="0">
                  <c:v>분기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'데이터 입력'!$B$6:$B$24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'데이터 입력'!$P$6:$P$24</c:f>
              <c:numCache>
                <c:formatCode>"₩"#,##0_);[Red]\("₩"#,##0\)</c:formatCode>
                <c:ptCount val="19"/>
                <c:pt idx="0">
                  <c:v>50800000</c:v>
                </c:pt>
                <c:pt idx="1">
                  <c:v>50800000</c:v>
                </c:pt>
                <c:pt idx="2">
                  <c:v>50800000</c:v>
                </c:pt>
                <c:pt idx="3">
                  <c:v>50800000</c:v>
                </c:pt>
                <c:pt idx="4">
                  <c:v>50800000</c:v>
                </c:pt>
                <c:pt idx="5">
                  <c:v>50800000</c:v>
                </c:pt>
                <c:pt idx="6">
                  <c:v>50800000</c:v>
                </c:pt>
                <c:pt idx="7">
                  <c:v>50800000</c:v>
                </c:pt>
                <c:pt idx="8">
                  <c:v>47400000</c:v>
                </c:pt>
                <c:pt idx="9">
                  <c:v>47400000</c:v>
                </c:pt>
                <c:pt idx="10">
                  <c:v>47400000</c:v>
                </c:pt>
                <c:pt idx="11">
                  <c:v>47400000</c:v>
                </c:pt>
                <c:pt idx="12">
                  <c:v>47400000</c:v>
                </c:pt>
                <c:pt idx="13">
                  <c:v>47400000.000000007</c:v>
                </c:pt>
                <c:pt idx="14">
                  <c:v>43258139.534883723</c:v>
                </c:pt>
                <c:pt idx="15">
                  <c:v>42312903.225806452</c:v>
                </c:pt>
                <c:pt idx="16">
                  <c:v>41811111.111111119</c:v>
                </c:pt>
                <c:pt idx="17">
                  <c:v>41500000</c:v>
                </c:pt>
                <c:pt idx="18">
                  <c:v>41288235.294117644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6-493E-A149-E8C5ECCF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06320"/>
        <c:axId val="184106880"/>
      </c:lineChart>
      <c:dateAx>
        <c:axId val="184106320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184106880"/>
        <c:crosses val="autoZero"/>
        <c:auto val="1"/>
        <c:lblOffset val="100"/>
        <c:baseTimeUnit val="days"/>
        <c:majorUnit val="1"/>
        <c:majorTimeUnit val="months"/>
      </c:dateAx>
      <c:valAx>
        <c:axId val="184106880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₩&quot;#,##0_);[Red]\(&quot;₩&quot;#,##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841063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b="0" i="0" spc="50" baseline="0">
          <a:solidFill>
            <a:schemeClr val="tx2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'데이터 입력'!$Q$5</c:f>
              <c:strCache>
                <c:ptCount val="1"/>
                <c:pt idx="0">
                  <c:v>년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'데이터 입력'!$B$6:$B$24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'데이터 입력'!$Q$6:$Q$24</c:f>
              <c:numCache>
                <c:formatCode>"₩"#,##0_);[Red]\("₩"#,##0\)</c:formatCode>
                <c:ptCount val="19"/>
                <c:pt idx="0">
                  <c:v>143800000</c:v>
                </c:pt>
                <c:pt idx="1">
                  <c:v>143800000</c:v>
                </c:pt>
                <c:pt idx="2">
                  <c:v>143800000</c:v>
                </c:pt>
                <c:pt idx="3">
                  <c:v>143800000</c:v>
                </c:pt>
                <c:pt idx="4">
                  <c:v>143800000</c:v>
                </c:pt>
                <c:pt idx="5">
                  <c:v>143800000</c:v>
                </c:pt>
                <c:pt idx="6">
                  <c:v>143800000</c:v>
                </c:pt>
                <c:pt idx="7">
                  <c:v>143800000</c:v>
                </c:pt>
                <c:pt idx="8">
                  <c:v>143800000</c:v>
                </c:pt>
                <c:pt idx="9">
                  <c:v>143800000</c:v>
                </c:pt>
                <c:pt idx="10">
                  <c:v>143800000</c:v>
                </c:pt>
                <c:pt idx="11">
                  <c:v>143800000</c:v>
                </c:pt>
                <c:pt idx="12">
                  <c:v>143800000</c:v>
                </c:pt>
                <c:pt idx="13">
                  <c:v>143800000</c:v>
                </c:pt>
                <c:pt idx="14">
                  <c:v>143800000</c:v>
                </c:pt>
                <c:pt idx="15">
                  <c:v>143800000</c:v>
                </c:pt>
                <c:pt idx="16">
                  <c:v>143800000</c:v>
                </c:pt>
                <c:pt idx="17">
                  <c:v>143800000</c:v>
                </c:pt>
                <c:pt idx="18">
                  <c:v>143800000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C-49AD-853E-BB646135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09120"/>
        <c:axId val="184109680"/>
      </c:lineChart>
      <c:dateAx>
        <c:axId val="184109120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184109680"/>
        <c:crosses val="autoZero"/>
        <c:auto val="1"/>
        <c:lblOffset val="100"/>
        <c:baseTimeUnit val="days"/>
        <c:majorUnit val="1"/>
        <c:majorTimeUnit val="months"/>
      </c:dateAx>
      <c:valAx>
        <c:axId val="184109680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₩&quot;#,##0_);[Red]\(&quot;₩&quot;#,##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841091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60" baseline="0">
          <a:solidFill>
            <a:schemeClr val="tx2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'데이터 입력'!$G$5</c:f>
              <c:strCache>
                <c:ptCount val="1"/>
                <c:pt idx="0">
                  <c:v>수익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'데이터 입력'!$B$6:$B$24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'데이터 입력'!$G$6:$G$24</c:f>
              <c:numCache>
                <c:formatCode>"₩"#,##0_);[Red]\("₩"#,##0\)</c:formatCode>
                <c:ptCount val="19"/>
                <c:pt idx="0">
                  <c:v>1950000</c:v>
                </c:pt>
                <c:pt idx="1">
                  <c:v>1800000</c:v>
                </c:pt>
                <c:pt idx="2">
                  <c:v>1800000</c:v>
                </c:pt>
                <c:pt idx="3">
                  <c:v>900000</c:v>
                </c:pt>
                <c:pt idx="4">
                  <c:v>1300000</c:v>
                </c:pt>
                <c:pt idx="5">
                  <c:v>1700000</c:v>
                </c:pt>
                <c:pt idx="6">
                  <c:v>1500000</c:v>
                </c:pt>
                <c:pt idx="7">
                  <c:v>1000000</c:v>
                </c:pt>
                <c:pt idx="8">
                  <c:v>1450000</c:v>
                </c:pt>
                <c:pt idx="9">
                  <c:v>1400000</c:v>
                </c:pt>
                <c:pt idx="10">
                  <c:v>1300000</c:v>
                </c:pt>
                <c:pt idx="11">
                  <c:v>1200000</c:v>
                </c:pt>
                <c:pt idx="12">
                  <c:v>1100000</c:v>
                </c:pt>
                <c:pt idx="13">
                  <c:v>1800000</c:v>
                </c:pt>
                <c:pt idx="14">
                  <c:v>1700000</c:v>
                </c:pt>
                <c:pt idx="15">
                  <c:v>1250000</c:v>
                </c:pt>
                <c:pt idx="16">
                  <c:v>1425000</c:v>
                </c:pt>
                <c:pt idx="17">
                  <c:v>1650000</c:v>
                </c:pt>
                <c:pt idx="18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D-4CBA-970C-3AA1E567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11920"/>
        <c:axId val="184112480"/>
      </c:lineChart>
      <c:dateAx>
        <c:axId val="184111920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184112480"/>
        <c:crosses val="autoZero"/>
        <c:auto val="1"/>
        <c:lblOffset val="100"/>
        <c:baseTimeUnit val="days"/>
        <c:majorUnit val="1"/>
        <c:majorTimeUnit val="months"/>
      </c:dateAx>
      <c:valAx>
        <c:axId val="184112480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₩&quot;#,##0_);[Red]\(&quot;₩&quot;#,##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841119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&#54032;&#47588; &#50696;&#52769;'!A1"/><Relationship Id="rId1" Type="http://schemas.openxmlformats.org/officeDocument/2006/relationships/hyperlink" Target="#'&#54032;&#47588; &#48372;&#44256;&#49436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&#54032;&#47588; &#50696;&#52769;'!A1"/><Relationship Id="rId1" Type="http://schemas.openxmlformats.org/officeDocument/2006/relationships/hyperlink" Target="#'&#45936;&#51060;&#53552; &#51077;&#47141;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hyperlink" Target="#'&#54032;&#47588; &#48372;&#44256;&#49436;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&#45936;&#51060;&#53552; &#51077;&#47141;'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476251</xdr:colOff>
      <xdr:row>1</xdr:row>
      <xdr:rowOff>85725</xdr:rowOff>
    </xdr:from>
    <xdr:to>
      <xdr:col>6</xdr:col>
      <xdr:colOff>849250</xdr:colOff>
      <xdr:row>1</xdr:row>
      <xdr:rowOff>314325</xdr:rowOff>
    </xdr:to>
    <xdr:sp macro="" textlink="">
      <xdr:nvSpPr>
        <xdr:cNvPr id="2" name="판매 보고서" descr="Click to view Sales Report sheet." title="Sales Report navigation button">
          <a:hlinkClick xmlns:r="http://schemas.openxmlformats.org/officeDocument/2006/relationships" r:id="rId1" tooltip="판매 보고서 시트를 보려면 클릭하세요.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86301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판매 보고서</a:t>
          </a:r>
          <a:endParaRPr lang="en-US" sz="1000">
            <a:solidFill>
              <a:schemeClr val="bg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 fPrintsWithSheet="0"/>
  </xdr:twoCellAnchor>
  <xdr:twoCellAnchor>
    <xdr:from>
      <xdr:col>6</xdr:col>
      <xdr:colOff>904875</xdr:colOff>
      <xdr:row>1</xdr:row>
      <xdr:rowOff>85726</xdr:rowOff>
    </xdr:from>
    <xdr:to>
      <xdr:col>8</xdr:col>
      <xdr:colOff>413004</xdr:colOff>
      <xdr:row>1</xdr:row>
      <xdr:rowOff>314326</xdr:rowOff>
    </xdr:to>
    <xdr:sp macro="" textlink="">
      <xdr:nvSpPr>
        <xdr:cNvPr id="3" name="판매 예측" descr="Click to view Sales Forecast sheet." title="Sales Forecast navigation button">
          <a:hlinkClick xmlns:r="http://schemas.openxmlformats.org/officeDocument/2006/relationships" r:id="rId2" tooltip="판매 예측 시트를 보려면 클릭하세요.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48350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판매 예측</a:t>
          </a:r>
          <a:endParaRPr lang="en-US" sz="1000">
            <a:solidFill>
              <a:schemeClr val="bg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1704976</xdr:colOff>
      <xdr:row>1</xdr:row>
      <xdr:rowOff>85725</xdr:rowOff>
    </xdr:from>
    <xdr:to>
      <xdr:col>5</xdr:col>
      <xdr:colOff>563500</xdr:colOff>
      <xdr:row>1</xdr:row>
      <xdr:rowOff>314325</xdr:rowOff>
    </xdr:to>
    <xdr:sp macro="" textlink="">
      <xdr:nvSpPr>
        <xdr:cNvPr id="7" name="판매 보고서" descr="Click to view Data Entry sheet." title="Data Entry navigation button">
          <a:hlinkClick xmlns:r="http://schemas.openxmlformats.org/officeDocument/2006/relationships" r:id="rId1" tooltip="데이터 입력 시트를 보려면 클릭하세요.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676776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데이터 입력</a:t>
          </a:r>
          <a:endParaRPr lang="en-US" sz="1000">
            <a:solidFill>
              <a:schemeClr val="bg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 fPrintsWithSheet="0"/>
  </xdr:twoCellAnchor>
  <xdr:twoCellAnchor>
    <xdr:from>
      <xdr:col>5</xdr:col>
      <xdr:colOff>619125</xdr:colOff>
      <xdr:row>1</xdr:row>
      <xdr:rowOff>85726</xdr:rowOff>
    </xdr:from>
    <xdr:to>
      <xdr:col>6</xdr:col>
      <xdr:colOff>365379</xdr:colOff>
      <xdr:row>1</xdr:row>
      <xdr:rowOff>314326</xdr:rowOff>
    </xdr:to>
    <xdr:sp macro="" textlink="">
      <xdr:nvSpPr>
        <xdr:cNvPr id="8" name="판매 예측" descr="Click to view Sales Forecast sheet." title="Sales Forecast navigation button">
          <a:hlinkClick xmlns:r="http://schemas.openxmlformats.org/officeDocument/2006/relationships" r:id="rId2" tooltip="판매 예측 시트를 보려면 클릭하세요.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838825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판매 예측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15</xdr:row>
      <xdr:rowOff>114300</xdr:rowOff>
    </xdr:from>
    <xdr:to>
      <xdr:col>9</xdr:col>
      <xdr:colOff>876299</xdr:colOff>
      <xdr:row>27</xdr:row>
      <xdr:rowOff>142875</xdr:rowOff>
    </xdr:to>
    <xdr:graphicFrame macro="">
      <xdr:nvGraphicFramePr>
        <xdr:cNvPr id="4" name="판매 기록" descr="Sales history chart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30</xdr:row>
      <xdr:rowOff>9525</xdr:rowOff>
    </xdr:from>
    <xdr:to>
      <xdr:col>5</xdr:col>
      <xdr:colOff>141131</xdr:colOff>
      <xdr:row>35</xdr:row>
      <xdr:rowOff>92919</xdr:rowOff>
    </xdr:to>
    <xdr:graphicFrame macro="">
      <xdr:nvGraphicFramePr>
        <xdr:cNvPr id="5" name="월간 예측" descr="Month forecast chart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195263</xdr:colOff>
      <xdr:row>30</xdr:row>
      <xdr:rowOff>9525</xdr:rowOff>
    </xdr:from>
    <xdr:to>
      <xdr:col>9</xdr:col>
      <xdr:colOff>871537</xdr:colOff>
      <xdr:row>35</xdr:row>
      <xdr:rowOff>92919</xdr:rowOff>
    </xdr:to>
    <xdr:graphicFrame macro="">
      <xdr:nvGraphicFramePr>
        <xdr:cNvPr id="6" name="분기 예측" descr="Quarter forecast chart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38</xdr:row>
      <xdr:rowOff>9526</xdr:rowOff>
    </xdr:from>
    <xdr:to>
      <xdr:col>5</xdr:col>
      <xdr:colOff>141131</xdr:colOff>
      <xdr:row>43</xdr:row>
      <xdr:rowOff>57151</xdr:rowOff>
    </xdr:to>
    <xdr:graphicFrame macro="">
      <xdr:nvGraphicFramePr>
        <xdr:cNvPr id="7" name="연간 예측" descr="Year forecast chart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198491</xdr:colOff>
      <xdr:row>38</xdr:row>
      <xdr:rowOff>9526</xdr:rowOff>
    </xdr:from>
    <xdr:to>
      <xdr:col>9</xdr:col>
      <xdr:colOff>874765</xdr:colOff>
      <xdr:row>43</xdr:row>
      <xdr:rowOff>64345</xdr:rowOff>
    </xdr:to>
    <xdr:graphicFrame macro="">
      <xdr:nvGraphicFramePr>
        <xdr:cNvPr id="8" name="수익 흐름" descr="Revenue stream chart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504825</xdr:colOff>
      <xdr:row>1</xdr:row>
      <xdr:rowOff>85725</xdr:rowOff>
    </xdr:from>
    <xdr:to>
      <xdr:col>6</xdr:col>
      <xdr:colOff>696849</xdr:colOff>
      <xdr:row>1</xdr:row>
      <xdr:rowOff>314325</xdr:rowOff>
    </xdr:to>
    <xdr:sp macro="" textlink="">
      <xdr:nvSpPr>
        <xdr:cNvPr id="10" name="판매 보고서" descr="Click to view Data Entry sheet." title="Data Entry navigation button">
          <a:hlinkClick xmlns:r="http://schemas.openxmlformats.org/officeDocument/2006/relationships" r:id="rId6" tooltip="데이터 입력 시트를 보려면 클릭하세요.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676775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chemeClr val="bg1"/>
              </a:solidFill>
              <a:latin typeface="+mn-lt"/>
            </a:rPr>
            <a:t>데이터 입력</a:t>
          </a:r>
        </a:p>
      </xdr:txBody>
    </xdr:sp>
    <xdr:clientData fPrintsWithSheet="0"/>
  </xdr:twoCellAnchor>
  <xdr:twoCellAnchor>
    <xdr:from>
      <xdr:col>6</xdr:col>
      <xdr:colOff>752475</xdr:colOff>
      <xdr:row>1</xdr:row>
      <xdr:rowOff>85726</xdr:rowOff>
    </xdr:from>
    <xdr:to>
      <xdr:col>8</xdr:col>
      <xdr:colOff>212979</xdr:colOff>
      <xdr:row>1</xdr:row>
      <xdr:rowOff>314326</xdr:rowOff>
    </xdr:to>
    <xdr:sp macro="" textlink="">
      <xdr:nvSpPr>
        <xdr:cNvPr id="11" name="판매 예측" descr="Click to view Sales Report sheet." title="Sales Report navigation button">
          <a:hlinkClick xmlns:r="http://schemas.openxmlformats.org/officeDocument/2006/relationships" r:id="rId7" tooltip="판매 보고서 시트를 보려면 클릭하세요.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838825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판매 보고서</a:t>
          </a:r>
          <a:endParaRPr lang="en-US" sz="1000">
            <a:solidFill>
              <a:schemeClr val="bg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502-01" refreshedDate="45743.615512268516" createdVersion="5" refreshedVersion="6" minRefreshableVersion="3" recordCount="19" xr:uid="{00000000-000A-0000-FFFF-FFFF06000000}">
  <cacheSource type="worksheet">
    <worksheetSource name="tblData"/>
  </cacheSource>
  <cacheFields count="16">
    <cacheField name="날짜" numFmtId="14">
      <sharedItems containsSemiMixedTypes="0" containsNonDate="0" containsDate="1" containsString="0" minDate="2013-04-23T00:00:00" maxDate="2013-12-12T00:00:00"/>
    </cacheField>
    <cacheField name="회사" numFmtId="0">
      <sharedItems count="6">
        <s v="동광 통상 ㈜"/>
        <s v="한미 교역 (주)"/>
        <s v="대진 상사 (주)"/>
        <s v="베네디스 유통 ㈜"/>
        <s v="정금 상사 (주)"/>
        <s v="미림 백화점 ㈜"/>
      </sharedItems>
    </cacheField>
    <cacheField name="금액" numFmtId="6">
      <sharedItems containsSemiMixedTypes="0" containsString="0" containsNumber="1" containsInteger="1" minValue="4400000" maxValue="9500000"/>
    </cacheField>
    <cacheField name="계획" numFmtId="6">
      <sharedItems containsSemiMixedTypes="0" containsString="0" containsNumber="1" containsInteger="1" minValue="4200000" maxValue="10000000"/>
    </cacheField>
    <cacheField name="비용" numFmtId="6">
      <sharedItems containsSemiMixedTypes="0" containsString="0" containsNumber="1" containsInteger="1" minValue="2600000" maxValue="8500000"/>
    </cacheField>
    <cacheField name="수익" numFmtId="6">
      <sharedItems containsSemiMixedTypes="0" containsString="0" containsNumber="1" containsInteger="1" minValue="900000" maxValue="1950000"/>
    </cacheField>
    <cacheField name="월" numFmtId="177">
      <sharedItems containsSemiMixedTypes="0" containsNonDate="0" containsDate="1" containsString="0" minDate="2013-04-01T00:00:00" maxDate="2013-12-02T00:00:00" count="9"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</cacheField>
    <cacheField name="분기" numFmtId="178">
      <sharedItems containsSemiMixedTypes="0" containsString="0" containsNumber="1" containsInteger="1" minValue="2" maxValue="4" count="3">
        <n v="2"/>
        <n v="3"/>
        <n v="4"/>
      </sharedItems>
    </cacheField>
    <cacheField name="년" numFmtId="0">
      <sharedItems containsSemiMixedTypes="0" containsString="0" containsNumber="1" containsInteger="1" minValue="2013" maxValue="2013" count="1">
        <n v="2013"/>
      </sharedItems>
    </cacheField>
    <cacheField name="MONTH NUM (HIDE)" numFmtId="0">
      <sharedItems containsSemiMixedTypes="0" containsString="0" containsNumber="1" containsInteger="1" minValue="4" maxValue="12"/>
    </cacheField>
    <cacheField name="월 " numFmtId="6">
      <sharedItems containsSemiMixedTypes="0" containsString="0" containsNumber="1" containsInteger="1" minValue="8700000" maxValue="25600000"/>
    </cacheField>
    <cacheField name="분기 " numFmtId="6">
      <sharedItems containsSemiMixedTypes="0" containsString="0" containsNumber="1" containsInteger="1" minValue="43900000" maxValue="50800000"/>
    </cacheField>
    <cacheField name="년 " numFmtId="6">
      <sharedItems containsSemiMixedTypes="0" containsString="0" containsNumber="1" containsInteger="1" minValue="143800000" maxValue="143800000"/>
    </cacheField>
    <cacheField name="월  " numFmtId="6">
      <sharedItems containsSemiMixedTypes="0" containsString="0" containsNumber="1" minValue="10776470.588235293" maxValue="29000000.000000007"/>
    </cacheField>
    <cacheField name="분기  " numFmtId="6">
      <sharedItems containsSemiMixedTypes="0" containsString="0" containsNumber="1" minValue="41288235.294117644" maxValue="50800000"/>
    </cacheField>
    <cacheField name="년  " numFmtId="6">
      <sharedItems containsSemiMixedTypes="0" containsString="0" containsNumber="1" containsInteger="1" minValue="143800000" maxValue="143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d v="2013-04-23T00:00:00"/>
    <x v="0"/>
    <n v="6400000"/>
    <n v="6200000"/>
    <n v="4450000"/>
    <n v="1950000"/>
    <x v="0"/>
    <x v="0"/>
    <x v="0"/>
    <n v="4"/>
    <n v="14600000"/>
    <n v="50800000"/>
    <n v="143800000"/>
    <n v="14600000"/>
    <n v="50800000"/>
    <n v="143800000"/>
  </r>
  <r>
    <d v="2013-04-25T00:00:00"/>
    <x v="1"/>
    <n v="8200000"/>
    <n v="8000000"/>
    <n v="6400000"/>
    <n v="1800000"/>
    <x v="0"/>
    <x v="0"/>
    <x v="0"/>
    <n v="4"/>
    <n v="14600000"/>
    <n v="50800000"/>
    <n v="143800000"/>
    <n v="14600000"/>
    <n v="50800000"/>
    <n v="143800000"/>
  </r>
  <r>
    <d v="2013-05-07T00:00:00"/>
    <x v="2"/>
    <n v="4400000"/>
    <n v="4200000"/>
    <n v="2600000"/>
    <n v="1800000"/>
    <x v="1"/>
    <x v="0"/>
    <x v="0"/>
    <n v="5"/>
    <n v="21800000"/>
    <n v="50800000"/>
    <n v="143800000"/>
    <n v="29000000"/>
    <n v="50800000"/>
    <n v="143800000"/>
  </r>
  <r>
    <d v="2013-05-14T00:00:00"/>
    <x v="3"/>
    <n v="5400000"/>
    <n v="5500000"/>
    <n v="4500000"/>
    <n v="900000"/>
    <x v="1"/>
    <x v="0"/>
    <x v="0"/>
    <n v="5"/>
    <n v="21800000"/>
    <n v="50800000"/>
    <n v="143800000"/>
    <n v="29000000"/>
    <n v="50800000"/>
    <n v="143800000"/>
  </r>
  <r>
    <d v="2013-05-14T00:00:00"/>
    <x v="4"/>
    <n v="5800000"/>
    <n v="6000000"/>
    <n v="4500000"/>
    <n v="1300000"/>
    <x v="1"/>
    <x v="0"/>
    <x v="0"/>
    <n v="5"/>
    <n v="21800000"/>
    <n v="50800000"/>
    <n v="143800000"/>
    <n v="29000000"/>
    <n v="50800000"/>
    <n v="143800000"/>
  </r>
  <r>
    <d v="2013-05-29T00:00:00"/>
    <x v="5"/>
    <n v="6200000"/>
    <n v="6000000"/>
    <n v="4500000"/>
    <n v="1700000"/>
    <x v="1"/>
    <x v="0"/>
    <x v="0"/>
    <n v="5"/>
    <n v="21800000"/>
    <n v="50800000"/>
    <n v="143800000"/>
    <n v="29000000.000000007"/>
    <n v="50800000"/>
    <n v="143800000"/>
  </r>
  <r>
    <d v="2013-06-10T00:00:00"/>
    <x v="0"/>
    <n v="6900000"/>
    <n v="7500000"/>
    <n v="5400000"/>
    <n v="1500000"/>
    <x v="2"/>
    <x v="0"/>
    <x v="0"/>
    <n v="6"/>
    <n v="14400000"/>
    <n v="50800000"/>
    <n v="143800000"/>
    <n v="21600000"/>
    <n v="50800000"/>
    <n v="143800000"/>
  </r>
  <r>
    <d v="2013-06-21T00:00:00"/>
    <x v="1"/>
    <n v="7500000"/>
    <n v="7200000"/>
    <n v="6500000"/>
    <n v="1000000"/>
    <x v="2"/>
    <x v="0"/>
    <x v="0"/>
    <n v="6"/>
    <n v="14400000"/>
    <n v="50800000"/>
    <n v="143800000"/>
    <n v="17950000"/>
    <n v="50800000"/>
    <n v="143800000"/>
  </r>
  <r>
    <d v="2013-07-06T00:00:00"/>
    <x v="2"/>
    <n v="8700000"/>
    <n v="8500000"/>
    <n v="7250000"/>
    <n v="1450000"/>
    <x v="3"/>
    <x v="1"/>
    <x v="0"/>
    <n v="7"/>
    <n v="8700000"/>
    <n v="49100000"/>
    <n v="143800000"/>
    <n v="10776470.588235293"/>
    <n v="47400000"/>
    <n v="143800000"/>
  </r>
  <r>
    <d v="2013-08-05T00:00:00"/>
    <x v="3"/>
    <n v="8500000"/>
    <n v="8300000"/>
    <n v="7100000"/>
    <n v="1400000"/>
    <x v="4"/>
    <x v="1"/>
    <x v="0"/>
    <n v="8"/>
    <n v="16400000"/>
    <n v="49100000"/>
    <n v="143800000"/>
    <n v="12455862.068965519"/>
    <n v="47400000"/>
    <n v="143800000"/>
  </r>
  <r>
    <d v="2013-08-19T00:00:00"/>
    <x v="4"/>
    <n v="7900000"/>
    <n v="7700000"/>
    <n v="6600000"/>
    <n v="1300000"/>
    <x v="4"/>
    <x v="1"/>
    <x v="0"/>
    <n v="8"/>
    <n v="16400000"/>
    <n v="49100000"/>
    <n v="143800000"/>
    <n v="13667567.567567568"/>
    <n v="47400000"/>
    <n v="143800000"/>
  </r>
  <r>
    <d v="2013-09-04T00:00:00"/>
    <x v="5"/>
    <n v="9100000"/>
    <n v="8900000"/>
    <n v="7900000"/>
    <n v="1200000"/>
    <x v="5"/>
    <x v="1"/>
    <x v="0"/>
    <n v="9"/>
    <n v="24000000"/>
    <n v="49100000"/>
    <n v="143800000"/>
    <n v="17651666.666666664"/>
    <n v="47400000"/>
    <n v="143800000"/>
  </r>
  <r>
    <d v="2013-09-20T00:00:00"/>
    <x v="1"/>
    <n v="5600000"/>
    <n v="5800000"/>
    <n v="4500000"/>
    <n v="1100000"/>
    <x v="5"/>
    <x v="1"/>
    <x v="0"/>
    <n v="9"/>
    <n v="24000000"/>
    <n v="49100000"/>
    <n v="143800000"/>
    <n v="19877911.646586344"/>
    <n v="47400000"/>
    <n v="143800000"/>
  </r>
  <r>
    <d v="2013-09-25T00:00:00"/>
    <x v="2"/>
    <n v="9300000"/>
    <n v="9100000"/>
    <n v="7500000"/>
    <n v="1800000"/>
    <x v="5"/>
    <x v="1"/>
    <x v="0"/>
    <n v="9"/>
    <n v="24000000"/>
    <n v="49100000"/>
    <n v="143800000"/>
    <n v="21138050.314465411"/>
    <n v="47400000.000000007"/>
    <n v="143800000"/>
  </r>
  <r>
    <d v="2013-10-15T00:00:00"/>
    <x v="3"/>
    <n v="8800000"/>
    <n v="9350000"/>
    <n v="7100000"/>
    <n v="1700000"/>
    <x v="6"/>
    <x v="2"/>
    <x v="0"/>
    <n v="10"/>
    <n v="8800000"/>
    <n v="43900000"/>
    <n v="143800000"/>
    <n v="17951744.186046511"/>
    <n v="43258139.534883723"/>
    <n v="143800000"/>
  </r>
  <r>
    <d v="2013-11-05T00:00:00"/>
    <x v="4"/>
    <n v="9100000"/>
    <n v="9200000"/>
    <n v="7850000"/>
    <n v="1250000"/>
    <x v="7"/>
    <x v="2"/>
    <x v="0"/>
    <n v="11"/>
    <n v="25600000"/>
    <n v="43900000"/>
    <n v="143800000"/>
    <n v="20556130.108423688"/>
    <n v="42312903.225806452"/>
    <n v="143800000"/>
  </r>
  <r>
    <d v="2013-11-26T00:00:00"/>
    <x v="5"/>
    <n v="9000000"/>
    <n v="10000000"/>
    <n v="7575000"/>
    <n v="1425000"/>
    <x v="7"/>
    <x v="2"/>
    <x v="0"/>
    <n v="11"/>
    <n v="25600000"/>
    <n v="43900000"/>
    <n v="143800000"/>
    <n v="21997139.141742524"/>
    <n v="41811111.111111119"/>
    <n v="143800000"/>
  </r>
  <r>
    <d v="2013-11-30T00:00:00"/>
    <x v="5"/>
    <n v="7500000"/>
    <n v="8000000"/>
    <n v="5850000"/>
    <n v="1650000"/>
    <x v="7"/>
    <x v="2"/>
    <x v="0"/>
    <n v="11"/>
    <n v="25600000"/>
    <n v="43900000"/>
    <n v="143800000"/>
    <n v="22917634.523175277"/>
    <n v="41500000"/>
    <n v="143800000"/>
  </r>
  <r>
    <d v="2013-12-11T00:00:00"/>
    <x v="1"/>
    <n v="9500000"/>
    <n v="9200000"/>
    <n v="8500000"/>
    <n v="1000000"/>
    <x v="8"/>
    <x v="2"/>
    <x v="0"/>
    <n v="12"/>
    <n v="9500000"/>
    <n v="43900000"/>
    <n v="143800000"/>
    <n v="20504314.720812183"/>
    <n v="41288235.294117644"/>
    <n v="1438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tSalesData" cacheId="1" applyNumberFormats="0" applyBorderFormats="0" applyFontFormats="0" applyPatternFormats="0" applyAlignmentFormats="0" applyWidthHeightFormats="1" dataCaption="Values" updatedVersion="6" minRefreshableVersion="3" showDrill="0" fieldPrintTitles="1" itemPrintTitles="1" createdVersion="4" indent="0" compact="0" compactData="0" multipleFieldFilters="0">
  <location ref="B5:F28" firstHeaderRow="1" firstDataRow="1" firstDataCol="4"/>
  <pivotFields count="16">
    <pivotField compact="0" numFmtId="14" outline="0" showAll="0" defaultSubtotal="0"/>
    <pivotField axis="axisRow" compact="0" outline="0" showAll="0" defaultSubtotal="0">
      <items count="6">
        <item x="2"/>
        <item x="0"/>
        <item x="5"/>
        <item x="3"/>
        <item x="4"/>
        <item x="1"/>
      </items>
    </pivotField>
    <pivotField dataField="1" compact="0" numFmtId="6" outline="0" showAll="0" defaultSubtotal="0"/>
    <pivotField compact="0" numFmtId="6" outline="0" showAll="0" defaultSubtotal="0"/>
    <pivotField compact="0" numFmtId="6" outline="0" showAll="0" defaultSubtotal="0"/>
    <pivotField compact="0" numFmtId="6" outline="0" showAll="0" defaultSubtotal="0"/>
    <pivotField axis="axisRow" compact="0" numFmtId="177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numFmtId="178" outline="0" showAll="0">
      <items count="4">
        <item x="0"/>
        <item x="1"/>
        <item x="2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 defaultSubtotal="0"/>
    <pivotField compact="0" numFmtId="6" outline="0" showAll="0" defaultSubtotal="0"/>
    <pivotField compact="0" numFmtId="6" outline="0" showAll="0" defaultSubtotal="0"/>
    <pivotField compact="0" numFmtId="6" outline="0" showAll="0" defaultSubtotal="0"/>
    <pivotField compact="0" numFmtId="6" outline="0" showAll="0" defaultSubtotal="0"/>
    <pivotField compact="0" numFmtId="6" outline="0" showAll="0" defaultSubtotal="0"/>
    <pivotField compact="0" numFmtId="6" outline="0" showAll="0" defaultSubtotal="0"/>
  </pivotFields>
  <rowFields count="4">
    <field x="8"/>
    <field x="7"/>
    <field x="6"/>
    <field x="1"/>
  </rowFields>
  <rowItems count="23">
    <i>
      <x/>
      <x/>
      <x/>
      <x v="1"/>
    </i>
    <i r="3">
      <x v="5"/>
    </i>
    <i r="2">
      <x v="1"/>
      <x/>
    </i>
    <i r="3">
      <x v="2"/>
    </i>
    <i r="3">
      <x v="3"/>
    </i>
    <i r="3">
      <x v="4"/>
    </i>
    <i r="2">
      <x v="2"/>
      <x v="1"/>
    </i>
    <i r="3">
      <x v="5"/>
    </i>
    <i t="default" r="1">
      <x/>
    </i>
    <i r="1">
      <x v="1"/>
      <x v="3"/>
      <x/>
    </i>
    <i r="2">
      <x v="4"/>
      <x v="3"/>
    </i>
    <i r="3">
      <x v="4"/>
    </i>
    <i r="2">
      <x v="5"/>
      <x/>
    </i>
    <i r="3">
      <x v="2"/>
    </i>
    <i r="3">
      <x v="5"/>
    </i>
    <i t="default" r="1">
      <x v="1"/>
    </i>
    <i r="1">
      <x v="2"/>
      <x v="6"/>
      <x v="3"/>
    </i>
    <i r="2">
      <x v="7"/>
      <x v="2"/>
    </i>
    <i r="3">
      <x v="4"/>
    </i>
    <i r="2">
      <x v="8"/>
      <x v="5"/>
    </i>
    <i t="default" r="1">
      <x v="2"/>
    </i>
    <i t="default">
      <x/>
    </i>
    <i t="grand">
      <x/>
    </i>
  </rowItems>
  <colItems count="1">
    <i/>
  </colItems>
  <dataFields count="1">
    <dataField name="합계 : 금액" fld="2" baseField="0" baseItem="0" numFmtId="6"/>
  </dataFields>
  <formats count="27">
    <format dxfId="29">
      <pivotArea dataOnly="0" labelOnly="1" outline="0" axis="axisValues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dataOnly="0" outline="0" fieldPosition="0">
        <references count="1">
          <reference field="8" count="0" defaultSubtotal="1"/>
        </references>
      </pivotArea>
    </format>
    <format dxfId="23">
      <pivotArea dataOnly="0" labelOnly="1" outline="0" fieldPosition="0">
        <references count="1">
          <reference field="8" count="0"/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dataOnly="0" labelOnly="1" outline="0" fieldPosition="0">
        <references count="1">
          <reference field="8" count="0"/>
        </references>
      </pivotArea>
    </format>
    <format dxfId="18">
      <pivotArea dataOnly="0" labelOnly="1" outline="0" fieldPosition="0">
        <references count="1">
          <reference field="8" count="0" defaultSubtotal="1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2">
          <reference field="7" count="0"/>
          <reference field="8" count="0" selected="0"/>
        </references>
      </pivotArea>
    </format>
    <format dxfId="15">
      <pivotArea dataOnly="0" labelOnly="1" outline="0" fieldPosition="0">
        <references count="2">
          <reference field="7" count="0" defaultSubtotal="1"/>
          <reference field="8" count="0" selected="0"/>
        </references>
      </pivotArea>
    </format>
    <format dxfId="14">
      <pivotArea dataOnly="0" labelOnly="1" outline="0" fieldPosition="0">
        <references count="3">
          <reference field="6" count="3">
            <x v="0"/>
            <x v="1"/>
            <x v="2"/>
          </reference>
          <reference field="7" count="1" selected="0">
            <x v="0"/>
          </reference>
          <reference field="8" count="0" selected="0"/>
        </references>
      </pivotArea>
    </format>
    <format dxfId="13">
      <pivotArea dataOnly="0" labelOnly="1" outline="0" fieldPosition="0">
        <references count="3">
          <reference field="6" count="3">
            <x v="3"/>
            <x v="4"/>
            <x v="5"/>
          </reference>
          <reference field="7" count="1" selected="0">
            <x v="1"/>
          </reference>
          <reference field="8" count="0" selected="0"/>
        </references>
      </pivotArea>
    </format>
    <format dxfId="12">
      <pivotArea dataOnly="0" labelOnly="1" outline="0" fieldPosition="0">
        <references count="3">
          <reference field="6" count="3">
            <x v="6"/>
            <x v="7"/>
            <x v="8"/>
          </reference>
          <reference field="7" count="1" selected="0">
            <x v="2"/>
          </reference>
          <reference field="8" count="0" selected="0"/>
        </references>
      </pivotArea>
    </format>
    <format dxfId="11">
      <pivotArea dataOnly="0" labelOnly="1" outline="0" fieldPosition="0">
        <references count="4">
          <reference field="1" count="2">
            <x v="1"/>
            <x v="5"/>
          </reference>
          <reference field="6" count="1" selected="0">
            <x v="0"/>
          </reference>
          <reference field="7" count="1" selected="0">
            <x v="0"/>
          </reference>
          <reference field="8" count="0" selected="0"/>
        </references>
      </pivotArea>
    </format>
    <format dxfId="10">
      <pivotArea dataOnly="0" labelOnly="1" outline="0" fieldPosition="0">
        <references count="4">
          <reference field="1" count="4">
            <x v="0"/>
            <x v="2"/>
            <x v="3"/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0" selected="0"/>
        </references>
      </pivotArea>
    </format>
    <format dxfId="9">
      <pivotArea dataOnly="0" labelOnly="1" outline="0" fieldPosition="0">
        <references count="4">
          <reference field="1" count="2">
            <x v="1"/>
            <x v="5"/>
          </reference>
          <reference field="6" count="1" selected="0">
            <x v="2"/>
          </reference>
          <reference field="7" count="1" selected="0">
            <x v="0"/>
          </reference>
          <reference field="8" count="0" selected="0"/>
        </references>
      </pivotArea>
    </format>
    <format dxfId="8">
      <pivotArea dataOnly="0" labelOnly="1" outline="0" fieldPosition="0">
        <references count="4">
          <reference field="1" count="1">
            <x v="0"/>
          </reference>
          <reference field="6" count="1" selected="0">
            <x v="3"/>
          </reference>
          <reference field="7" count="1" selected="0">
            <x v="1"/>
          </reference>
          <reference field="8" count="0" selected="0"/>
        </references>
      </pivotArea>
    </format>
    <format dxfId="7">
      <pivotArea dataOnly="0" labelOnly="1" outline="0" fieldPosition="0">
        <references count="4">
          <reference field="1" count="2">
            <x v="3"/>
            <x v="4"/>
          </reference>
          <reference field="6" count="1" selected="0">
            <x v="4"/>
          </reference>
          <reference field="7" count="1" selected="0">
            <x v="1"/>
          </reference>
          <reference field="8" count="0" selected="0"/>
        </references>
      </pivotArea>
    </format>
    <format dxfId="6">
      <pivotArea dataOnly="0" labelOnly="1" outline="0" fieldPosition="0">
        <references count="4">
          <reference field="1" count="3">
            <x v="0"/>
            <x v="2"/>
            <x v="5"/>
          </reference>
          <reference field="6" count="1" selected="0">
            <x v="5"/>
          </reference>
          <reference field="7" count="1" selected="0">
            <x v="1"/>
          </reference>
          <reference field="8" count="0" selected="0"/>
        </references>
      </pivotArea>
    </format>
    <format dxfId="5">
      <pivotArea dataOnly="0" labelOnly="1" outline="0" fieldPosition="0">
        <references count="4">
          <reference field="1" count="1">
            <x v="3"/>
          </reference>
          <reference field="6" count="1" selected="0">
            <x v="6"/>
          </reference>
          <reference field="7" count="1" selected="0">
            <x v="2"/>
          </reference>
          <reference field="8" count="0" selected="0"/>
        </references>
      </pivotArea>
    </format>
    <format dxfId="4">
      <pivotArea dataOnly="0" labelOnly="1" outline="0" fieldPosition="0">
        <references count="4">
          <reference field="1" count="2">
            <x v="2"/>
            <x v="4"/>
          </reference>
          <reference field="6" count="1" selected="0">
            <x v="7"/>
          </reference>
          <reference field="7" count="1" selected="0">
            <x v="2"/>
          </reference>
          <reference field="8" count="0" selected="0"/>
        </references>
      </pivotArea>
    </format>
    <format dxfId="3">
      <pivotArea dataOnly="0" labelOnly="1" outline="0" fieldPosition="0">
        <references count="4">
          <reference field="1" count="1">
            <x v="5"/>
          </reference>
          <reference field="6" count="1" selected="0">
            <x v="8"/>
          </reference>
          <reference field="7" count="1" selected="0">
            <x v="2"/>
          </reference>
          <reference field="8" count="0" selected="0"/>
        </references>
      </pivotArea>
    </format>
  </formats>
  <pivotTableStyleInfo name="Monthly Sales Report PivotTable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Monthly Sales Report PivotTable" altTextSummary="A PivotTable showing the monthly sales, grouped by Year, Quarter, Month, and Company along with the Total Sales for each group.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Data" displayName="tblData" ref="B5:Q24" totalsRowShown="0" headerRowDxfId="51" dataDxfId="50">
  <autoFilter ref="B5:Q24" xr:uid="{00000000-0009-0000-0100-000001000000}"/>
  <tableColumns count="16">
    <tableColumn id="1" xr3:uid="{00000000-0010-0000-0000-000001000000}" name="날짜" dataDxfId="49"/>
    <tableColumn id="2" xr3:uid="{00000000-0010-0000-0000-000002000000}" name="회사" dataDxfId="48"/>
    <tableColumn id="3" xr3:uid="{00000000-0010-0000-0000-000003000000}" name="금액" dataDxfId="47"/>
    <tableColumn id="4" xr3:uid="{00000000-0010-0000-0000-000004000000}" name="계획" dataDxfId="46"/>
    <tableColumn id="5" xr3:uid="{00000000-0010-0000-0000-000005000000}" name="비용" dataDxfId="45"/>
    <tableColumn id="16" xr3:uid="{00000000-0010-0000-0000-000010000000}" name="수익" dataDxfId="44">
      <calculatedColumnFormula>tblData[[#This Row],[금액]]-tblData[[#This Row],[비용]]</calculatedColumnFormula>
    </tableColumn>
    <tableColumn id="6" xr3:uid="{00000000-0010-0000-0000-000006000000}" name="월" dataDxfId="43">
      <calculatedColumnFormula>DATE(YEAR('데이터 입력'!$B6),MONTH('데이터 입력'!$B6),1)</calculatedColumnFormula>
    </tableColumn>
    <tableColumn id="7" xr3:uid="{00000000-0010-0000-0000-000007000000}" name="분기" dataDxfId="42">
      <calculatedColumnFormula>LOOKUP(MONTH('데이터 입력'!$H6),{1,1;2,1;3,1;4,2;5,2;6,2;7,3;8,3;9,3;10,4;11,4;12,4})</calculatedColumnFormula>
    </tableColumn>
    <tableColumn id="8" xr3:uid="{00000000-0010-0000-0000-000008000000}" name="년" dataDxfId="41">
      <calculatedColumnFormula>YEAR('데이터 입력'!$B6)</calculatedColumnFormula>
    </tableColumn>
    <tableColumn id="12" xr3:uid="{00000000-0010-0000-0000-00000C000000}" name="MONTH NUM (HIDE)" dataDxfId="40">
      <calculatedColumnFormula>MONTH(tblData[[#This Row],[날짜]])</calculatedColumnFormula>
    </tableColumn>
    <tableColumn id="9" xr3:uid="{00000000-0010-0000-0000-000009000000}" name="월 " dataDxfId="39">
      <calculatedColumnFormula>SUMIFS(tblData[금액],tblData[날짜],"&gt;="&amp;EOMONTH(tblData[[#This Row],[날짜]],-1)+1,tblData[날짜],"&lt;="&amp;EOMONTH(tblData[[#This Row],[날짜]],0))</calculatedColumnFormula>
    </tableColumn>
    <tableColumn id="10" xr3:uid="{00000000-0010-0000-0000-00000A000000}" name="분기 " dataDxfId="38">
      <calculatedColumnFormula>SUMIFS(tblData[금액],tblData[날짜],"&gt;="&amp;DATE(YEAR(tblData[[#This Row],[날짜]]),1,1),tblData[날짜],"&lt;="&amp;DATE(YEAR(tblData[[#This Row],[날짜]]),12,31),tblData[분기],tblData[[#This Row],[분기]])</calculatedColumnFormula>
    </tableColumn>
    <tableColumn id="11" xr3:uid="{00000000-0010-0000-0000-00000B000000}" name="년 " dataDxfId="37">
      <calculatedColumnFormula>SUMIFS(tblData[금액],tblData[날짜],"&gt;="&amp;DATE(YEAR(tblData[[#This Row],[날짜]]),1,1),tblData[날짜],"&lt;="&amp;DATE(YEAR(tblData[[#This Row],[날짜]]),12,31))</calculatedColumnFormula>
    </tableColumn>
    <tableColumn id="13" xr3:uid="{00000000-0010-0000-0000-00000D000000}" name="월  " dataDxfId="36">
      <calculatedColumnFormula>IFERROR(TREND($L$6:INDEX($L:$L,ROW(),1),$K$6:INDEX($K:$K,ROW(),1),IF(MONTH(tblData[[#This Row],[날짜]])=12,13,MONTH(tblData[[#This Row],[날짜]])+1)),"")</calculatedColumnFormula>
    </tableColumn>
    <tableColumn id="14" xr3:uid="{00000000-0010-0000-0000-00000E000000}" name="분기  " dataDxfId="35">
      <calculatedColumnFormula>IFERROR(TREND($M$6:INDEX($M:$M,ROW(),1),$I$6:INDEX($I:$I,ROW(),1),IF(tblData[[#This Row],[분기]]=4,5,tblData[[#This Row],[분기]]+1)),"")</calculatedColumnFormula>
    </tableColumn>
    <tableColumn id="15" xr3:uid="{00000000-0010-0000-0000-00000F000000}" name="년  " dataDxfId="34">
      <calculatedColumnFormula>IFERROR(TREND($N$6:INDEX($N:$N,ROW(),1),$J$6:INDEX($J:$J,ROW(),1),tblData[[#This Row],[년]]+1),"")</calculatedColumnFormula>
    </tableColumn>
  </tableColumns>
  <tableStyleInfo name="Monthly Sales Report Table Style" showFirstColumn="0" showLastColumn="0" showRowStripes="0" showColumnStripes="0"/>
  <extLst>
    <ext xmlns:x14="http://schemas.microsoft.com/office/spreadsheetml/2009/9/main" uri="{504A1905-F514-4f6f-8877-14C23A59335A}">
      <x14:table altText="월간 데이터 입력 표" altTextSummary="이 표에 날짜, 회사, 총액, 계획, 비용, 수익, 월, 분기, 연도 등의 월간 데이터를 입력하세요. 현재 및 예상 데이터가 계산됩니다."/>
    </ext>
  </extLst>
</table>
</file>

<file path=xl/theme/theme1.xml><?xml version="1.0" encoding="utf-8"?>
<a:theme xmlns:a="http://schemas.openxmlformats.org/drawingml/2006/main" name="Office Theme">
  <a:themeElements>
    <a:clrScheme name="Monthly Sales Report">
      <a:dk1>
        <a:srgbClr val="000000"/>
      </a:dk1>
      <a:lt1>
        <a:srgbClr val="FFFFFF"/>
      </a:lt1>
      <a:dk2>
        <a:srgbClr val="4E4F4B"/>
      </a:dk2>
      <a:lt2>
        <a:srgbClr val="EAEBEA"/>
      </a:lt2>
      <a:accent1>
        <a:srgbClr val="83BA96"/>
      </a:accent1>
      <a:accent2>
        <a:srgbClr val="D18A4E"/>
      </a:accent2>
      <a:accent3>
        <a:srgbClr val="977974"/>
      </a:accent3>
      <a:accent4>
        <a:srgbClr val="CFA94E"/>
      </a:accent4>
      <a:accent5>
        <a:srgbClr val="7596A9"/>
      </a:accent5>
      <a:accent6>
        <a:srgbClr val="A46675"/>
      </a:accent6>
      <a:hlink>
        <a:srgbClr val="7596A9"/>
      </a:hlink>
      <a:folHlink>
        <a:srgbClr val="A46675"/>
      </a:folHlink>
    </a:clrScheme>
    <a:fontScheme name="Monthly Sales Repor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Q24"/>
  <sheetViews>
    <sheetView showGridLines="0" tabSelected="1" zoomScaleNormal="100" workbookViewId="0">
      <selection activeCell="S9" sqref="S9"/>
    </sheetView>
  </sheetViews>
  <sheetFormatPr defaultRowHeight="17.25" customHeight="1" x14ac:dyDescent="0.2"/>
  <cols>
    <col min="1" max="1" width="2" style="10" customWidth="1"/>
    <col min="2" max="2" width="12.1640625" style="10" customWidth="1"/>
    <col min="3" max="3" width="27.1640625" style="10" customWidth="1"/>
    <col min="4" max="4" width="15.6640625" style="10" customWidth="1"/>
    <col min="5" max="5" width="16.6640625" style="10" customWidth="1"/>
    <col min="6" max="6" width="12.83203125" style="10" customWidth="1"/>
    <col min="7" max="7" width="16.83203125" style="10" customWidth="1"/>
    <col min="8" max="8" width="14.33203125" style="10" customWidth="1"/>
    <col min="9" max="9" width="17.5" style="10" customWidth="1"/>
    <col min="10" max="10" width="12.83203125" style="10" customWidth="1"/>
    <col min="11" max="11" width="12.83203125" style="10" hidden="1" customWidth="1"/>
    <col min="12" max="12" width="13.83203125" style="10" customWidth="1"/>
    <col min="13" max="13" width="16.33203125" style="10" customWidth="1"/>
    <col min="14" max="14" width="13.83203125" style="10" customWidth="1"/>
    <col min="15" max="15" width="14" style="10" customWidth="1"/>
    <col min="16" max="16" width="16.6640625" style="10" customWidth="1"/>
    <col min="17" max="17" width="12.6640625" style="10" customWidth="1"/>
    <col min="18" max="16384" width="9.33203125" style="10"/>
  </cols>
  <sheetData>
    <row r="1" spans="2:17" s="1" customFormat="1" ht="11.25" customHeight="1" x14ac:dyDescent="0.2">
      <c r="J1" s="1">
        <f>365*2</f>
        <v>730</v>
      </c>
    </row>
    <row r="2" spans="2:17" s="1" customFormat="1" ht="33.75" customHeight="1" x14ac:dyDescent="0.2">
      <c r="B2" s="2" t="s">
        <v>4</v>
      </c>
    </row>
    <row r="3" spans="2:17" s="1" customFormat="1" ht="17.25" customHeight="1" x14ac:dyDescent="0.2">
      <c r="L3" s="3" t="s">
        <v>20</v>
      </c>
      <c r="M3" s="4"/>
      <c r="N3" s="4"/>
      <c r="O3" s="3" t="s">
        <v>21</v>
      </c>
      <c r="P3" s="4"/>
      <c r="Q3" s="4"/>
    </row>
    <row r="4" spans="2:17" s="1" customFormat="1" ht="11.25" customHeight="1" x14ac:dyDescent="0.2">
      <c r="L4" s="5"/>
      <c r="M4" s="6"/>
      <c r="N4" s="7"/>
      <c r="O4" s="5"/>
      <c r="P4" s="6"/>
      <c r="Q4" s="7"/>
    </row>
    <row r="5" spans="2:17" ht="17.25" customHeight="1" x14ac:dyDescent="0.2">
      <c r="B5" s="8" t="s">
        <v>5</v>
      </c>
      <c r="C5" s="8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  <c r="Q5" s="9" t="s">
        <v>19</v>
      </c>
    </row>
    <row r="6" spans="2:17" ht="17.25" customHeight="1" x14ac:dyDescent="0.2">
      <c r="B6" s="11">
        <f>40657+(365*2)</f>
        <v>41387</v>
      </c>
      <c r="C6" s="12" t="s">
        <v>22</v>
      </c>
      <c r="D6" s="15">
        <v>6400000</v>
      </c>
      <c r="E6" s="15">
        <v>6200000</v>
      </c>
      <c r="F6" s="15">
        <v>4450000</v>
      </c>
      <c r="G6" s="16">
        <f>tblData[[#This Row],[금액]]-tblData[[#This Row],[비용]]</f>
        <v>1950000</v>
      </c>
      <c r="H6" s="19">
        <f>DATE(YEAR('데이터 입력'!$B6),MONTH('데이터 입력'!$B6),1)</f>
        <v>41365</v>
      </c>
      <c r="I6" s="58">
        <f>LOOKUP(MONTH('데이터 입력'!$H6),{1,1;2,1;3,1;4,2;5,2;6,2;7,3;8,3;9,3;10,4;11,4;12,4})</f>
        <v>2</v>
      </c>
      <c r="J6" s="13">
        <f>YEAR('데이터 입력'!$B6)</f>
        <v>2013</v>
      </c>
      <c r="K6" s="14">
        <f>MONTH(tblData[[#This Row],[날짜]])</f>
        <v>4</v>
      </c>
      <c r="L6" s="17">
        <f>SUMIFS(tblData[금액],tblData[날짜],"&gt;="&amp;EOMONTH(tblData[[#This Row],[날짜]],-1)+1,tblData[날짜],"&lt;="&amp;EOMONTH(tblData[[#This Row],[날짜]],0))</f>
        <v>14600000</v>
      </c>
      <c r="M6" s="17">
        <f>SUMIFS(tblData[금액],tblData[날짜],"&gt;="&amp;DATE(YEAR(tblData[[#This Row],[날짜]]),1,1),tblData[날짜],"&lt;="&amp;DATE(YEAR(tblData[[#This Row],[날짜]]),12,31),tblData[분기],tblData[[#This Row],[분기]])</f>
        <v>50800000</v>
      </c>
      <c r="N6" s="17">
        <f>SUMIFS(tblData[금액],tblData[날짜],"&gt;="&amp;DATE(YEAR(tblData[[#This Row],[날짜]]),1,1),tblData[날짜],"&lt;="&amp;DATE(YEAR(tblData[[#This Row],[날짜]]),12,31))</f>
        <v>143800000</v>
      </c>
      <c r="O6" s="18">
        <f>IFERROR(TREND($L$6:INDEX($L:$L,ROW(),1),$K$6:INDEX($K:$K,ROW(),1),IF(MONTH(tblData[[#This Row],[날짜]])=12,13,MONTH(tblData[[#This Row],[날짜]])+1)),"")</f>
        <v>14600000</v>
      </c>
      <c r="P6" s="18">
        <f>IFERROR(TREND($M$6:INDEX($M:$M,ROW(),1),$I$6:INDEX($I:$I,ROW(),1),IF(tblData[[#This Row],[분기]]=4,5,tblData[[#This Row],[분기]]+1)),"")</f>
        <v>50800000</v>
      </c>
      <c r="Q6" s="18">
        <f>IFERROR(TREND($N$6:INDEX($N:$N,ROW(),1),$J$6:INDEX($J:$J,ROW(),1),tblData[[#This Row],[년]]+1),"")</f>
        <v>143800000</v>
      </c>
    </row>
    <row r="7" spans="2:17" ht="17.25" customHeight="1" x14ac:dyDescent="0.2">
      <c r="B7" s="11">
        <f>40659+(365*2)</f>
        <v>41389</v>
      </c>
      <c r="C7" s="12" t="s">
        <v>23</v>
      </c>
      <c r="D7" s="15">
        <v>8200000</v>
      </c>
      <c r="E7" s="15">
        <v>8000000</v>
      </c>
      <c r="F7" s="15">
        <v>6400000</v>
      </c>
      <c r="G7" s="16">
        <f>tblData[[#This Row],[금액]]-tblData[[#This Row],[비용]]</f>
        <v>1800000</v>
      </c>
      <c r="H7" s="19">
        <f>DATE(YEAR('데이터 입력'!$B7),MONTH('데이터 입력'!$B7),1)</f>
        <v>41365</v>
      </c>
      <c r="I7" s="58">
        <f>LOOKUP(MONTH('데이터 입력'!$H7),{1,1;2,1;3,1;4,2;5,2;6,2;7,3;8,3;9,3;10,4;11,4;12,4})</f>
        <v>2</v>
      </c>
      <c r="J7" s="13">
        <f>YEAR('데이터 입력'!$B7)</f>
        <v>2013</v>
      </c>
      <c r="K7" s="14">
        <f>MONTH(tblData[[#This Row],[날짜]])</f>
        <v>4</v>
      </c>
      <c r="L7" s="17">
        <f>SUMIFS(tblData[금액],tblData[날짜],"&gt;="&amp;EOMONTH(tblData[[#This Row],[날짜]],-1)+1,tblData[날짜],"&lt;="&amp;EOMONTH(tblData[[#This Row],[날짜]],0))</f>
        <v>14600000</v>
      </c>
      <c r="M7" s="17">
        <f>SUMIFS(tblData[금액],tblData[날짜],"&gt;="&amp;DATE(YEAR(tblData[[#This Row],[날짜]]),1,1),tblData[날짜],"&lt;="&amp;DATE(YEAR(tblData[[#This Row],[날짜]]),12,31),tblData[분기],tblData[[#This Row],[분기]])</f>
        <v>50800000</v>
      </c>
      <c r="N7" s="17">
        <f>SUMIFS(tblData[금액],tblData[날짜],"&gt;="&amp;DATE(YEAR(tblData[[#This Row],[날짜]]),1,1),tblData[날짜],"&lt;="&amp;DATE(YEAR(tblData[[#This Row],[날짜]]),12,31))</f>
        <v>143800000</v>
      </c>
      <c r="O7" s="18">
        <f>IFERROR(TREND($L$6:INDEX($L:$L,ROW(),1),$K$6:INDEX($K:$K,ROW(),1),IF(MONTH(tblData[[#This Row],[날짜]])=12,13,MONTH(tblData[[#This Row],[날짜]])+1)),"")</f>
        <v>14600000</v>
      </c>
      <c r="P7" s="18">
        <f>IFERROR(TREND($M$6:INDEX($M:$M,ROW(),1),$I$6:INDEX($I:$I,ROW(),1),IF(tblData[[#This Row],[분기]]=4,5,tblData[[#This Row],[분기]]+1)),"")</f>
        <v>50800000</v>
      </c>
      <c r="Q7" s="18">
        <f>IFERROR(TREND($N$6:INDEX($N:$N,ROW(),1),$J$6:INDEX($J:$J,ROW(),1),tblData[[#This Row],[년]]+1),"")</f>
        <v>143800000</v>
      </c>
    </row>
    <row r="8" spans="2:17" ht="17.25" customHeight="1" x14ac:dyDescent="0.2">
      <c r="B8" s="11">
        <f>40671+(365*2)</f>
        <v>41401</v>
      </c>
      <c r="C8" s="12" t="s">
        <v>24</v>
      </c>
      <c r="D8" s="15">
        <v>4400000</v>
      </c>
      <c r="E8" s="15">
        <v>4200000</v>
      </c>
      <c r="F8" s="15">
        <v>2600000</v>
      </c>
      <c r="G8" s="16">
        <f>tblData[[#This Row],[금액]]-tblData[[#This Row],[비용]]</f>
        <v>1800000</v>
      </c>
      <c r="H8" s="19">
        <f>DATE(YEAR('데이터 입력'!$B8),MONTH('데이터 입력'!$B8),1)</f>
        <v>41395</v>
      </c>
      <c r="I8" s="58">
        <f>LOOKUP(MONTH('데이터 입력'!$H8),{1,1;2,1;3,1;4,2;5,2;6,2;7,3;8,3;9,3;10,4;11,4;12,4})</f>
        <v>2</v>
      </c>
      <c r="J8" s="13">
        <f>YEAR('데이터 입력'!$B8)</f>
        <v>2013</v>
      </c>
      <c r="K8" s="14">
        <f>MONTH(tblData[[#This Row],[날짜]])</f>
        <v>5</v>
      </c>
      <c r="L8" s="17">
        <f>SUMIFS(tblData[금액],tblData[날짜],"&gt;="&amp;EOMONTH(tblData[[#This Row],[날짜]],-1)+1,tblData[날짜],"&lt;="&amp;EOMONTH(tblData[[#This Row],[날짜]],0))</f>
        <v>21800000</v>
      </c>
      <c r="M8" s="17">
        <f>SUMIFS(tblData[금액],tblData[날짜],"&gt;="&amp;DATE(YEAR(tblData[[#This Row],[날짜]]),1,1),tblData[날짜],"&lt;="&amp;DATE(YEAR(tblData[[#This Row],[날짜]]),12,31),tblData[분기],tblData[[#This Row],[분기]])</f>
        <v>50800000</v>
      </c>
      <c r="N8" s="17">
        <f>SUMIFS(tblData[금액],tblData[날짜],"&gt;="&amp;DATE(YEAR(tblData[[#This Row],[날짜]]),1,1),tblData[날짜],"&lt;="&amp;DATE(YEAR(tblData[[#This Row],[날짜]]),12,31))</f>
        <v>143800000</v>
      </c>
      <c r="O8" s="18">
        <f>IFERROR(TREND($L$6:INDEX($L:$L,ROW(),1),$K$6:INDEX($K:$K,ROW(),1),IF(MONTH(tblData[[#This Row],[날짜]])=12,13,MONTH(tblData[[#This Row],[날짜]])+1)),"")</f>
        <v>29000000</v>
      </c>
      <c r="P8" s="18">
        <f>IFERROR(TREND($M$6:INDEX($M:$M,ROW(),1),$I$6:INDEX($I:$I,ROW(),1),IF(tblData[[#This Row],[분기]]=4,5,tblData[[#This Row],[분기]]+1)),"")</f>
        <v>50800000</v>
      </c>
      <c r="Q8" s="18">
        <f>IFERROR(TREND($N$6:INDEX($N:$N,ROW(),1),$J$6:INDEX($J:$J,ROW(),1),tblData[[#This Row],[년]]+1),"")</f>
        <v>143800000</v>
      </c>
    </row>
    <row r="9" spans="2:17" ht="17.25" customHeight="1" x14ac:dyDescent="0.2">
      <c r="B9" s="11">
        <f>40678+(365*2)</f>
        <v>41408</v>
      </c>
      <c r="C9" s="12" t="s">
        <v>25</v>
      </c>
      <c r="D9" s="15">
        <v>5400000</v>
      </c>
      <c r="E9" s="15">
        <v>5500000</v>
      </c>
      <c r="F9" s="15">
        <v>4500000</v>
      </c>
      <c r="G9" s="16">
        <f>tblData[[#This Row],[금액]]-tblData[[#This Row],[비용]]</f>
        <v>900000</v>
      </c>
      <c r="H9" s="19">
        <f>DATE(YEAR('데이터 입력'!$B9),MONTH('데이터 입력'!$B9),1)</f>
        <v>41395</v>
      </c>
      <c r="I9" s="58">
        <f>LOOKUP(MONTH('데이터 입력'!$H9),{1,1;2,1;3,1;4,2;5,2;6,2;7,3;8,3;9,3;10,4;11,4;12,4})</f>
        <v>2</v>
      </c>
      <c r="J9" s="13">
        <f>YEAR('데이터 입력'!$B9)</f>
        <v>2013</v>
      </c>
      <c r="K9" s="14">
        <f>MONTH(tblData[[#This Row],[날짜]])</f>
        <v>5</v>
      </c>
      <c r="L9" s="17">
        <f>SUMIFS(tblData[금액],tblData[날짜],"&gt;="&amp;EOMONTH(tblData[[#This Row],[날짜]],-1)+1,tblData[날짜],"&lt;="&amp;EOMONTH(tblData[[#This Row],[날짜]],0))</f>
        <v>21800000</v>
      </c>
      <c r="M9" s="17">
        <f>SUMIFS(tblData[금액],tblData[날짜],"&gt;="&amp;DATE(YEAR(tblData[[#This Row],[날짜]]),1,1),tblData[날짜],"&lt;="&amp;DATE(YEAR(tblData[[#This Row],[날짜]]),12,31),tblData[분기],tblData[[#This Row],[분기]])</f>
        <v>50800000</v>
      </c>
      <c r="N9" s="17">
        <f>SUMIFS(tblData[금액],tblData[날짜],"&gt;="&amp;DATE(YEAR(tblData[[#This Row],[날짜]]),1,1),tblData[날짜],"&lt;="&amp;DATE(YEAR(tblData[[#This Row],[날짜]]),12,31))</f>
        <v>143800000</v>
      </c>
      <c r="O9" s="18">
        <f>IFERROR(TREND($L$6:INDEX($L:$L,ROW(),1),$K$6:INDEX($K:$K,ROW(),1),IF(MONTH(tblData[[#This Row],[날짜]])=12,13,MONTH(tblData[[#This Row],[날짜]])+1)),"")</f>
        <v>29000000</v>
      </c>
      <c r="P9" s="18">
        <f>IFERROR(TREND($M$6:INDEX($M:$M,ROW(),1),$I$6:INDEX($I:$I,ROW(),1),IF(tblData[[#This Row],[분기]]=4,5,tblData[[#This Row],[분기]]+1)),"")</f>
        <v>50800000</v>
      </c>
      <c r="Q9" s="18">
        <f>IFERROR(TREND($N$6:INDEX($N:$N,ROW(),1),$J$6:INDEX($J:$J,ROW(),1),tblData[[#This Row],[년]]+1),"")</f>
        <v>143800000</v>
      </c>
    </row>
    <row r="10" spans="2:17" ht="17.25" customHeight="1" x14ac:dyDescent="0.2">
      <c r="B10" s="11">
        <f>40678+(365*2)</f>
        <v>41408</v>
      </c>
      <c r="C10" s="12" t="s">
        <v>26</v>
      </c>
      <c r="D10" s="15">
        <v>5800000</v>
      </c>
      <c r="E10" s="15">
        <v>6000000</v>
      </c>
      <c r="F10" s="15">
        <v>4500000</v>
      </c>
      <c r="G10" s="16">
        <f>tblData[[#This Row],[금액]]-tblData[[#This Row],[비용]]</f>
        <v>1300000</v>
      </c>
      <c r="H10" s="19">
        <f>DATE(YEAR('데이터 입력'!$B10),MONTH('데이터 입력'!$B10),1)</f>
        <v>41395</v>
      </c>
      <c r="I10" s="58">
        <f>LOOKUP(MONTH('데이터 입력'!$H10),{1,1;2,1;3,1;4,2;5,2;6,2;7,3;8,3;9,3;10,4;11,4;12,4})</f>
        <v>2</v>
      </c>
      <c r="J10" s="13">
        <f>YEAR('데이터 입력'!$B10)</f>
        <v>2013</v>
      </c>
      <c r="K10" s="14">
        <f>MONTH(tblData[[#This Row],[날짜]])</f>
        <v>5</v>
      </c>
      <c r="L10" s="17">
        <f>SUMIFS(tblData[금액],tblData[날짜],"&gt;="&amp;EOMONTH(tblData[[#This Row],[날짜]],-1)+1,tblData[날짜],"&lt;="&amp;EOMONTH(tblData[[#This Row],[날짜]],0))</f>
        <v>21800000</v>
      </c>
      <c r="M10" s="17">
        <f>SUMIFS(tblData[금액],tblData[날짜],"&gt;="&amp;DATE(YEAR(tblData[[#This Row],[날짜]]),1,1),tblData[날짜],"&lt;="&amp;DATE(YEAR(tblData[[#This Row],[날짜]]),12,31),tblData[분기],tblData[[#This Row],[분기]])</f>
        <v>50800000</v>
      </c>
      <c r="N10" s="17">
        <f>SUMIFS(tblData[금액],tblData[날짜],"&gt;="&amp;DATE(YEAR(tblData[[#This Row],[날짜]]),1,1),tblData[날짜],"&lt;="&amp;DATE(YEAR(tblData[[#This Row],[날짜]]),12,31))</f>
        <v>143800000</v>
      </c>
      <c r="O10" s="18">
        <f>IFERROR(TREND($L$6:INDEX($L:$L,ROW(),1),$K$6:INDEX($K:$K,ROW(),1),IF(MONTH(tblData[[#This Row],[날짜]])=12,13,MONTH(tblData[[#This Row],[날짜]])+1)),"")</f>
        <v>29000000</v>
      </c>
      <c r="P10" s="18">
        <f>IFERROR(TREND($M$6:INDEX($M:$M,ROW(),1),$I$6:INDEX($I:$I,ROW(),1),IF(tblData[[#This Row],[분기]]=4,5,tblData[[#This Row],[분기]]+1)),"")</f>
        <v>50800000</v>
      </c>
      <c r="Q10" s="18">
        <f>IFERROR(TREND($N$6:INDEX($N:$N,ROW(),1),$J$6:INDEX($J:$J,ROW(),1),tblData[[#This Row],[년]]+1),"")</f>
        <v>143800000</v>
      </c>
    </row>
    <row r="11" spans="2:17" ht="17.25" customHeight="1" x14ac:dyDescent="0.2">
      <c r="B11" s="11">
        <f>40693+(365*2)</f>
        <v>41423</v>
      </c>
      <c r="C11" s="12" t="s">
        <v>27</v>
      </c>
      <c r="D11" s="15">
        <v>6200000</v>
      </c>
      <c r="E11" s="15">
        <v>6000000</v>
      </c>
      <c r="F11" s="15">
        <v>4500000</v>
      </c>
      <c r="G11" s="16">
        <f>tblData[[#This Row],[금액]]-tblData[[#This Row],[비용]]</f>
        <v>1700000</v>
      </c>
      <c r="H11" s="19">
        <f>DATE(YEAR('데이터 입력'!$B11),MONTH('데이터 입력'!$B11),1)</f>
        <v>41395</v>
      </c>
      <c r="I11" s="58">
        <f>LOOKUP(MONTH('데이터 입력'!$H11),{1,1;2,1;3,1;4,2;5,2;6,2;7,3;8,3;9,3;10,4;11,4;12,4})</f>
        <v>2</v>
      </c>
      <c r="J11" s="13">
        <f>YEAR('데이터 입력'!$B11)</f>
        <v>2013</v>
      </c>
      <c r="K11" s="14">
        <f>MONTH(tblData[[#This Row],[날짜]])</f>
        <v>5</v>
      </c>
      <c r="L11" s="17">
        <f>SUMIFS(tblData[금액],tblData[날짜],"&gt;="&amp;EOMONTH(tblData[[#This Row],[날짜]],-1)+1,tblData[날짜],"&lt;="&amp;EOMONTH(tblData[[#This Row],[날짜]],0))</f>
        <v>21800000</v>
      </c>
      <c r="M11" s="17">
        <f>SUMIFS(tblData[금액],tblData[날짜],"&gt;="&amp;DATE(YEAR(tblData[[#This Row],[날짜]]),1,1),tblData[날짜],"&lt;="&amp;DATE(YEAR(tblData[[#This Row],[날짜]]),12,31),tblData[분기],tblData[[#This Row],[분기]])</f>
        <v>50800000</v>
      </c>
      <c r="N11" s="17">
        <f>SUMIFS(tblData[금액],tblData[날짜],"&gt;="&amp;DATE(YEAR(tblData[[#This Row],[날짜]]),1,1),tblData[날짜],"&lt;="&amp;DATE(YEAR(tblData[[#This Row],[날짜]]),12,31))</f>
        <v>143800000</v>
      </c>
      <c r="O11" s="18">
        <f>IFERROR(TREND($L$6:INDEX($L:$L,ROW(),1),$K$6:INDEX($K:$K,ROW(),1),IF(MONTH(tblData[[#This Row],[날짜]])=12,13,MONTH(tblData[[#This Row],[날짜]])+1)),"")</f>
        <v>29000000.000000007</v>
      </c>
      <c r="P11" s="18">
        <f>IFERROR(TREND($M$6:INDEX($M:$M,ROW(),1),$I$6:INDEX($I:$I,ROW(),1),IF(tblData[[#This Row],[분기]]=4,5,tblData[[#This Row],[분기]]+1)),"")</f>
        <v>50800000</v>
      </c>
      <c r="Q11" s="18">
        <f>IFERROR(TREND($N$6:INDEX($N:$N,ROW(),1),$J$6:INDEX($J:$J,ROW(),1),tblData[[#This Row],[년]]+1),"")</f>
        <v>143800000</v>
      </c>
    </row>
    <row r="12" spans="2:17" ht="17.25" customHeight="1" x14ac:dyDescent="0.2">
      <c r="B12" s="11">
        <f>40705+(365*2)</f>
        <v>41435</v>
      </c>
      <c r="C12" s="12" t="s">
        <v>22</v>
      </c>
      <c r="D12" s="15">
        <v>6900000</v>
      </c>
      <c r="E12" s="15">
        <v>7500000</v>
      </c>
      <c r="F12" s="15">
        <v>5400000</v>
      </c>
      <c r="G12" s="16">
        <f>tblData[[#This Row],[금액]]-tblData[[#This Row],[비용]]</f>
        <v>1500000</v>
      </c>
      <c r="H12" s="19">
        <f>DATE(YEAR('데이터 입력'!$B12),MONTH('데이터 입력'!$B12),1)</f>
        <v>41426</v>
      </c>
      <c r="I12" s="58">
        <f>LOOKUP(MONTH('데이터 입력'!$H12),{1,1;2,1;3,1;4,2;5,2;6,2;7,3;8,3;9,3;10,4;11,4;12,4})</f>
        <v>2</v>
      </c>
      <c r="J12" s="13">
        <f>YEAR('데이터 입력'!$B12)</f>
        <v>2013</v>
      </c>
      <c r="K12" s="14">
        <f>MONTH(tblData[[#This Row],[날짜]])</f>
        <v>6</v>
      </c>
      <c r="L12" s="17">
        <f>SUMIFS(tblData[금액],tblData[날짜],"&gt;="&amp;EOMONTH(tblData[[#This Row],[날짜]],-1)+1,tblData[날짜],"&lt;="&amp;EOMONTH(tblData[[#This Row],[날짜]],0))</f>
        <v>14400000</v>
      </c>
      <c r="M12" s="17">
        <f>SUMIFS(tblData[금액],tblData[날짜],"&gt;="&amp;DATE(YEAR(tblData[[#This Row],[날짜]]),1,1),tblData[날짜],"&lt;="&amp;DATE(YEAR(tblData[[#This Row],[날짜]]),12,31),tblData[분기],tblData[[#This Row],[분기]])</f>
        <v>50800000</v>
      </c>
      <c r="N12" s="17">
        <f>SUMIFS(tblData[금액],tblData[날짜],"&gt;="&amp;DATE(YEAR(tblData[[#This Row],[날짜]]),1,1),tblData[날짜],"&lt;="&amp;DATE(YEAR(tblData[[#This Row],[날짜]]),12,31))</f>
        <v>143800000</v>
      </c>
      <c r="O12" s="18">
        <f>IFERROR(TREND($L$6:INDEX($L:$L,ROW(),1),$K$6:INDEX($K:$K,ROW(),1),IF(MONTH(tblData[[#This Row],[날짜]])=12,13,MONTH(tblData[[#This Row],[날짜]])+1)),"")</f>
        <v>21600000</v>
      </c>
      <c r="P12" s="18">
        <f>IFERROR(TREND($M$6:INDEX($M:$M,ROW(),1),$I$6:INDEX($I:$I,ROW(),1),IF(tblData[[#This Row],[분기]]=4,5,tblData[[#This Row],[분기]]+1)),"")</f>
        <v>50800000</v>
      </c>
      <c r="Q12" s="18">
        <f>IFERROR(TREND($N$6:INDEX($N:$N,ROW(),1),$J$6:INDEX($J:$J,ROW(),1),tblData[[#This Row],[년]]+1),"")</f>
        <v>143800000</v>
      </c>
    </row>
    <row r="13" spans="2:17" ht="17.25" customHeight="1" x14ac:dyDescent="0.2">
      <c r="B13" s="11">
        <f>40716+(365*2)</f>
        <v>41446</v>
      </c>
      <c r="C13" s="12" t="s">
        <v>23</v>
      </c>
      <c r="D13" s="15">
        <v>7500000</v>
      </c>
      <c r="E13" s="15">
        <v>7200000</v>
      </c>
      <c r="F13" s="15">
        <v>6500000</v>
      </c>
      <c r="G13" s="16">
        <f>tblData[[#This Row],[금액]]-tblData[[#This Row],[비용]]</f>
        <v>1000000</v>
      </c>
      <c r="H13" s="19">
        <f>DATE(YEAR('데이터 입력'!$B13),MONTH('데이터 입력'!$B13),1)</f>
        <v>41426</v>
      </c>
      <c r="I13" s="58">
        <f>LOOKUP(MONTH('데이터 입력'!$H13),{1,1;2,1;3,1;4,2;5,2;6,2;7,3;8,3;9,3;10,4;11,4;12,4})</f>
        <v>2</v>
      </c>
      <c r="J13" s="13">
        <f>YEAR('데이터 입력'!$B13)</f>
        <v>2013</v>
      </c>
      <c r="K13" s="14">
        <f>MONTH(tblData[[#This Row],[날짜]])</f>
        <v>6</v>
      </c>
      <c r="L13" s="17">
        <f>SUMIFS(tblData[금액],tblData[날짜],"&gt;="&amp;EOMONTH(tblData[[#This Row],[날짜]],-1)+1,tblData[날짜],"&lt;="&amp;EOMONTH(tblData[[#This Row],[날짜]],0))</f>
        <v>14400000</v>
      </c>
      <c r="M13" s="17">
        <f>SUMIFS(tblData[금액],tblData[날짜],"&gt;="&amp;DATE(YEAR(tblData[[#This Row],[날짜]]),1,1),tblData[날짜],"&lt;="&amp;DATE(YEAR(tblData[[#This Row],[날짜]]),12,31),tblData[분기],tblData[[#This Row],[분기]])</f>
        <v>50800000</v>
      </c>
      <c r="N13" s="17">
        <f>SUMIFS(tblData[금액],tblData[날짜],"&gt;="&amp;DATE(YEAR(tblData[[#This Row],[날짜]]),1,1),tblData[날짜],"&lt;="&amp;DATE(YEAR(tblData[[#This Row],[날짜]]),12,31))</f>
        <v>143800000</v>
      </c>
      <c r="O13" s="18">
        <f>IFERROR(TREND($L$6:INDEX($L:$L,ROW(),1),$K$6:INDEX($K:$K,ROW(),1),IF(MONTH(tblData[[#This Row],[날짜]])=12,13,MONTH(tblData[[#This Row],[날짜]])+1)),"")</f>
        <v>17950000</v>
      </c>
      <c r="P13" s="18">
        <f>IFERROR(TREND($M$6:INDEX($M:$M,ROW(),1),$I$6:INDEX($I:$I,ROW(),1),IF(tblData[[#This Row],[분기]]=4,5,tblData[[#This Row],[분기]]+1)),"")</f>
        <v>50800000</v>
      </c>
      <c r="Q13" s="18">
        <f>IFERROR(TREND($N$6:INDEX($N:$N,ROW(),1),$J$6:INDEX($J:$J,ROW(),1),tblData[[#This Row],[년]]+1),"")</f>
        <v>143800000</v>
      </c>
    </row>
    <row r="14" spans="2:17" ht="17.25" customHeight="1" x14ac:dyDescent="0.2">
      <c r="B14" s="11">
        <f>40731+(365*2)</f>
        <v>41461</v>
      </c>
      <c r="C14" s="12" t="s">
        <v>24</v>
      </c>
      <c r="D14" s="15">
        <v>8700000</v>
      </c>
      <c r="E14" s="15">
        <v>8500000</v>
      </c>
      <c r="F14" s="15">
        <v>7250000</v>
      </c>
      <c r="G14" s="16">
        <f>tblData[[#This Row],[금액]]-tblData[[#This Row],[비용]]</f>
        <v>1450000</v>
      </c>
      <c r="H14" s="19">
        <f>DATE(YEAR('데이터 입력'!$B14),MONTH('데이터 입력'!$B14),1)</f>
        <v>41456</v>
      </c>
      <c r="I14" s="58">
        <f>LOOKUP(MONTH('데이터 입력'!$H14),{1,1;2,1;3,1;4,2;5,2;6,2;7,3;8,3;9,3;10,4;11,4;12,4})</f>
        <v>3</v>
      </c>
      <c r="J14" s="13">
        <f>YEAR('데이터 입력'!$B14)</f>
        <v>2013</v>
      </c>
      <c r="K14" s="14">
        <f>MONTH(tblData[[#This Row],[날짜]])</f>
        <v>7</v>
      </c>
      <c r="L14" s="17">
        <f>SUMIFS(tblData[금액],tblData[날짜],"&gt;="&amp;EOMONTH(tblData[[#This Row],[날짜]],-1)+1,tblData[날짜],"&lt;="&amp;EOMONTH(tblData[[#This Row],[날짜]],0))</f>
        <v>8700000</v>
      </c>
      <c r="M14" s="17">
        <f>SUMIFS(tblData[금액],tblData[날짜],"&gt;="&amp;DATE(YEAR(tblData[[#This Row],[날짜]]),1,1),tblData[날짜],"&lt;="&amp;DATE(YEAR(tblData[[#This Row],[날짜]]),12,31),tblData[분기],tblData[[#This Row],[분기]])</f>
        <v>49100000</v>
      </c>
      <c r="N14" s="17">
        <f>SUMIFS(tblData[금액],tblData[날짜],"&gt;="&amp;DATE(YEAR(tblData[[#This Row],[날짜]]),1,1),tblData[날짜],"&lt;="&amp;DATE(YEAR(tblData[[#This Row],[날짜]]),12,31))</f>
        <v>143800000</v>
      </c>
      <c r="O14" s="18">
        <f>IFERROR(TREND($L$6:INDEX($L:$L,ROW(),1),$K$6:INDEX($K:$K,ROW(),1),IF(MONTH(tblData[[#This Row],[날짜]])=12,13,MONTH(tblData[[#This Row],[날짜]])+1)),"")</f>
        <v>10776470.588235293</v>
      </c>
      <c r="P14" s="18">
        <f>IFERROR(TREND($M$6:INDEX($M:$M,ROW(),1),$I$6:INDEX($I:$I,ROW(),1),IF(tblData[[#This Row],[분기]]=4,5,tblData[[#This Row],[분기]]+1)),"")</f>
        <v>47400000</v>
      </c>
      <c r="Q14" s="18">
        <f>IFERROR(TREND($N$6:INDEX($N:$N,ROW(),1),$J$6:INDEX($J:$J,ROW(),1),tblData[[#This Row],[년]]+1),"")</f>
        <v>143800000</v>
      </c>
    </row>
    <row r="15" spans="2:17" ht="17.25" customHeight="1" x14ac:dyDescent="0.2">
      <c r="B15" s="11">
        <f>40761+(365*2)</f>
        <v>41491</v>
      </c>
      <c r="C15" s="12" t="s">
        <v>25</v>
      </c>
      <c r="D15" s="15">
        <v>8500000</v>
      </c>
      <c r="E15" s="15">
        <v>8300000</v>
      </c>
      <c r="F15" s="15">
        <v>7100000</v>
      </c>
      <c r="G15" s="16">
        <f>tblData[[#This Row],[금액]]-tblData[[#This Row],[비용]]</f>
        <v>1400000</v>
      </c>
      <c r="H15" s="19">
        <f>DATE(YEAR('데이터 입력'!$B15),MONTH('데이터 입력'!$B15),1)</f>
        <v>41487</v>
      </c>
      <c r="I15" s="58">
        <f>LOOKUP(MONTH('데이터 입력'!$H15),{1,1;2,1;3,1;4,2;5,2;6,2;7,3;8,3;9,3;10,4;11,4;12,4})</f>
        <v>3</v>
      </c>
      <c r="J15" s="13">
        <f>YEAR('데이터 입력'!$B15)</f>
        <v>2013</v>
      </c>
      <c r="K15" s="14">
        <f>MONTH(tblData[[#This Row],[날짜]])</f>
        <v>8</v>
      </c>
      <c r="L15" s="17">
        <f>SUMIFS(tblData[금액],tblData[날짜],"&gt;="&amp;EOMONTH(tblData[[#This Row],[날짜]],-1)+1,tblData[날짜],"&lt;="&amp;EOMONTH(tblData[[#This Row],[날짜]],0))</f>
        <v>16400000</v>
      </c>
      <c r="M15" s="17">
        <f>SUMIFS(tblData[금액],tblData[날짜],"&gt;="&amp;DATE(YEAR(tblData[[#This Row],[날짜]]),1,1),tblData[날짜],"&lt;="&amp;DATE(YEAR(tblData[[#This Row],[날짜]]),12,31),tblData[분기],tblData[[#This Row],[분기]])</f>
        <v>49100000</v>
      </c>
      <c r="N15" s="17">
        <f>SUMIFS(tblData[금액],tblData[날짜],"&gt;="&amp;DATE(YEAR(tblData[[#This Row],[날짜]]),1,1),tblData[날짜],"&lt;="&amp;DATE(YEAR(tblData[[#This Row],[날짜]]),12,31))</f>
        <v>143800000</v>
      </c>
      <c r="O15" s="18">
        <f>IFERROR(TREND($L$6:INDEX($L:$L,ROW(),1),$K$6:INDEX($K:$K,ROW(),1),IF(MONTH(tblData[[#This Row],[날짜]])=12,13,MONTH(tblData[[#This Row],[날짜]])+1)),"")</f>
        <v>12455862.068965519</v>
      </c>
      <c r="P15" s="18">
        <f>IFERROR(TREND($M$6:INDEX($M:$M,ROW(),1),$I$6:INDEX($I:$I,ROW(),1),IF(tblData[[#This Row],[분기]]=4,5,tblData[[#This Row],[분기]]+1)),"")</f>
        <v>47400000</v>
      </c>
      <c r="Q15" s="18">
        <f>IFERROR(TREND($N$6:INDEX($N:$N,ROW(),1),$J$6:INDEX($J:$J,ROW(),1),tblData[[#This Row],[년]]+1),"")</f>
        <v>143800000</v>
      </c>
    </row>
    <row r="16" spans="2:17" ht="17.25" customHeight="1" x14ac:dyDescent="0.2">
      <c r="B16" s="11">
        <f>40775+(365*2)</f>
        <v>41505</v>
      </c>
      <c r="C16" s="12" t="s">
        <v>26</v>
      </c>
      <c r="D16" s="15">
        <v>7900000</v>
      </c>
      <c r="E16" s="15">
        <v>7700000</v>
      </c>
      <c r="F16" s="15">
        <v>6600000</v>
      </c>
      <c r="G16" s="16">
        <f>tblData[[#This Row],[금액]]-tblData[[#This Row],[비용]]</f>
        <v>1300000</v>
      </c>
      <c r="H16" s="19">
        <f>DATE(YEAR('데이터 입력'!$B16),MONTH('데이터 입력'!$B16),1)</f>
        <v>41487</v>
      </c>
      <c r="I16" s="58">
        <f>LOOKUP(MONTH('데이터 입력'!$H16),{1,1;2,1;3,1;4,2;5,2;6,2;7,3;8,3;9,3;10,4;11,4;12,4})</f>
        <v>3</v>
      </c>
      <c r="J16" s="13">
        <f>YEAR('데이터 입력'!$B16)</f>
        <v>2013</v>
      </c>
      <c r="K16" s="14">
        <f>MONTH(tblData[[#This Row],[날짜]])</f>
        <v>8</v>
      </c>
      <c r="L16" s="17">
        <f>SUMIFS(tblData[금액],tblData[날짜],"&gt;="&amp;EOMONTH(tblData[[#This Row],[날짜]],-1)+1,tblData[날짜],"&lt;="&amp;EOMONTH(tblData[[#This Row],[날짜]],0))</f>
        <v>16400000</v>
      </c>
      <c r="M16" s="17">
        <f>SUMIFS(tblData[금액],tblData[날짜],"&gt;="&amp;DATE(YEAR(tblData[[#This Row],[날짜]]),1,1),tblData[날짜],"&lt;="&amp;DATE(YEAR(tblData[[#This Row],[날짜]]),12,31),tblData[분기],tblData[[#This Row],[분기]])</f>
        <v>49100000</v>
      </c>
      <c r="N16" s="17">
        <f>SUMIFS(tblData[금액],tblData[날짜],"&gt;="&amp;DATE(YEAR(tblData[[#This Row],[날짜]]),1,1),tblData[날짜],"&lt;="&amp;DATE(YEAR(tblData[[#This Row],[날짜]]),12,31))</f>
        <v>143800000</v>
      </c>
      <c r="O16" s="18">
        <f>IFERROR(TREND($L$6:INDEX($L:$L,ROW(),1),$K$6:INDEX($K:$K,ROW(),1),IF(MONTH(tblData[[#This Row],[날짜]])=12,13,MONTH(tblData[[#This Row],[날짜]])+1)),"")</f>
        <v>13667567.567567568</v>
      </c>
      <c r="P16" s="18">
        <f>IFERROR(TREND($M$6:INDEX($M:$M,ROW(),1),$I$6:INDEX($I:$I,ROW(),1),IF(tblData[[#This Row],[분기]]=4,5,tblData[[#This Row],[분기]]+1)),"")</f>
        <v>47400000</v>
      </c>
      <c r="Q16" s="18">
        <f>IFERROR(TREND($N$6:INDEX($N:$N,ROW(),1),$J$6:INDEX($J:$J,ROW(),1),tblData[[#This Row],[년]]+1),"")</f>
        <v>143800000</v>
      </c>
    </row>
    <row r="17" spans="2:17" ht="17.25" customHeight="1" x14ac:dyDescent="0.2">
      <c r="B17" s="11">
        <f>40791+(365*2)</f>
        <v>41521</v>
      </c>
      <c r="C17" s="12" t="s">
        <v>27</v>
      </c>
      <c r="D17" s="15">
        <v>9100000</v>
      </c>
      <c r="E17" s="15">
        <v>8900000</v>
      </c>
      <c r="F17" s="15">
        <v>7900000</v>
      </c>
      <c r="G17" s="16">
        <f>tblData[[#This Row],[금액]]-tblData[[#This Row],[비용]]</f>
        <v>1200000</v>
      </c>
      <c r="H17" s="19">
        <f>DATE(YEAR('데이터 입력'!$B17),MONTH('데이터 입력'!$B17),1)</f>
        <v>41518</v>
      </c>
      <c r="I17" s="58">
        <f>LOOKUP(MONTH('데이터 입력'!$H17),{1,1;2,1;3,1;4,2;5,2;6,2;7,3;8,3;9,3;10,4;11,4;12,4})</f>
        <v>3</v>
      </c>
      <c r="J17" s="13">
        <f>YEAR('데이터 입력'!$B17)</f>
        <v>2013</v>
      </c>
      <c r="K17" s="14">
        <f>MONTH(tblData[[#This Row],[날짜]])</f>
        <v>9</v>
      </c>
      <c r="L17" s="17">
        <f>SUMIFS(tblData[금액],tblData[날짜],"&gt;="&amp;EOMONTH(tblData[[#This Row],[날짜]],-1)+1,tblData[날짜],"&lt;="&amp;EOMONTH(tblData[[#This Row],[날짜]],0))</f>
        <v>24000000</v>
      </c>
      <c r="M17" s="17">
        <f>SUMIFS(tblData[금액],tblData[날짜],"&gt;="&amp;DATE(YEAR(tblData[[#This Row],[날짜]]),1,1),tblData[날짜],"&lt;="&amp;DATE(YEAR(tblData[[#This Row],[날짜]]),12,31),tblData[분기],tblData[[#This Row],[분기]])</f>
        <v>49100000</v>
      </c>
      <c r="N17" s="17">
        <f>SUMIFS(tblData[금액],tblData[날짜],"&gt;="&amp;DATE(YEAR(tblData[[#This Row],[날짜]]),1,1),tblData[날짜],"&lt;="&amp;DATE(YEAR(tblData[[#This Row],[날짜]]),12,31))</f>
        <v>143800000</v>
      </c>
      <c r="O17" s="18">
        <f>IFERROR(TREND($L$6:INDEX($L:$L,ROW(),1),$K$6:INDEX($K:$K,ROW(),1),IF(MONTH(tblData[[#This Row],[날짜]])=12,13,MONTH(tblData[[#This Row],[날짜]])+1)),"")</f>
        <v>17651666.666666664</v>
      </c>
      <c r="P17" s="18">
        <f>IFERROR(TREND($M$6:INDEX($M:$M,ROW(),1),$I$6:INDEX($I:$I,ROW(),1),IF(tblData[[#This Row],[분기]]=4,5,tblData[[#This Row],[분기]]+1)),"")</f>
        <v>47400000</v>
      </c>
      <c r="Q17" s="18">
        <f>IFERROR(TREND($N$6:INDEX($N:$N,ROW(),1),$J$6:INDEX($J:$J,ROW(),1),tblData[[#This Row],[년]]+1),"")</f>
        <v>143800000</v>
      </c>
    </row>
    <row r="18" spans="2:17" ht="17.25" customHeight="1" x14ac:dyDescent="0.2">
      <c r="B18" s="11">
        <f>40807+(365*2)</f>
        <v>41537</v>
      </c>
      <c r="C18" s="12" t="s">
        <v>23</v>
      </c>
      <c r="D18" s="15">
        <v>5600000</v>
      </c>
      <c r="E18" s="15">
        <v>5800000</v>
      </c>
      <c r="F18" s="15">
        <v>4500000</v>
      </c>
      <c r="G18" s="16">
        <f>tblData[[#This Row],[금액]]-tblData[[#This Row],[비용]]</f>
        <v>1100000</v>
      </c>
      <c r="H18" s="19">
        <f>DATE(YEAR('데이터 입력'!$B18),MONTH('데이터 입력'!$B18),1)</f>
        <v>41518</v>
      </c>
      <c r="I18" s="58">
        <f>LOOKUP(MONTH('데이터 입력'!$H18),{1,1;2,1;3,1;4,2;5,2;6,2;7,3;8,3;9,3;10,4;11,4;12,4})</f>
        <v>3</v>
      </c>
      <c r="J18" s="13">
        <f>YEAR('데이터 입력'!$B18)</f>
        <v>2013</v>
      </c>
      <c r="K18" s="14">
        <f>MONTH(tblData[[#This Row],[날짜]])</f>
        <v>9</v>
      </c>
      <c r="L18" s="17">
        <f>SUMIFS(tblData[금액],tblData[날짜],"&gt;="&amp;EOMONTH(tblData[[#This Row],[날짜]],-1)+1,tblData[날짜],"&lt;="&amp;EOMONTH(tblData[[#This Row],[날짜]],0))</f>
        <v>24000000</v>
      </c>
      <c r="M18" s="17">
        <f>SUMIFS(tblData[금액],tblData[날짜],"&gt;="&amp;DATE(YEAR(tblData[[#This Row],[날짜]]),1,1),tblData[날짜],"&lt;="&amp;DATE(YEAR(tblData[[#This Row],[날짜]]),12,31),tblData[분기],tblData[[#This Row],[분기]])</f>
        <v>49100000</v>
      </c>
      <c r="N18" s="17">
        <f>SUMIFS(tblData[금액],tblData[날짜],"&gt;="&amp;DATE(YEAR(tblData[[#This Row],[날짜]]),1,1),tblData[날짜],"&lt;="&amp;DATE(YEAR(tblData[[#This Row],[날짜]]),12,31))</f>
        <v>143800000</v>
      </c>
      <c r="O18" s="18">
        <f>IFERROR(TREND($L$6:INDEX($L:$L,ROW(),1),$K$6:INDEX($K:$K,ROW(),1),IF(MONTH(tblData[[#This Row],[날짜]])=12,13,MONTH(tblData[[#This Row],[날짜]])+1)),"")</f>
        <v>19877911.646586344</v>
      </c>
      <c r="P18" s="18">
        <f>IFERROR(TREND($M$6:INDEX($M:$M,ROW(),1),$I$6:INDEX($I:$I,ROW(),1),IF(tblData[[#This Row],[분기]]=4,5,tblData[[#This Row],[분기]]+1)),"")</f>
        <v>47400000</v>
      </c>
      <c r="Q18" s="18">
        <f>IFERROR(TREND($N$6:INDEX($N:$N,ROW(),1),$J$6:INDEX($J:$J,ROW(),1),tblData[[#This Row],[년]]+1),"")</f>
        <v>143800000</v>
      </c>
    </row>
    <row r="19" spans="2:17" ht="17.25" customHeight="1" x14ac:dyDescent="0.2">
      <c r="B19" s="11">
        <f>40812+(365*2)</f>
        <v>41542</v>
      </c>
      <c r="C19" s="12" t="s">
        <v>24</v>
      </c>
      <c r="D19" s="15">
        <v>9300000</v>
      </c>
      <c r="E19" s="15">
        <v>9100000</v>
      </c>
      <c r="F19" s="15">
        <v>7500000</v>
      </c>
      <c r="G19" s="16">
        <f>tblData[[#This Row],[금액]]-tblData[[#This Row],[비용]]</f>
        <v>1800000</v>
      </c>
      <c r="H19" s="19">
        <f>DATE(YEAR('데이터 입력'!$B19),MONTH('데이터 입력'!$B19),1)</f>
        <v>41518</v>
      </c>
      <c r="I19" s="58">
        <f>LOOKUP(MONTH('데이터 입력'!$H19),{1,1;2,1;3,1;4,2;5,2;6,2;7,3;8,3;9,3;10,4;11,4;12,4})</f>
        <v>3</v>
      </c>
      <c r="J19" s="13">
        <f>YEAR('데이터 입력'!$B19)</f>
        <v>2013</v>
      </c>
      <c r="K19" s="14">
        <f>MONTH(tblData[[#This Row],[날짜]])</f>
        <v>9</v>
      </c>
      <c r="L19" s="17">
        <f>SUMIFS(tblData[금액],tblData[날짜],"&gt;="&amp;EOMONTH(tblData[[#This Row],[날짜]],-1)+1,tblData[날짜],"&lt;="&amp;EOMONTH(tblData[[#This Row],[날짜]],0))</f>
        <v>24000000</v>
      </c>
      <c r="M19" s="17">
        <f>SUMIFS(tblData[금액],tblData[날짜],"&gt;="&amp;DATE(YEAR(tblData[[#This Row],[날짜]]),1,1),tblData[날짜],"&lt;="&amp;DATE(YEAR(tblData[[#This Row],[날짜]]),12,31),tblData[분기],tblData[[#This Row],[분기]])</f>
        <v>49100000</v>
      </c>
      <c r="N19" s="17">
        <f>SUMIFS(tblData[금액],tblData[날짜],"&gt;="&amp;DATE(YEAR(tblData[[#This Row],[날짜]]),1,1),tblData[날짜],"&lt;="&amp;DATE(YEAR(tblData[[#This Row],[날짜]]),12,31))</f>
        <v>143800000</v>
      </c>
      <c r="O19" s="18">
        <f>IFERROR(TREND($L$6:INDEX($L:$L,ROW(),1),$K$6:INDEX($K:$K,ROW(),1),IF(MONTH(tblData[[#This Row],[날짜]])=12,13,MONTH(tblData[[#This Row],[날짜]])+1)),"")</f>
        <v>21138050.314465411</v>
      </c>
      <c r="P19" s="18">
        <f>IFERROR(TREND($M$6:INDEX($M:$M,ROW(),1),$I$6:INDEX($I:$I,ROW(),1),IF(tblData[[#This Row],[분기]]=4,5,tblData[[#This Row],[분기]]+1)),"")</f>
        <v>47400000.000000007</v>
      </c>
      <c r="Q19" s="18">
        <f>IFERROR(TREND($N$6:INDEX($N:$N,ROW(),1),$J$6:INDEX($J:$J,ROW(),1),tblData[[#This Row],[년]]+1),"")</f>
        <v>143800000</v>
      </c>
    </row>
    <row r="20" spans="2:17" ht="17.25" customHeight="1" x14ac:dyDescent="0.2">
      <c r="B20" s="11">
        <f>40832+(365*2)</f>
        <v>41562</v>
      </c>
      <c r="C20" s="12" t="s">
        <v>25</v>
      </c>
      <c r="D20" s="15">
        <v>8800000</v>
      </c>
      <c r="E20" s="15">
        <v>9350000</v>
      </c>
      <c r="F20" s="15">
        <v>7100000</v>
      </c>
      <c r="G20" s="16">
        <f>tblData[[#This Row],[금액]]-tblData[[#This Row],[비용]]</f>
        <v>1700000</v>
      </c>
      <c r="H20" s="19">
        <f>DATE(YEAR('데이터 입력'!$B20),MONTH('데이터 입력'!$B20),1)</f>
        <v>41548</v>
      </c>
      <c r="I20" s="58">
        <f>LOOKUP(MONTH('데이터 입력'!$H20),{1,1;2,1;3,1;4,2;5,2;6,2;7,3;8,3;9,3;10,4;11,4;12,4})</f>
        <v>4</v>
      </c>
      <c r="J20" s="13">
        <f>YEAR('데이터 입력'!$B20)</f>
        <v>2013</v>
      </c>
      <c r="K20" s="14">
        <f>MONTH(tblData[[#This Row],[날짜]])</f>
        <v>10</v>
      </c>
      <c r="L20" s="17">
        <f>SUMIFS(tblData[금액],tblData[날짜],"&gt;="&amp;EOMONTH(tblData[[#This Row],[날짜]],-1)+1,tblData[날짜],"&lt;="&amp;EOMONTH(tblData[[#This Row],[날짜]],0))</f>
        <v>8800000</v>
      </c>
      <c r="M20" s="17">
        <f>SUMIFS(tblData[금액],tblData[날짜],"&gt;="&amp;DATE(YEAR(tblData[[#This Row],[날짜]]),1,1),tblData[날짜],"&lt;="&amp;DATE(YEAR(tblData[[#This Row],[날짜]]),12,31),tblData[분기],tblData[[#This Row],[분기]])</f>
        <v>43900000</v>
      </c>
      <c r="N20" s="17">
        <f>SUMIFS(tblData[금액],tblData[날짜],"&gt;="&amp;DATE(YEAR(tblData[[#This Row],[날짜]]),1,1),tblData[날짜],"&lt;="&amp;DATE(YEAR(tblData[[#This Row],[날짜]]),12,31))</f>
        <v>143800000</v>
      </c>
      <c r="O20" s="18">
        <f>IFERROR(TREND($L$6:INDEX($L:$L,ROW(),1),$K$6:INDEX($K:$K,ROW(),1),IF(MONTH(tblData[[#This Row],[날짜]])=12,13,MONTH(tblData[[#This Row],[날짜]])+1)),"")</f>
        <v>17951744.186046511</v>
      </c>
      <c r="P20" s="18">
        <f>IFERROR(TREND($M$6:INDEX($M:$M,ROW(),1),$I$6:INDEX($I:$I,ROW(),1),IF(tblData[[#This Row],[분기]]=4,5,tblData[[#This Row],[분기]]+1)),"")</f>
        <v>43258139.534883723</v>
      </c>
      <c r="Q20" s="18">
        <f>IFERROR(TREND($N$6:INDEX($N:$N,ROW(),1),$J$6:INDEX($J:$J,ROW(),1),tblData[[#This Row],[년]]+1),"")</f>
        <v>143800000</v>
      </c>
    </row>
    <row r="21" spans="2:17" ht="17.25" customHeight="1" x14ac:dyDescent="0.2">
      <c r="B21" s="11">
        <f>40853+(365*2)</f>
        <v>41583</v>
      </c>
      <c r="C21" s="12" t="s">
        <v>26</v>
      </c>
      <c r="D21" s="15">
        <v>9100000</v>
      </c>
      <c r="E21" s="15">
        <v>9200000</v>
      </c>
      <c r="F21" s="15">
        <v>7850000</v>
      </c>
      <c r="G21" s="16">
        <f>tblData[[#This Row],[금액]]-tblData[[#This Row],[비용]]</f>
        <v>1250000</v>
      </c>
      <c r="H21" s="19">
        <f>DATE(YEAR('데이터 입력'!$B21),MONTH('데이터 입력'!$B21),1)</f>
        <v>41579</v>
      </c>
      <c r="I21" s="58">
        <f>LOOKUP(MONTH('데이터 입력'!$H21),{1,1;2,1;3,1;4,2;5,2;6,2;7,3;8,3;9,3;10,4;11,4;12,4})</f>
        <v>4</v>
      </c>
      <c r="J21" s="13">
        <f>YEAR('데이터 입력'!$B21)</f>
        <v>2013</v>
      </c>
      <c r="K21" s="14">
        <f>MONTH(tblData[[#This Row],[날짜]])</f>
        <v>11</v>
      </c>
      <c r="L21" s="17">
        <f>SUMIFS(tblData[금액],tblData[날짜],"&gt;="&amp;EOMONTH(tblData[[#This Row],[날짜]],-1)+1,tblData[날짜],"&lt;="&amp;EOMONTH(tblData[[#This Row],[날짜]],0))</f>
        <v>25600000</v>
      </c>
      <c r="M21" s="17">
        <f>SUMIFS(tblData[금액],tblData[날짜],"&gt;="&amp;DATE(YEAR(tblData[[#This Row],[날짜]]),1,1),tblData[날짜],"&lt;="&amp;DATE(YEAR(tblData[[#This Row],[날짜]]),12,31),tblData[분기],tblData[[#This Row],[분기]])</f>
        <v>43900000</v>
      </c>
      <c r="N21" s="17">
        <f>SUMIFS(tblData[금액],tblData[날짜],"&gt;="&amp;DATE(YEAR(tblData[[#This Row],[날짜]]),1,1),tblData[날짜],"&lt;="&amp;DATE(YEAR(tblData[[#This Row],[날짜]]),12,31))</f>
        <v>143800000</v>
      </c>
      <c r="O21" s="18">
        <f>IFERROR(TREND($L$6:INDEX($L:$L,ROW(),1),$K$6:INDEX($K:$K,ROW(),1),IF(MONTH(tblData[[#This Row],[날짜]])=12,13,MONTH(tblData[[#This Row],[날짜]])+1)),"")</f>
        <v>20556130.108423688</v>
      </c>
      <c r="P21" s="18">
        <f>IFERROR(TREND($M$6:INDEX($M:$M,ROW(),1),$I$6:INDEX($I:$I,ROW(),1),IF(tblData[[#This Row],[분기]]=4,5,tblData[[#This Row],[분기]]+1)),"")</f>
        <v>42312903.225806452</v>
      </c>
      <c r="Q21" s="18">
        <f>IFERROR(TREND($N$6:INDEX($N:$N,ROW(),1),$J$6:INDEX($J:$J,ROW(),1),tblData[[#This Row],[년]]+1),"")</f>
        <v>143800000</v>
      </c>
    </row>
    <row r="22" spans="2:17" ht="17.25" customHeight="1" x14ac:dyDescent="0.2">
      <c r="B22" s="11">
        <f>40874+(365*2)</f>
        <v>41604</v>
      </c>
      <c r="C22" s="12" t="s">
        <v>27</v>
      </c>
      <c r="D22" s="15">
        <v>9000000</v>
      </c>
      <c r="E22" s="15">
        <v>10000000</v>
      </c>
      <c r="F22" s="15">
        <v>7575000</v>
      </c>
      <c r="G22" s="16">
        <f>tblData[[#This Row],[금액]]-tblData[[#This Row],[비용]]</f>
        <v>1425000</v>
      </c>
      <c r="H22" s="19">
        <f>DATE(YEAR('데이터 입력'!$B22),MONTH('데이터 입력'!$B22),1)</f>
        <v>41579</v>
      </c>
      <c r="I22" s="58">
        <f>LOOKUP(MONTH('데이터 입력'!$H22),{1,1;2,1;3,1;4,2;5,2;6,2;7,3;8,3;9,3;10,4;11,4;12,4})</f>
        <v>4</v>
      </c>
      <c r="J22" s="13">
        <f>YEAR('데이터 입력'!$B22)</f>
        <v>2013</v>
      </c>
      <c r="K22" s="14">
        <f>MONTH(tblData[[#This Row],[날짜]])</f>
        <v>11</v>
      </c>
      <c r="L22" s="17">
        <f>SUMIFS(tblData[금액],tblData[날짜],"&gt;="&amp;EOMONTH(tblData[[#This Row],[날짜]],-1)+1,tblData[날짜],"&lt;="&amp;EOMONTH(tblData[[#This Row],[날짜]],0))</f>
        <v>25600000</v>
      </c>
      <c r="M22" s="17">
        <f>SUMIFS(tblData[금액],tblData[날짜],"&gt;="&amp;DATE(YEAR(tblData[[#This Row],[날짜]]),1,1),tblData[날짜],"&lt;="&amp;DATE(YEAR(tblData[[#This Row],[날짜]]),12,31),tblData[분기],tblData[[#This Row],[분기]])</f>
        <v>43900000</v>
      </c>
      <c r="N22" s="17">
        <f>SUMIFS(tblData[금액],tblData[날짜],"&gt;="&amp;DATE(YEAR(tblData[[#This Row],[날짜]]),1,1),tblData[날짜],"&lt;="&amp;DATE(YEAR(tblData[[#This Row],[날짜]]),12,31))</f>
        <v>143800000</v>
      </c>
      <c r="O22" s="18">
        <f>IFERROR(TREND($L$6:INDEX($L:$L,ROW(),1),$K$6:INDEX($K:$K,ROW(),1),IF(MONTH(tblData[[#This Row],[날짜]])=12,13,MONTH(tblData[[#This Row],[날짜]])+1)),"")</f>
        <v>21997139.141742524</v>
      </c>
      <c r="P22" s="18">
        <f>IFERROR(TREND($M$6:INDEX($M:$M,ROW(),1),$I$6:INDEX($I:$I,ROW(),1),IF(tblData[[#This Row],[분기]]=4,5,tblData[[#This Row],[분기]]+1)),"")</f>
        <v>41811111.111111119</v>
      </c>
      <c r="Q22" s="18">
        <f>IFERROR(TREND($N$6:INDEX($N:$N,ROW(),1),$J$6:INDEX($J:$J,ROW(),1),tblData[[#This Row],[년]]+1),"")</f>
        <v>143800000</v>
      </c>
    </row>
    <row r="23" spans="2:17" ht="17.25" customHeight="1" x14ac:dyDescent="0.2">
      <c r="B23" s="11">
        <f>40878+(365*2)</f>
        <v>41608</v>
      </c>
      <c r="C23" s="12" t="s">
        <v>27</v>
      </c>
      <c r="D23" s="15">
        <v>7500000</v>
      </c>
      <c r="E23" s="15">
        <v>8000000</v>
      </c>
      <c r="F23" s="15">
        <v>5850000</v>
      </c>
      <c r="G23" s="16">
        <f>tblData[[#This Row],[금액]]-tblData[[#This Row],[비용]]</f>
        <v>1650000</v>
      </c>
      <c r="H23" s="19">
        <f>DATE(YEAR('데이터 입력'!$B23),MONTH('데이터 입력'!$B23),1)</f>
        <v>41579</v>
      </c>
      <c r="I23" s="58">
        <f>LOOKUP(MONTH('데이터 입력'!$H23),{1,1;2,1;3,1;4,2;5,2;6,2;7,3;8,3;9,3;10,4;11,4;12,4})</f>
        <v>4</v>
      </c>
      <c r="J23" s="13">
        <f>YEAR('데이터 입력'!$B23)</f>
        <v>2013</v>
      </c>
      <c r="K23" s="14">
        <f>MONTH(tblData[[#This Row],[날짜]])</f>
        <v>11</v>
      </c>
      <c r="L23" s="17">
        <f>SUMIFS(tblData[금액],tblData[날짜],"&gt;="&amp;EOMONTH(tblData[[#This Row],[날짜]],-1)+1,tblData[날짜],"&lt;="&amp;EOMONTH(tblData[[#This Row],[날짜]],0))</f>
        <v>25600000</v>
      </c>
      <c r="M23" s="17">
        <f>SUMIFS(tblData[금액],tblData[날짜],"&gt;="&amp;DATE(YEAR(tblData[[#This Row],[날짜]]),1,1),tblData[날짜],"&lt;="&amp;DATE(YEAR(tblData[[#This Row],[날짜]]),12,31),tblData[분기],tblData[[#This Row],[분기]])</f>
        <v>43900000</v>
      </c>
      <c r="N23" s="17">
        <f>SUMIFS(tblData[금액],tblData[날짜],"&gt;="&amp;DATE(YEAR(tblData[[#This Row],[날짜]]),1,1),tblData[날짜],"&lt;="&amp;DATE(YEAR(tblData[[#This Row],[날짜]]),12,31))</f>
        <v>143800000</v>
      </c>
      <c r="O23" s="18">
        <f>IFERROR(TREND($L$6:INDEX($L:$L,ROW(),1),$K$6:INDEX($K:$K,ROW(),1),IF(MONTH(tblData[[#This Row],[날짜]])=12,13,MONTH(tblData[[#This Row],[날짜]])+1)),"")</f>
        <v>22917634.523175277</v>
      </c>
      <c r="P23" s="18">
        <f>IFERROR(TREND($M$6:INDEX($M:$M,ROW(),1),$I$6:INDEX($I:$I,ROW(),1),IF(tblData[[#This Row],[분기]]=4,5,tblData[[#This Row],[분기]]+1)),"")</f>
        <v>41500000</v>
      </c>
      <c r="Q23" s="18">
        <f>IFERROR(TREND($N$6:INDEX($N:$N,ROW(),1),$J$6:INDEX($J:$J,ROW(),1),tblData[[#This Row],[년]]+1),"")</f>
        <v>143800000</v>
      </c>
    </row>
    <row r="24" spans="2:17" ht="17.25" customHeight="1" x14ac:dyDescent="0.2">
      <c r="B24" s="11">
        <f>40889+(365*2)</f>
        <v>41619</v>
      </c>
      <c r="C24" s="12" t="s">
        <v>23</v>
      </c>
      <c r="D24" s="15">
        <v>9500000</v>
      </c>
      <c r="E24" s="15">
        <v>9200000</v>
      </c>
      <c r="F24" s="15">
        <v>8500000</v>
      </c>
      <c r="G24" s="16">
        <f>tblData[[#This Row],[금액]]-tblData[[#This Row],[비용]]</f>
        <v>1000000</v>
      </c>
      <c r="H24" s="19">
        <f>DATE(YEAR('데이터 입력'!$B24),MONTH('데이터 입력'!$B24),1)</f>
        <v>41609</v>
      </c>
      <c r="I24" s="58">
        <f>LOOKUP(MONTH('데이터 입력'!$H24),{1,1;2,1;3,1;4,2;5,2;6,2;7,3;8,3;9,3;10,4;11,4;12,4})</f>
        <v>4</v>
      </c>
      <c r="J24" s="13">
        <f>YEAR('데이터 입력'!$B24)</f>
        <v>2013</v>
      </c>
      <c r="K24" s="14">
        <f>MONTH(tblData[[#This Row],[날짜]])</f>
        <v>12</v>
      </c>
      <c r="L24" s="17">
        <f>SUMIFS(tblData[금액],tblData[날짜],"&gt;="&amp;EOMONTH(tblData[[#This Row],[날짜]],-1)+1,tblData[날짜],"&lt;="&amp;EOMONTH(tblData[[#This Row],[날짜]],0))</f>
        <v>9500000</v>
      </c>
      <c r="M24" s="17">
        <f>SUMIFS(tblData[금액],tblData[날짜],"&gt;="&amp;DATE(YEAR(tblData[[#This Row],[날짜]]),1,1),tblData[날짜],"&lt;="&amp;DATE(YEAR(tblData[[#This Row],[날짜]]),12,31),tblData[분기],tblData[[#This Row],[분기]])</f>
        <v>43900000</v>
      </c>
      <c r="N24" s="17">
        <f>SUMIFS(tblData[금액],tblData[날짜],"&gt;="&amp;DATE(YEAR(tblData[[#This Row],[날짜]]),1,1),tblData[날짜],"&lt;="&amp;DATE(YEAR(tblData[[#This Row],[날짜]]),12,31))</f>
        <v>143800000</v>
      </c>
      <c r="O24" s="18">
        <f>IFERROR(TREND($L$6:INDEX($L:$L,ROW(),1),$K$6:INDEX($K:$K,ROW(),1),IF(MONTH(tblData[[#This Row],[날짜]])=12,13,MONTH(tblData[[#This Row],[날짜]])+1)),"")</f>
        <v>20504314.720812183</v>
      </c>
      <c r="P24" s="18">
        <f>IFERROR(TREND($M$6:INDEX($M:$M,ROW(),1),$I$6:INDEX($I:$I,ROW(),1),IF(tblData[[#This Row],[분기]]=4,5,tblData[[#This Row],[분기]]+1)),"")</f>
        <v>41288235.294117644</v>
      </c>
      <c r="Q24" s="18">
        <f>IFERROR(TREND($N$6:INDEX($N:$N,ROW(),1),$J$6:INDEX($J:$J,ROW(),1),tblData[[#This Row],[년]]+1),"")</f>
        <v>143800000</v>
      </c>
    </row>
  </sheetData>
  <phoneticPr fontId="5" type="noConversion"/>
  <printOptions horizontalCentered="1"/>
  <pageMargins left="0.23622047244094491" right="0.23622047244094491" top="0.74803149606299213" bottom="0.74803149606299213" header="0.31496062992125984" footer="0.31496062992125984"/>
  <pageSetup fitToHeight="0" orientation="landscape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  <pageSetUpPr autoPageBreaks="0" fitToPage="1"/>
  </sheetPr>
  <dimension ref="A1:F29"/>
  <sheetViews>
    <sheetView showGridLines="0" zoomScaleNormal="100" workbookViewId="0"/>
  </sheetViews>
  <sheetFormatPr defaultRowHeight="17.25" customHeight="1" x14ac:dyDescent="0.2"/>
  <cols>
    <col min="1" max="1" width="2" style="51" customWidth="1"/>
    <col min="2" max="3" width="16.6640625" style="48" customWidth="1"/>
    <col min="4" max="4" width="16.6640625" style="49" customWidth="1"/>
    <col min="5" max="5" width="39.33203125" style="49" customWidth="1"/>
    <col min="6" max="6" width="27" style="50" customWidth="1"/>
    <col min="7" max="16384" width="9.33203125" style="51"/>
  </cols>
  <sheetData>
    <row r="1" spans="1:6" s="47" customFormat="1" ht="11.25" customHeight="1" x14ac:dyDescent="0.2">
      <c r="B1" s="48"/>
      <c r="C1" s="48"/>
      <c r="D1" s="49"/>
      <c r="E1" s="49"/>
      <c r="F1" s="50"/>
    </row>
    <row r="2" spans="1:6" s="1" customFormat="1" ht="33.75" x14ac:dyDescent="0.2">
      <c r="B2" s="2" t="s">
        <v>54</v>
      </c>
    </row>
    <row r="3" spans="1:6" ht="17.25" customHeight="1" x14ac:dyDescent="0.2">
      <c r="A3" s="47"/>
    </row>
    <row r="4" spans="1:6" ht="17.25" customHeight="1" x14ac:dyDescent="0.2">
      <c r="A4" s="47"/>
    </row>
    <row r="5" spans="1:6" ht="13.5" x14ac:dyDescent="0.2">
      <c r="B5" s="52" t="s">
        <v>13</v>
      </c>
      <c r="C5" s="52" t="s">
        <v>12</v>
      </c>
      <c r="D5" s="52" t="s">
        <v>11</v>
      </c>
      <c r="E5" s="52" t="s">
        <v>6</v>
      </c>
      <c r="F5" s="53" t="s">
        <v>49</v>
      </c>
    </row>
    <row r="6" spans="1:6" ht="11.25" x14ac:dyDescent="0.2">
      <c r="B6" s="54">
        <v>2013</v>
      </c>
      <c r="C6" s="60">
        <v>2</v>
      </c>
      <c r="D6" s="59">
        <v>41365</v>
      </c>
      <c r="E6" s="1" t="s">
        <v>22</v>
      </c>
      <c r="F6" s="62">
        <v>6400000</v>
      </c>
    </row>
    <row r="7" spans="1:6" ht="11.25" x14ac:dyDescent="0.2">
      <c r="B7" s="54"/>
      <c r="C7" s="1"/>
      <c r="D7" s="1"/>
      <c r="E7" s="1" t="s">
        <v>23</v>
      </c>
      <c r="F7" s="62">
        <v>8200000</v>
      </c>
    </row>
    <row r="8" spans="1:6" ht="11.25" x14ac:dyDescent="0.2">
      <c r="B8" s="54"/>
      <c r="C8" s="1"/>
      <c r="D8" s="59">
        <v>41395</v>
      </c>
      <c r="E8" s="1" t="s">
        <v>24</v>
      </c>
      <c r="F8" s="62">
        <v>4400000</v>
      </c>
    </row>
    <row r="9" spans="1:6" ht="11.25" x14ac:dyDescent="0.2">
      <c r="B9" s="54"/>
      <c r="C9" s="1"/>
      <c r="D9" s="1"/>
      <c r="E9" s="1" t="s">
        <v>27</v>
      </c>
      <c r="F9" s="62">
        <v>6200000</v>
      </c>
    </row>
    <row r="10" spans="1:6" ht="11.25" x14ac:dyDescent="0.2">
      <c r="B10" s="54"/>
      <c r="C10" s="1"/>
      <c r="D10" s="1"/>
      <c r="E10" s="1" t="s">
        <v>25</v>
      </c>
      <c r="F10" s="62">
        <v>5400000</v>
      </c>
    </row>
    <row r="11" spans="1:6" ht="11.25" x14ac:dyDescent="0.2">
      <c r="B11" s="54"/>
      <c r="C11" s="1"/>
      <c r="D11" s="1"/>
      <c r="E11" s="1" t="s">
        <v>26</v>
      </c>
      <c r="F11" s="62">
        <v>5800000</v>
      </c>
    </row>
    <row r="12" spans="1:6" ht="11.25" x14ac:dyDescent="0.2">
      <c r="B12" s="54"/>
      <c r="C12" s="1"/>
      <c r="D12" s="59">
        <v>41426</v>
      </c>
      <c r="E12" s="1" t="s">
        <v>22</v>
      </c>
      <c r="F12" s="62">
        <v>6900000</v>
      </c>
    </row>
    <row r="13" spans="1:6" ht="11.25" x14ac:dyDescent="0.2">
      <c r="B13" s="54"/>
      <c r="C13" s="1"/>
      <c r="D13" s="1"/>
      <c r="E13" s="1" t="s">
        <v>23</v>
      </c>
      <c r="F13" s="62">
        <v>7500000</v>
      </c>
    </row>
    <row r="14" spans="1:6" ht="11.25" x14ac:dyDescent="0.2">
      <c r="B14" s="54"/>
      <c r="C14" s="60" t="s">
        <v>51</v>
      </c>
      <c r="D14" s="1"/>
      <c r="E14" s="1"/>
      <c r="F14" s="62">
        <v>50800000</v>
      </c>
    </row>
    <row r="15" spans="1:6" ht="11.25" x14ac:dyDescent="0.2">
      <c r="B15" s="54"/>
      <c r="C15" s="60">
        <v>3</v>
      </c>
      <c r="D15" s="59">
        <v>41456</v>
      </c>
      <c r="E15" s="1" t="s">
        <v>24</v>
      </c>
      <c r="F15" s="62">
        <v>8700000</v>
      </c>
    </row>
    <row r="16" spans="1:6" ht="11.25" x14ac:dyDescent="0.2">
      <c r="B16" s="54"/>
      <c r="C16" s="1"/>
      <c r="D16" s="59">
        <v>41487</v>
      </c>
      <c r="E16" s="1" t="s">
        <v>25</v>
      </c>
      <c r="F16" s="62">
        <v>8500000</v>
      </c>
    </row>
    <row r="17" spans="2:6" ht="11.25" x14ac:dyDescent="0.2">
      <c r="B17" s="54"/>
      <c r="C17" s="1"/>
      <c r="D17" s="1"/>
      <c r="E17" s="1" t="s">
        <v>26</v>
      </c>
      <c r="F17" s="62">
        <v>7900000</v>
      </c>
    </row>
    <row r="18" spans="2:6" ht="11.25" x14ac:dyDescent="0.2">
      <c r="B18" s="54"/>
      <c r="C18" s="1"/>
      <c r="D18" s="59">
        <v>41518</v>
      </c>
      <c r="E18" s="1" t="s">
        <v>24</v>
      </c>
      <c r="F18" s="62">
        <v>9300000</v>
      </c>
    </row>
    <row r="19" spans="2:6" ht="11.25" x14ac:dyDescent="0.2">
      <c r="B19" s="54"/>
      <c r="C19" s="1"/>
      <c r="D19" s="1"/>
      <c r="E19" s="1" t="s">
        <v>27</v>
      </c>
      <c r="F19" s="62">
        <v>9100000</v>
      </c>
    </row>
    <row r="20" spans="2:6" ht="11.25" x14ac:dyDescent="0.2">
      <c r="B20" s="54"/>
      <c r="C20" s="1"/>
      <c r="D20" s="1"/>
      <c r="E20" s="1" t="s">
        <v>23</v>
      </c>
      <c r="F20" s="62">
        <v>5600000</v>
      </c>
    </row>
    <row r="21" spans="2:6" ht="11.25" x14ac:dyDescent="0.2">
      <c r="B21" s="54"/>
      <c r="C21" s="60" t="s">
        <v>52</v>
      </c>
      <c r="D21" s="1"/>
      <c r="E21" s="1"/>
      <c r="F21" s="62">
        <v>49100000</v>
      </c>
    </row>
    <row r="22" spans="2:6" ht="11.25" x14ac:dyDescent="0.2">
      <c r="B22" s="54"/>
      <c r="C22" s="60">
        <v>4</v>
      </c>
      <c r="D22" s="59">
        <v>41548</v>
      </c>
      <c r="E22" s="1" t="s">
        <v>25</v>
      </c>
      <c r="F22" s="62">
        <v>8800000</v>
      </c>
    </row>
    <row r="23" spans="2:6" ht="11.25" x14ac:dyDescent="0.2">
      <c r="B23" s="54"/>
      <c r="C23" s="1"/>
      <c r="D23" s="59">
        <v>41579</v>
      </c>
      <c r="E23" s="1" t="s">
        <v>27</v>
      </c>
      <c r="F23" s="62">
        <v>16500000</v>
      </c>
    </row>
    <row r="24" spans="2:6" ht="11.25" x14ac:dyDescent="0.2">
      <c r="B24" s="54"/>
      <c r="C24" s="1"/>
      <c r="D24" s="1"/>
      <c r="E24" s="1" t="s">
        <v>26</v>
      </c>
      <c r="F24" s="62">
        <v>9100000</v>
      </c>
    </row>
    <row r="25" spans="2:6" ht="11.25" x14ac:dyDescent="0.2">
      <c r="B25" s="54"/>
      <c r="C25" s="1"/>
      <c r="D25" s="59">
        <v>41609</v>
      </c>
      <c r="E25" s="1" t="s">
        <v>23</v>
      </c>
      <c r="F25" s="62">
        <v>9500000</v>
      </c>
    </row>
    <row r="26" spans="2:6" ht="11.25" x14ac:dyDescent="0.2">
      <c r="B26" s="54"/>
      <c r="C26" s="60" t="s">
        <v>53</v>
      </c>
      <c r="D26" s="1"/>
      <c r="E26" s="1"/>
      <c r="F26" s="62">
        <v>43900000</v>
      </c>
    </row>
    <row r="27" spans="2:6" ht="11.25" x14ac:dyDescent="0.2">
      <c r="B27" s="55" t="s">
        <v>50</v>
      </c>
      <c r="C27" s="55"/>
      <c r="D27" s="55"/>
      <c r="E27" s="55"/>
      <c r="F27" s="63">
        <v>143800000</v>
      </c>
    </row>
    <row r="28" spans="2:6" ht="11.25" x14ac:dyDescent="0.2">
      <c r="B28" s="1" t="s">
        <v>3</v>
      </c>
      <c r="C28" s="1"/>
      <c r="D28" s="1"/>
      <c r="E28" s="1"/>
      <c r="F28" s="62">
        <v>143800000</v>
      </c>
    </row>
    <row r="29" spans="2:6" ht="17.25" customHeight="1" x14ac:dyDescent="0.2">
      <c r="B29" s="1"/>
      <c r="C29" s="1"/>
      <c r="D29" s="1"/>
      <c r="E29" s="1"/>
      <c r="F29" s="1"/>
    </row>
  </sheetData>
  <phoneticPr fontId="5" type="noConversion"/>
  <conditionalFormatting sqref="E1:E4 E30:E1048553">
    <cfRule type="expression" dxfId="33" priority="4">
      <formula>(LEN($E1)&gt;0)*(LEN($D2)&gt;0)</formula>
    </cfRule>
  </conditionalFormatting>
  <conditionalFormatting sqref="D1:D5 D26:D1048576 F30:F1048576">
    <cfRule type="expression" dxfId="32" priority="3">
      <formula>(LEN($D1)&gt;0)*(LEN($C1)=0)</formula>
    </cfRule>
  </conditionalFormatting>
  <conditionalFormatting sqref="F1:F5">
    <cfRule type="expression" dxfId="31" priority="1">
      <formula>(LEN($D1)&gt;0)*(LEN($C1)=0)</formula>
    </cfRule>
  </conditionalFormatting>
  <conditionalFormatting sqref="E1048554:E1048576">
    <cfRule type="expression" dxfId="30" priority="10">
      <formula>(LEN($E1048554)&gt;0)*(LEN($D1)&gt;0)</formula>
    </cfRule>
  </conditionalFormatting>
  <printOptions horizontalCentered="1"/>
  <pageMargins left="0.25" right="0.25" top="0.75" bottom="0.75" header="0.3" footer="0.3"/>
  <pageSetup fitToHeight="0" orientation="portrait" horizont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/>
    <pageSetUpPr autoPageBreaks="0" fitToPage="1"/>
  </sheetPr>
  <dimension ref="B1:K43"/>
  <sheetViews>
    <sheetView showGridLines="0" zoomScaleNormal="100" workbookViewId="0">
      <selection activeCell="B2" sqref="B2:J28"/>
    </sheetView>
  </sheetViews>
  <sheetFormatPr defaultRowHeight="11.25" x14ac:dyDescent="0.2"/>
  <cols>
    <col min="1" max="1" width="2" style="1" customWidth="1"/>
    <col min="2" max="2" width="23" style="1" customWidth="1"/>
    <col min="3" max="8" width="16" style="1" customWidth="1"/>
    <col min="9" max="9" width="21.5" style="1" customWidth="1"/>
    <col min="10" max="10" width="16" style="1" customWidth="1"/>
    <col min="11" max="16384" width="9.33203125" style="1"/>
  </cols>
  <sheetData>
    <row r="1" spans="2:11" ht="17.25" x14ac:dyDescent="0.3">
      <c r="K1" s="61" t="str">
        <f ca="1">"TODAY'S DATE: "&amp;UPPER(TEXT(TODAY(),"mmm d, yyyy"))</f>
        <v>TODAY'S DATE: MAR 27, 2025</v>
      </c>
    </row>
    <row r="2" spans="2:11" ht="33.75" x14ac:dyDescent="0.2">
      <c r="B2" s="2" t="s">
        <v>43</v>
      </c>
    </row>
    <row r="3" spans="2:11" ht="27.75" customHeight="1" x14ac:dyDescent="0.3">
      <c r="B3" s="20" t="str">
        <f ca="1">"오늘 날짜: "&amp;UPPER(TEXT(TODAY(),"yyyy년 M월 d일"))</f>
        <v>오늘 날짜: 2025년 3월 27일</v>
      </c>
      <c r="D3" s="21">
        <f ca="1">--TRIM(RIGHT(K1,LEN(K1)-FIND(":",K1)))</f>
        <v>45743</v>
      </c>
    </row>
    <row r="4" spans="2:11" ht="15" customHeight="1" x14ac:dyDescent="0.2"/>
    <row r="5" spans="2:11" ht="18.75" customHeight="1" x14ac:dyDescent="0.2">
      <c r="B5" s="22" t="s">
        <v>28</v>
      </c>
      <c r="C5" s="23" t="s">
        <v>29</v>
      </c>
      <c r="D5" s="23" t="s">
        <v>8</v>
      </c>
      <c r="E5" s="23" t="s">
        <v>30</v>
      </c>
      <c r="F5" s="23" t="s">
        <v>0</v>
      </c>
      <c r="G5" s="23" t="s">
        <v>31</v>
      </c>
      <c r="H5" s="23" t="s">
        <v>32</v>
      </c>
      <c r="I5" s="23" t="s">
        <v>33</v>
      </c>
      <c r="J5" s="24" t="s">
        <v>34</v>
      </c>
    </row>
    <row r="6" spans="2:11" s="10" customFormat="1" ht="15" customHeight="1" x14ac:dyDescent="0.2">
      <c r="B6" s="25" t="s">
        <v>45</v>
      </c>
      <c r="C6" s="26">
        <f ca="1">COUNTIF('데이터 입력'!$B$6:$B$24,"&gt;="&amp;DATE(fYear,MONTH(fDate),1))-COUNTIF('데이터 입력'!$B$6:$B$24,"&gt;"&amp;EOMONTH(fDate,0))</f>
        <v>19</v>
      </c>
      <c r="D6" s="27"/>
      <c r="E6" s="28"/>
      <c r="F6" s="29"/>
      <c r="G6" s="26">
        <f ca="1">COUNTIF(tblData[날짜],"&lt;="&amp;EOMONTH(fDate,0))</f>
        <v>19</v>
      </c>
      <c r="H6" s="30"/>
      <c r="I6" s="30"/>
      <c r="J6" s="31"/>
    </row>
    <row r="7" spans="2:11" s="10" customFormat="1" ht="15" customHeight="1" x14ac:dyDescent="0.2">
      <c r="B7" s="32" t="s">
        <v>38</v>
      </c>
      <c r="C7" s="56">
        <f ca="1">SUMIF(tblData[날짜],"&gt;="&amp;DATE(fYear,MONTH(fDate),1),tblData[금액])-SUMIF(tblData[날짜],"&gt;"&amp;EOMONTH(fDate,0),tblData[금액])</f>
        <v>143800000</v>
      </c>
      <c r="D7" s="56">
        <f ca="1">SUMIF('데이터 입력'!$B$6:$B$24,"&gt;="&amp;DATE(fYear,MONTH(fDate),1),'데이터 입력'!$E$6:$E$24)-SUMIF('데이터 입력'!$B$6:$B$24,"&gt;"&amp;EOMONTH(fDate,0),'데이터 입력'!$E$6:$E$24)</f>
        <v>144650000</v>
      </c>
      <c r="E7" s="56">
        <f ca="1">D7-C7</f>
        <v>850000</v>
      </c>
      <c r="F7" s="33">
        <f ca="1">IFERROR(D7/C7,"-")</f>
        <v>1.0059109874826146</v>
      </c>
      <c r="G7" s="56">
        <f ca="1">SUMIF(tblData[날짜],"&lt;="&amp;EOMONTH(fDate,0),tblData[금액])</f>
        <v>143800000</v>
      </c>
      <c r="H7" s="56">
        <f ca="1">SUMIF(tblData[날짜],"&lt;="&amp;EOMONTH(fDate,0),tblData[계획])</f>
        <v>144650000</v>
      </c>
      <c r="I7" s="56">
        <f ca="1">H7-G7</f>
        <v>850000</v>
      </c>
      <c r="J7" s="34">
        <f ca="1">IFERROR(H7/G7,"")</f>
        <v>1.0059109874826146</v>
      </c>
    </row>
    <row r="8" spans="2:11" s="10" customFormat="1" ht="15" customHeight="1" x14ac:dyDescent="0.2">
      <c r="B8" s="32" t="s">
        <v>10</v>
      </c>
      <c r="C8" s="56">
        <f ca="1">(SUMIF(tblData[날짜],"&gt;="&amp;DATE(fYear,MONTH(fDate),1),tblData[금액])-SUMIF(tblData[날짜],"&gt;"&amp;EOMONTH(fDate,0),tblData[금액]))-(SUMIF(tblData[날짜],"&gt;="&amp;DATE(fYear,MONTH(fDate),1),tblData[비용])-SUMIF(tblData[날짜],"&gt;"&amp;EOMONTH(fDate,0),tblData[비용]))</f>
        <v>27225000</v>
      </c>
      <c r="D8" s="56">
        <f ca="1">(SUMIF('데이터 입력'!$B$6:$B$24,"&gt;="&amp;DATE(fYear,MONTH(fDate),1),'데이터 입력'!$E$6:$E$24)-SUMIF('데이터 입력'!$B$6:$B$24,"&gt;"&amp;EOMONTH(fDate,0),'데이터 입력'!$E$6:$E$24))-(SUMIF('데이터 입력'!$B$6:$B$24,"&gt;="&amp;DATE(fYear,MONTH(fDate),1),'데이터 입력'!$F$6:$F$24)-SUMIF('데이터 입력'!$B$6:$B$24,"&gt;"&amp;EOMONTH(fDate,0),'데이터 입력'!$F$6:$F$24))</f>
        <v>28075000</v>
      </c>
      <c r="E8" s="56">
        <f ca="1">D8-C8</f>
        <v>850000</v>
      </c>
      <c r="F8" s="33">
        <f ca="1">IFERROR(D8/C8,"-")</f>
        <v>1.0312213039485767</v>
      </c>
      <c r="G8" s="56">
        <f ca="1">SUMIF('데이터 입력'!$B$6:$B$24,"&lt;="&amp;EOMONTH(fDate,0),'데이터 입력'!$F$6:$F$24)</f>
        <v>116575000</v>
      </c>
      <c r="H8" s="56">
        <f ca="1">SUMIF(tblData[날짜],"&lt;="&amp;EOMONTH(fDate,0),tblData[비용])</f>
        <v>116575000</v>
      </c>
      <c r="I8" s="56">
        <f ca="1">H8-G8</f>
        <v>0</v>
      </c>
      <c r="J8" s="34">
        <f ca="1">IFERROR(H8/G8,"")</f>
        <v>1</v>
      </c>
    </row>
    <row r="9" spans="2:11" s="10" customFormat="1" ht="15" customHeight="1" x14ac:dyDescent="0.2">
      <c r="B9" s="32" t="s">
        <v>46</v>
      </c>
      <c r="C9" s="33">
        <f ca="1">IFERROR(C8/C7,"-")</f>
        <v>0.18932545201668985</v>
      </c>
      <c r="D9" s="33">
        <f ca="1">IFERROR(D8/D7,"-")</f>
        <v>0.194089180781196</v>
      </c>
      <c r="E9" s="33"/>
      <c r="F9" s="33">
        <f ca="1">IFERROR(F8/F7,"-")</f>
        <v>1.0251615866422767</v>
      </c>
      <c r="G9" s="33">
        <f ca="1">IFERROR(G8/G7,"")</f>
        <v>0.81067454798331018</v>
      </c>
      <c r="H9" s="33">
        <f ca="1">IFERROR(H8/H7,"")</f>
        <v>0.80591081921880403</v>
      </c>
      <c r="I9" s="33"/>
      <c r="J9" s="34">
        <f ca="1">IFERROR(J8/J7,"")</f>
        <v>0.99412374697545813</v>
      </c>
    </row>
    <row r="10" spans="2:11" s="10" customFormat="1" ht="15" customHeight="1" x14ac:dyDescent="0.2">
      <c r="B10" s="32" t="s">
        <v>47</v>
      </c>
      <c r="C10" s="35">
        <f ca="1">COUNTIF(tblData[날짜],"&gt;="&amp;DATE(fYear,MONTH(fDate),1))-COUNTIF(tblData[날짜],"&gt;"&amp;EOMONTH(fDate,0))</f>
        <v>19</v>
      </c>
      <c r="D10" s="36"/>
      <c r="E10" s="36"/>
      <c r="F10" s="36"/>
      <c r="G10" s="35">
        <f ca="1">COUNTIF(tblData[날짜],"&gt;"&amp;EOMONTH(fDate,0))</f>
        <v>0</v>
      </c>
      <c r="H10" s="36"/>
      <c r="I10" s="36"/>
      <c r="J10" s="37"/>
    </row>
    <row r="11" spans="2:11" s="10" customFormat="1" ht="15" customHeight="1" x14ac:dyDescent="0.2">
      <c r="B11" s="32" t="s">
        <v>48</v>
      </c>
      <c r="C11" s="56">
        <f ca="1">IFERROR(C7/C10,"-")</f>
        <v>7568421.0526315793</v>
      </c>
      <c r="D11" s="36"/>
      <c r="E11" s="36"/>
      <c r="F11" s="36"/>
      <c r="G11" s="56" t="str">
        <f ca="1">IFERROR(G7/G10,"-")</f>
        <v>-</v>
      </c>
      <c r="H11" s="36"/>
      <c r="I11" s="36"/>
      <c r="J11" s="37"/>
    </row>
    <row r="12" spans="2:11" ht="27" customHeight="1" x14ac:dyDescent="0.2">
      <c r="B12" s="38"/>
      <c r="C12" s="38"/>
      <c r="D12" s="38"/>
      <c r="E12" s="38"/>
      <c r="F12" s="38"/>
      <c r="G12" s="38"/>
      <c r="H12" s="38"/>
      <c r="I12" s="38"/>
      <c r="J12" s="38"/>
    </row>
    <row r="13" spans="2:11" ht="15.75" customHeight="1" x14ac:dyDescent="0.25">
      <c r="B13" s="39" t="s">
        <v>21</v>
      </c>
      <c r="C13" s="39"/>
      <c r="D13" s="39" t="s">
        <v>35</v>
      </c>
      <c r="E13" s="40"/>
      <c r="F13" s="39" t="s">
        <v>36</v>
      </c>
      <c r="G13" s="40"/>
      <c r="H13" s="39"/>
      <c r="I13" s="39" t="s">
        <v>37</v>
      </c>
      <c r="J13" s="41"/>
    </row>
    <row r="14" spans="2:11" x14ac:dyDescent="0.2">
      <c r="B14" s="42" t="s">
        <v>38</v>
      </c>
      <c r="C14" s="42"/>
      <c r="D14" s="57">
        <f ca="1">TREND(tblData[[월 ]],tblData[MONTH NUM (HIDE)],IF(MONTH(fDate)=12,13,MONTH(fDate)+1))</f>
        <v>17347081.218274113</v>
      </c>
      <c r="E14" s="44"/>
      <c r="F14" s="57">
        <f ca="1">TREND(tblData[[분기 ]],tblData[MONTH NUM (HIDE)],IF(MONTH(fDate)=12,13,MONTH(fDate)+1))</f>
        <v>52048223.350253813</v>
      </c>
      <c r="G14" s="44"/>
      <c r="H14" s="43"/>
      <c r="I14" s="57">
        <f ca="1">TREND(tblData[[년 ]],tblData[MONTH NUM (HIDE)],IF(MONTH(fDate)=12,13,MONTH(fDate)+1))</f>
        <v>143800000</v>
      </c>
      <c r="J14" s="45"/>
    </row>
    <row r="15" spans="2:11" ht="27" customHeight="1" x14ac:dyDescent="0.2"/>
    <row r="16" spans="2:11" s="46" customFormat="1" ht="27" customHeight="1" x14ac:dyDescent="0.2">
      <c r="B16" s="46" t="s">
        <v>44</v>
      </c>
    </row>
    <row r="30" spans="2:6" s="46" customFormat="1" ht="27" customHeight="1" x14ac:dyDescent="0.2">
      <c r="B30" s="46" t="s">
        <v>39</v>
      </c>
      <c r="F30" s="46" t="s">
        <v>40</v>
      </c>
    </row>
    <row r="38" spans="2:10" s="46" customFormat="1" ht="27" customHeight="1" x14ac:dyDescent="0.2">
      <c r="B38" s="46" t="s">
        <v>41</v>
      </c>
      <c r="F38" s="46" t="s">
        <v>42</v>
      </c>
    </row>
    <row r="43" spans="2:10" x14ac:dyDescent="0.2">
      <c r="J43" s="1" t="s">
        <v>2</v>
      </c>
    </row>
  </sheetData>
  <phoneticPr fontId="5" type="noConversion"/>
  <conditionalFormatting sqref="E2">
    <cfRule type="expression" dxfId="2" priority="3">
      <formula>(LEN($E2)&gt;0)*(LEN($D3)&gt;0)</formula>
    </cfRule>
  </conditionalFormatting>
  <conditionalFormatting sqref="D2">
    <cfRule type="expression" dxfId="1" priority="2">
      <formula>(LEN($D2)&gt;0)*(LEN($C2)=0)</formula>
    </cfRule>
  </conditionalFormatting>
  <conditionalFormatting sqref="F2">
    <cfRule type="expression" dxfId="0" priority="1">
      <formula>(LEN($D2)&gt;0)*(LEN($C2)=0)</formula>
    </cfRule>
  </conditionalFormatting>
  <printOptions horizontalCentered="1" verticalCentered="1"/>
  <pageMargins left="0.25" right="0.25" top="0.75" bottom="0.75" header="0.3" footer="0.3"/>
  <pageSetup orientation="landscape" horizont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EE7169-E8EC-4E19-BA48-3F46D4C388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8</vt:i4>
      </vt:variant>
    </vt:vector>
  </HeadingPairs>
  <TitlesOfParts>
    <vt:vector size="11" baseType="lpstr">
      <vt:lpstr>데이터 입력</vt:lpstr>
      <vt:lpstr>판매 보고서</vt:lpstr>
      <vt:lpstr>판매 예측</vt:lpstr>
      <vt:lpstr>fDate</vt:lpstr>
      <vt:lpstr>fDay</vt:lpstr>
      <vt:lpstr>fMonth</vt:lpstr>
      <vt:lpstr>ForecastDate</vt:lpstr>
      <vt:lpstr>fYear</vt:lpstr>
      <vt:lpstr>'판매 예측'!Print_Area</vt:lpstr>
      <vt:lpstr>'데이터 입력'!Print_Titles</vt:lpstr>
      <vt:lpstr>'판매 보고서'!Print_Titles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D502-01</dc:creator>
  <cp:keywords/>
  <cp:lastModifiedBy>D502-01</cp:lastModifiedBy>
  <cp:lastPrinted>2025-03-27T05:58:18Z</cp:lastPrinted>
  <dcterms:created xsi:type="dcterms:W3CDTF">2025-03-27T05:47:55Z</dcterms:created>
  <dcterms:modified xsi:type="dcterms:W3CDTF">2025-03-27T06:15:34Z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TC029300469991</vt:lpwstr>
  </property>
</Properties>
</file>