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28240" yWindow="460" windowWidth="29520" windowHeight="17500" tabRatio="500" activeTab="1"/>
  </bookViews>
  <sheets>
    <sheet name="README" sheetId="7" r:id="rId1"/>
    <sheet name="batch" sheetId="1" r:id="rId2"/>
    <sheet name="forR" sheetId="4" r:id="rId3"/>
    <sheet name="innoculationdensity" sheetId="9" r:id="rId4"/>
    <sheet name="stock densities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4" i="1" l="1"/>
  <c r="AT75" i="1"/>
  <c r="AT76" i="1"/>
  <c r="C23" i="9"/>
  <c r="D23" i="9"/>
  <c r="C26" i="9"/>
  <c r="D26" i="9"/>
  <c r="C20" i="9"/>
  <c r="D20" i="9"/>
  <c r="C47" i="9"/>
  <c r="D47" i="9"/>
  <c r="D48" i="9"/>
  <c r="C17" i="9"/>
  <c r="D17" i="9"/>
  <c r="C41" i="9"/>
  <c r="D41" i="9"/>
  <c r="B155" i="1"/>
  <c r="B156" i="1"/>
  <c r="B157" i="1"/>
  <c r="B158" i="1"/>
  <c r="B159" i="1"/>
  <c r="B160" i="1"/>
  <c r="B161" i="1"/>
  <c r="B162" i="1"/>
  <c r="B163" i="1"/>
  <c r="D155" i="1"/>
  <c r="AO2" i="4"/>
  <c r="F155" i="1"/>
  <c r="F156" i="1"/>
  <c r="F157" i="1"/>
  <c r="F158" i="1"/>
  <c r="F159" i="1"/>
  <c r="F160" i="1"/>
  <c r="F161" i="1"/>
  <c r="F162" i="1"/>
  <c r="F163" i="1"/>
  <c r="H155" i="1"/>
  <c r="AO3" i="4"/>
  <c r="L155" i="1"/>
  <c r="AO4" i="4"/>
  <c r="P155" i="1"/>
  <c r="AO5" i="4"/>
  <c r="T155" i="1"/>
  <c r="AO6" i="4"/>
  <c r="X155" i="1"/>
  <c r="AO7" i="4"/>
  <c r="Z155" i="1"/>
  <c r="Z156" i="1"/>
  <c r="Z157" i="1"/>
  <c r="Z158" i="1"/>
  <c r="Z159" i="1"/>
  <c r="Z160" i="1"/>
  <c r="Z161" i="1"/>
  <c r="Z162" i="1"/>
  <c r="Z163" i="1"/>
  <c r="AB155" i="1"/>
  <c r="AO8" i="4"/>
  <c r="AD155" i="1"/>
  <c r="AD156" i="1"/>
  <c r="AD157" i="1"/>
  <c r="AD158" i="1"/>
  <c r="AD159" i="1"/>
  <c r="AD160" i="1"/>
  <c r="AD161" i="1"/>
  <c r="AD162" i="1"/>
  <c r="AD163" i="1"/>
  <c r="AF155" i="1"/>
  <c r="AO9" i="4"/>
  <c r="AH155" i="1"/>
  <c r="AH156" i="1"/>
  <c r="AH157" i="1"/>
  <c r="AH158" i="1"/>
  <c r="AH159" i="1"/>
  <c r="AH160" i="1"/>
  <c r="AH161" i="1"/>
  <c r="AH162" i="1"/>
  <c r="AH163" i="1"/>
  <c r="AJ155" i="1"/>
  <c r="AO10" i="4"/>
  <c r="AL155" i="1"/>
  <c r="AL156" i="1"/>
  <c r="AL157" i="1"/>
  <c r="AL158" i="1"/>
  <c r="AL159" i="1"/>
  <c r="AL160" i="1"/>
  <c r="AL161" i="1"/>
  <c r="AL162" i="1"/>
  <c r="AL163" i="1"/>
  <c r="AN155" i="1"/>
  <c r="AO11" i="4"/>
  <c r="AP155" i="1"/>
  <c r="AP156" i="1"/>
  <c r="AP157" i="1"/>
  <c r="AP158" i="1"/>
  <c r="AP159" i="1"/>
  <c r="AP160" i="1"/>
  <c r="AP161" i="1"/>
  <c r="AP162" i="1"/>
  <c r="AP163" i="1"/>
  <c r="AR155" i="1"/>
  <c r="AO12" i="4"/>
  <c r="AT155" i="1"/>
  <c r="AT156" i="1"/>
  <c r="AT157" i="1"/>
  <c r="AT158" i="1"/>
  <c r="AT159" i="1"/>
  <c r="AT160" i="1"/>
  <c r="AT161" i="1"/>
  <c r="AT162" i="1"/>
  <c r="AT163" i="1"/>
  <c r="AV155" i="1"/>
  <c r="AO13" i="4"/>
  <c r="B29" i="9"/>
  <c r="B30" i="9"/>
  <c r="B31" i="9"/>
  <c r="C29" i="9"/>
  <c r="D29" i="9"/>
  <c r="B83" i="1"/>
  <c r="B84" i="1"/>
  <c r="B85" i="1"/>
  <c r="B86" i="1"/>
  <c r="B87" i="1"/>
  <c r="B88" i="1"/>
  <c r="B89" i="1"/>
  <c r="B90" i="1"/>
  <c r="B91" i="1"/>
  <c r="D83" i="1"/>
  <c r="AM2" i="4"/>
  <c r="H83" i="1"/>
  <c r="AM3" i="4"/>
  <c r="L83" i="1"/>
  <c r="AM4" i="4"/>
  <c r="P83" i="1"/>
  <c r="AM5" i="4"/>
  <c r="T83" i="1"/>
  <c r="AM6" i="4"/>
  <c r="X83" i="1"/>
  <c r="AM7" i="4"/>
  <c r="AB83" i="1"/>
  <c r="AM8" i="4"/>
  <c r="AH83" i="1"/>
  <c r="AH84" i="1"/>
  <c r="AH86" i="1"/>
  <c r="AH87" i="1"/>
  <c r="AH89" i="1"/>
  <c r="AH90" i="1"/>
  <c r="AJ83" i="1"/>
  <c r="AM10" i="4"/>
  <c r="AL83" i="1"/>
  <c r="AL84" i="1"/>
  <c r="AL85" i="1"/>
  <c r="AL86" i="1"/>
  <c r="AL87" i="1"/>
  <c r="AL88" i="1"/>
  <c r="AL89" i="1"/>
  <c r="AL90" i="1"/>
  <c r="AL91" i="1"/>
  <c r="AN83" i="1"/>
  <c r="AM11" i="4"/>
  <c r="AP83" i="1"/>
  <c r="AP84" i="1"/>
  <c r="AP85" i="1"/>
  <c r="AP86" i="1"/>
  <c r="AP87" i="1"/>
  <c r="AP88" i="1"/>
  <c r="AP89" i="1"/>
  <c r="AP90" i="1"/>
  <c r="AP91" i="1"/>
  <c r="AR83" i="1"/>
  <c r="AM12" i="4"/>
  <c r="AT83" i="1"/>
  <c r="AT84" i="1"/>
  <c r="AT85" i="1"/>
  <c r="AT86" i="1"/>
  <c r="AT87" i="1"/>
  <c r="AT88" i="1"/>
  <c r="AT89" i="1"/>
  <c r="AT90" i="1"/>
  <c r="AT91" i="1"/>
  <c r="AV83" i="1"/>
  <c r="AM13" i="4"/>
  <c r="D119" i="1"/>
  <c r="AK2" i="4"/>
  <c r="H119" i="1"/>
  <c r="AK3" i="4"/>
  <c r="L119" i="1"/>
  <c r="AK4" i="4"/>
  <c r="P119" i="1"/>
  <c r="AK5" i="4"/>
  <c r="T119" i="1"/>
  <c r="AK6" i="4"/>
  <c r="Z119" i="1"/>
  <c r="Z120" i="1"/>
  <c r="Z122" i="1"/>
  <c r="Z123" i="1"/>
  <c r="Z125" i="1"/>
  <c r="Z126" i="1"/>
  <c r="AB119" i="1"/>
  <c r="AK8" i="4"/>
  <c r="AD119" i="1"/>
  <c r="AD120" i="1"/>
  <c r="AD121" i="1"/>
  <c r="AD122" i="1"/>
  <c r="AD123" i="1"/>
  <c r="AD125" i="1"/>
  <c r="AD126" i="1"/>
  <c r="AF119" i="1"/>
  <c r="AK9" i="4"/>
  <c r="AJ119" i="1"/>
  <c r="AK10" i="4"/>
  <c r="AN119" i="1"/>
  <c r="AK11" i="4"/>
  <c r="AR119" i="1"/>
  <c r="AK12" i="4"/>
  <c r="AV119" i="1"/>
  <c r="AK13" i="4"/>
  <c r="AX119" i="1"/>
  <c r="AX120" i="1"/>
  <c r="AX121" i="1"/>
  <c r="AX122" i="1"/>
  <c r="AX123" i="1"/>
  <c r="AX124" i="1"/>
  <c r="AX125" i="1"/>
  <c r="AX126" i="1"/>
  <c r="AX127" i="1"/>
  <c r="AZ119" i="1"/>
  <c r="AK14" i="4"/>
  <c r="BB119" i="1"/>
  <c r="BB120" i="1"/>
  <c r="BB121" i="1"/>
  <c r="BB122" i="1"/>
  <c r="BB123" i="1"/>
  <c r="BB124" i="1"/>
  <c r="BB125" i="1"/>
  <c r="BB126" i="1"/>
  <c r="BB127" i="1"/>
  <c r="BD119" i="1"/>
  <c r="AK15" i="4"/>
  <c r="BF119" i="1"/>
  <c r="BF120" i="1"/>
  <c r="BF121" i="1"/>
  <c r="BF122" i="1"/>
  <c r="BF123" i="1"/>
  <c r="BF124" i="1"/>
  <c r="BF125" i="1"/>
  <c r="BF126" i="1"/>
  <c r="BF127" i="1"/>
  <c r="BH119" i="1"/>
  <c r="AK16" i="4"/>
  <c r="BJ119" i="1"/>
  <c r="BJ120" i="1"/>
  <c r="BJ121" i="1"/>
  <c r="BJ122" i="1"/>
  <c r="BJ123" i="1"/>
  <c r="BJ124" i="1"/>
  <c r="BJ125" i="1"/>
  <c r="BJ126" i="1"/>
  <c r="BJ127" i="1"/>
  <c r="BL119" i="1"/>
  <c r="AK17" i="4"/>
  <c r="BN119" i="1"/>
  <c r="BN120" i="1"/>
  <c r="BN121" i="1"/>
  <c r="BN122" i="1"/>
  <c r="BN123" i="1"/>
  <c r="BN124" i="1"/>
  <c r="BN125" i="1"/>
  <c r="BN126" i="1"/>
  <c r="BN127" i="1"/>
  <c r="BP119" i="1"/>
  <c r="AK18" i="4"/>
  <c r="BR119" i="1"/>
  <c r="BR120" i="1"/>
  <c r="BR121" i="1"/>
  <c r="BR122" i="1"/>
  <c r="BR123" i="1"/>
  <c r="BR124" i="1"/>
  <c r="BR125" i="1"/>
  <c r="BR126" i="1"/>
  <c r="BR127" i="1"/>
  <c r="BT119" i="1"/>
  <c r="AK19" i="4"/>
  <c r="B92" i="1"/>
  <c r="B93" i="1"/>
  <c r="B94" i="1"/>
  <c r="B95" i="1"/>
  <c r="B96" i="1"/>
  <c r="B97" i="1"/>
  <c r="B98" i="1"/>
  <c r="B99" i="1"/>
  <c r="B100" i="1"/>
  <c r="D92" i="1"/>
  <c r="AI2" i="4"/>
  <c r="H92" i="1"/>
  <c r="AI3" i="4"/>
  <c r="L92" i="1"/>
  <c r="AI4" i="4"/>
  <c r="P92" i="1"/>
  <c r="AI5" i="4"/>
  <c r="T92" i="1"/>
  <c r="AI6" i="4"/>
  <c r="X92" i="1"/>
  <c r="AI7" i="4"/>
  <c r="AB92" i="1"/>
  <c r="AI8" i="4"/>
  <c r="AH92" i="1"/>
  <c r="AH93" i="1"/>
  <c r="AH95" i="1"/>
  <c r="AH96" i="1"/>
  <c r="AH98" i="1"/>
  <c r="AH99" i="1"/>
  <c r="AJ92" i="1"/>
  <c r="AI10" i="4"/>
  <c r="AL92" i="1"/>
  <c r="AL93" i="1"/>
  <c r="AL94" i="1"/>
  <c r="AL95" i="1"/>
  <c r="AL96" i="1"/>
  <c r="AL97" i="1"/>
  <c r="AL98" i="1"/>
  <c r="AL99" i="1"/>
  <c r="AL100" i="1"/>
  <c r="AN92" i="1"/>
  <c r="AI11" i="4"/>
  <c r="C38" i="9"/>
  <c r="D38" i="9"/>
  <c r="B146" i="1"/>
  <c r="B147" i="1"/>
  <c r="B148" i="1"/>
  <c r="B149" i="1"/>
  <c r="B150" i="1"/>
  <c r="B151" i="1"/>
  <c r="B152" i="1"/>
  <c r="B153" i="1"/>
  <c r="B154" i="1"/>
  <c r="D146" i="1"/>
  <c r="AG2" i="4"/>
  <c r="F146" i="1"/>
  <c r="F147" i="1"/>
  <c r="F148" i="1"/>
  <c r="F149" i="1"/>
  <c r="F150" i="1"/>
  <c r="F151" i="1"/>
  <c r="F152" i="1"/>
  <c r="F153" i="1"/>
  <c r="F154" i="1"/>
  <c r="H146" i="1"/>
  <c r="AG3" i="4"/>
  <c r="L146" i="1"/>
  <c r="AG4" i="4"/>
  <c r="P146" i="1"/>
  <c r="AG5" i="4"/>
  <c r="T146" i="1"/>
  <c r="AG6" i="4"/>
  <c r="V146" i="1"/>
  <c r="V147" i="1"/>
  <c r="V148" i="1"/>
  <c r="V149" i="1"/>
  <c r="V150" i="1"/>
  <c r="V151" i="1"/>
  <c r="V152" i="1"/>
  <c r="V153" i="1"/>
  <c r="V154" i="1"/>
  <c r="X146" i="1"/>
  <c r="AG7" i="4"/>
  <c r="Z146" i="1"/>
  <c r="Z147" i="1"/>
  <c r="Z148" i="1"/>
  <c r="Z149" i="1"/>
  <c r="Z150" i="1"/>
  <c r="Z151" i="1"/>
  <c r="Z152" i="1"/>
  <c r="Z153" i="1"/>
  <c r="Z154" i="1"/>
  <c r="AB146" i="1"/>
  <c r="AG8" i="4"/>
  <c r="AD146" i="1"/>
  <c r="AD147" i="1"/>
  <c r="AD148" i="1"/>
  <c r="AD149" i="1"/>
  <c r="AD150" i="1"/>
  <c r="AD151" i="1"/>
  <c r="AD152" i="1"/>
  <c r="AD153" i="1"/>
  <c r="AD154" i="1"/>
  <c r="AF146" i="1"/>
  <c r="AG9" i="4"/>
  <c r="AH146" i="1"/>
  <c r="AH147" i="1"/>
  <c r="AH148" i="1"/>
  <c r="AH149" i="1"/>
  <c r="AH150" i="1"/>
  <c r="AH151" i="1"/>
  <c r="AH152" i="1"/>
  <c r="AH153" i="1"/>
  <c r="AH154" i="1"/>
  <c r="AJ146" i="1"/>
  <c r="AG10" i="4"/>
  <c r="AL146" i="1"/>
  <c r="AL147" i="1"/>
  <c r="AL148" i="1"/>
  <c r="AL149" i="1"/>
  <c r="AL150" i="1"/>
  <c r="AL151" i="1"/>
  <c r="AL152" i="1"/>
  <c r="AL153" i="1"/>
  <c r="AL154" i="1"/>
  <c r="AN146" i="1"/>
  <c r="AG11" i="4"/>
  <c r="AP146" i="1"/>
  <c r="AP147" i="1"/>
  <c r="AP148" i="1"/>
  <c r="AP149" i="1"/>
  <c r="AP150" i="1"/>
  <c r="AP151" i="1"/>
  <c r="AP152" i="1"/>
  <c r="AP153" i="1"/>
  <c r="AP154" i="1"/>
  <c r="AR146" i="1"/>
  <c r="AG12" i="4"/>
  <c r="AT146" i="1"/>
  <c r="AT147" i="1"/>
  <c r="AT148" i="1"/>
  <c r="AT149" i="1"/>
  <c r="AT150" i="1"/>
  <c r="AT151" i="1"/>
  <c r="AT152" i="1"/>
  <c r="AT153" i="1"/>
  <c r="AT154" i="1"/>
  <c r="AV146" i="1"/>
  <c r="AG13" i="4"/>
  <c r="C11" i="9"/>
  <c r="D11" i="9"/>
  <c r="B65" i="1"/>
  <c r="B66" i="1"/>
  <c r="B67" i="1"/>
  <c r="B68" i="1"/>
  <c r="B69" i="1"/>
  <c r="B70" i="1"/>
  <c r="B71" i="1"/>
  <c r="B72" i="1"/>
  <c r="B73" i="1"/>
  <c r="D65" i="1"/>
  <c r="AE2" i="4"/>
  <c r="H65" i="1"/>
  <c r="AE3" i="4"/>
  <c r="L65" i="1"/>
  <c r="AE4" i="4"/>
  <c r="P65" i="1"/>
  <c r="AE5" i="4"/>
  <c r="T65" i="1"/>
  <c r="AE6" i="4"/>
  <c r="X65" i="1"/>
  <c r="AE7" i="4"/>
  <c r="AB65" i="1"/>
  <c r="AE8" i="4"/>
  <c r="AF65" i="1"/>
  <c r="AE9" i="4"/>
  <c r="AJ65" i="1"/>
  <c r="AE10" i="4"/>
  <c r="AL65" i="1"/>
  <c r="AL66" i="1"/>
  <c r="AL67" i="1"/>
  <c r="AL68" i="1"/>
  <c r="AL69" i="1"/>
  <c r="AL70" i="1"/>
  <c r="AL71" i="1"/>
  <c r="AL72" i="1"/>
  <c r="AL73" i="1"/>
  <c r="AN65" i="1"/>
  <c r="AE11" i="4"/>
  <c r="AP65" i="1"/>
  <c r="AP66" i="1"/>
  <c r="AP67" i="1"/>
  <c r="AP68" i="1"/>
  <c r="AP69" i="1"/>
  <c r="AP70" i="1"/>
  <c r="AP71" i="1"/>
  <c r="AP72" i="1"/>
  <c r="AP73" i="1"/>
  <c r="AR65" i="1"/>
  <c r="AE12" i="4"/>
  <c r="AT65" i="1"/>
  <c r="AT66" i="1"/>
  <c r="AT67" i="1"/>
  <c r="AT68" i="1"/>
  <c r="AT69" i="1"/>
  <c r="AT70" i="1"/>
  <c r="AT71" i="1"/>
  <c r="AT72" i="1"/>
  <c r="AT73" i="1"/>
  <c r="AV65" i="1"/>
  <c r="AE13" i="4"/>
  <c r="AX65" i="1"/>
  <c r="AX66" i="1"/>
  <c r="AX67" i="1"/>
  <c r="AX68" i="1"/>
  <c r="AX69" i="1"/>
  <c r="AX70" i="1"/>
  <c r="AX71" i="1"/>
  <c r="AX72" i="1"/>
  <c r="AX73" i="1"/>
  <c r="AZ65" i="1"/>
  <c r="AE14" i="4"/>
  <c r="BB65" i="1"/>
  <c r="BB66" i="1"/>
  <c r="BB67" i="1"/>
  <c r="BB68" i="1"/>
  <c r="BB69" i="1"/>
  <c r="BB70" i="1"/>
  <c r="BB71" i="1"/>
  <c r="BB72" i="1"/>
  <c r="BB73" i="1"/>
  <c r="BD65" i="1"/>
  <c r="AE15" i="4"/>
  <c r="B137" i="1"/>
  <c r="B138" i="1"/>
  <c r="B139" i="1"/>
  <c r="B140" i="1"/>
  <c r="B141" i="1"/>
  <c r="B142" i="1"/>
  <c r="B143" i="1"/>
  <c r="B144" i="1"/>
  <c r="B145" i="1"/>
  <c r="D137" i="1"/>
  <c r="AC2" i="4"/>
  <c r="H137" i="1"/>
  <c r="AC3" i="4"/>
  <c r="L137" i="1"/>
  <c r="AC4" i="4"/>
  <c r="P137" i="1"/>
  <c r="AC5" i="4"/>
  <c r="T137" i="1"/>
  <c r="AC6" i="4"/>
  <c r="X137" i="1"/>
  <c r="AC7" i="4"/>
  <c r="AB137" i="1"/>
  <c r="AC8" i="4"/>
  <c r="AF137" i="1"/>
  <c r="AC9" i="4"/>
  <c r="AJ137" i="1"/>
  <c r="AC10" i="4"/>
  <c r="AN137" i="1"/>
  <c r="AC11" i="4"/>
  <c r="AR137" i="1"/>
  <c r="AC12" i="4"/>
  <c r="AT137" i="1"/>
  <c r="AT138" i="1"/>
  <c r="AT139" i="1"/>
  <c r="AT140" i="1"/>
  <c r="AT141" i="1"/>
  <c r="AT142" i="1"/>
  <c r="AT143" i="1"/>
  <c r="AT144" i="1"/>
  <c r="AT145" i="1"/>
  <c r="AV137" i="1"/>
  <c r="AC13" i="4"/>
  <c r="AX137" i="1"/>
  <c r="AX138" i="1"/>
  <c r="AX139" i="1"/>
  <c r="AX140" i="1"/>
  <c r="AX141" i="1"/>
  <c r="AX142" i="1"/>
  <c r="AX143" i="1"/>
  <c r="AX144" i="1"/>
  <c r="AX145" i="1"/>
  <c r="AZ137" i="1"/>
  <c r="AC14" i="4"/>
  <c r="BB137" i="1"/>
  <c r="BB138" i="1"/>
  <c r="BB139" i="1"/>
  <c r="BB140" i="1"/>
  <c r="BB141" i="1"/>
  <c r="BB142" i="1"/>
  <c r="BB143" i="1"/>
  <c r="BB144" i="1"/>
  <c r="BB145" i="1"/>
  <c r="BD137" i="1"/>
  <c r="AC15" i="4"/>
  <c r="BF137" i="1"/>
  <c r="BF138" i="1"/>
  <c r="BF139" i="1"/>
  <c r="BF140" i="1"/>
  <c r="BF141" i="1"/>
  <c r="BF142" i="1"/>
  <c r="BF143" i="1"/>
  <c r="BF144" i="1"/>
  <c r="BF145" i="1"/>
  <c r="BH137" i="1"/>
  <c r="AC16" i="4"/>
  <c r="BJ137" i="1"/>
  <c r="BJ138" i="1"/>
  <c r="BJ139" i="1"/>
  <c r="BJ140" i="1"/>
  <c r="BJ141" i="1"/>
  <c r="BJ142" i="1"/>
  <c r="BJ143" i="1"/>
  <c r="BJ144" i="1"/>
  <c r="BJ145" i="1"/>
  <c r="BL137" i="1"/>
  <c r="AC17" i="4"/>
  <c r="BN137" i="1"/>
  <c r="BN138" i="1"/>
  <c r="BN139" i="1"/>
  <c r="BN140" i="1"/>
  <c r="BN141" i="1"/>
  <c r="BN142" i="1"/>
  <c r="BN143" i="1"/>
  <c r="BN144" i="1"/>
  <c r="BN145" i="1"/>
  <c r="BP137" i="1"/>
  <c r="AC18" i="4"/>
  <c r="BR137" i="1"/>
  <c r="BR138" i="1"/>
  <c r="BR139" i="1"/>
  <c r="BR140" i="1"/>
  <c r="BR141" i="1"/>
  <c r="BR142" i="1"/>
  <c r="BR143" i="1"/>
  <c r="BR144" i="1"/>
  <c r="BR145" i="1"/>
  <c r="BT137" i="1"/>
  <c r="AC19" i="4"/>
  <c r="H56" i="1"/>
  <c r="AA3" i="4"/>
  <c r="L56" i="1"/>
  <c r="AA4" i="4"/>
  <c r="P56" i="1"/>
  <c r="AA5" i="4"/>
  <c r="T56" i="1"/>
  <c r="AA6" i="4"/>
  <c r="X56" i="1"/>
  <c r="AA7" i="4"/>
  <c r="AB56" i="1"/>
  <c r="AA8" i="4"/>
  <c r="AF56" i="1"/>
  <c r="AA9" i="4"/>
  <c r="B56" i="1"/>
  <c r="B57" i="1"/>
  <c r="B58" i="1"/>
  <c r="B59" i="1"/>
  <c r="B60" i="1"/>
  <c r="B61" i="1"/>
  <c r="B62" i="1"/>
  <c r="B63" i="1"/>
  <c r="B64" i="1"/>
  <c r="D56" i="1"/>
  <c r="AA2" i="4"/>
  <c r="C43" i="9"/>
  <c r="D43" i="9"/>
  <c r="B164" i="1"/>
  <c r="B165" i="1"/>
  <c r="B166" i="1"/>
  <c r="B167" i="1"/>
  <c r="B168" i="1"/>
  <c r="B169" i="1"/>
  <c r="B170" i="1"/>
  <c r="B171" i="1"/>
  <c r="B172" i="1"/>
  <c r="D164" i="1"/>
  <c r="Y2" i="4"/>
  <c r="F164" i="1"/>
  <c r="F165" i="1"/>
  <c r="F167" i="1"/>
  <c r="F168" i="1"/>
  <c r="F170" i="1"/>
  <c r="F171" i="1"/>
  <c r="H164" i="1"/>
  <c r="Y3" i="4"/>
  <c r="L164" i="1"/>
  <c r="Y4" i="4"/>
  <c r="P164" i="1"/>
  <c r="Y5" i="4"/>
  <c r="T164" i="1"/>
  <c r="Y6" i="4"/>
  <c r="X164" i="1"/>
  <c r="Y7" i="4"/>
  <c r="AB164" i="1"/>
  <c r="Y8" i="4"/>
  <c r="AD164" i="1"/>
  <c r="AD165" i="1"/>
  <c r="AD166" i="1"/>
  <c r="AD167" i="1"/>
  <c r="AD168" i="1"/>
  <c r="AD169" i="1"/>
  <c r="AD170" i="1"/>
  <c r="AD171" i="1"/>
  <c r="AD172" i="1"/>
  <c r="AF164" i="1"/>
  <c r="Y9" i="4"/>
  <c r="AH164" i="1"/>
  <c r="AH165" i="1"/>
  <c r="AH166" i="1"/>
  <c r="AH167" i="1"/>
  <c r="AH168" i="1"/>
  <c r="AH169" i="1"/>
  <c r="AH170" i="1"/>
  <c r="AH171" i="1"/>
  <c r="AH172" i="1"/>
  <c r="AJ164" i="1"/>
  <c r="Y10" i="4"/>
  <c r="AL164" i="1"/>
  <c r="AL165" i="1"/>
  <c r="AL166" i="1"/>
  <c r="AL167" i="1"/>
  <c r="AL168" i="1"/>
  <c r="AL169" i="1"/>
  <c r="AL170" i="1"/>
  <c r="AL171" i="1"/>
  <c r="AL172" i="1"/>
  <c r="AN164" i="1"/>
  <c r="Y11" i="4"/>
  <c r="AP164" i="1"/>
  <c r="AP165" i="1"/>
  <c r="AP166" i="1"/>
  <c r="AP167" i="1"/>
  <c r="AP168" i="1"/>
  <c r="AP169" i="1"/>
  <c r="AP170" i="1"/>
  <c r="AP171" i="1"/>
  <c r="AP172" i="1"/>
  <c r="AR164" i="1"/>
  <c r="Y12" i="4"/>
  <c r="AT164" i="1"/>
  <c r="AT165" i="1"/>
  <c r="AT166" i="1"/>
  <c r="AT167" i="1"/>
  <c r="AT168" i="1"/>
  <c r="AT169" i="1"/>
  <c r="AT170" i="1"/>
  <c r="AT171" i="1"/>
  <c r="AT172" i="1"/>
  <c r="AV164" i="1"/>
  <c r="Y13" i="4"/>
  <c r="AX164" i="1"/>
  <c r="AX165" i="1"/>
  <c r="AX166" i="1"/>
  <c r="AX167" i="1"/>
  <c r="AX168" i="1"/>
  <c r="AX169" i="1"/>
  <c r="AX170" i="1"/>
  <c r="AX171" i="1"/>
  <c r="AX172" i="1"/>
  <c r="AZ164" i="1"/>
  <c r="Y14" i="4"/>
  <c r="BB164" i="1"/>
  <c r="BB165" i="1"/>
  <c r="BB166" i="1"/>
  <c r="BB167" i="1"/>
  <c r="BB168" i="1"/>
  <c r="BB169" i="1"/>
  <c r="BB170" i="1"/>
  <c r="BB171" i="1"/>
  <c r="BB172" i="1"/>
  <c r="BD164" i="1"/>
  <c r="Y15" i="4"/>
  <c r="BF164" i="1"/>
  <c r="BF165" i="1"/>
  <c r="BF166" i="1"/>
  <c r="BF167" i="1"/>
  <c r="BF168" i="1"/>
  <c r="BF169" i="1"/>
  <c r="BF170" i="1"/>
  <c r="BF171" i="1"/>
  <c r="BF172" i="1"/>
  <c r="BH164" i="1"/>
  <c r="Y16" i="4"/>
  <c r="BJ164" i="1"/>
  <c r="BJ165" i="1"/>
  <c r="BJ166" i="1"/>
  <c r="BJ167" i="1"/>
  <c r="BJ168" i="1"/>
  <c r="BJ169" i="1"/>
  <c r="BJ170" i="1"/>
  <c r="BJ171" i="1"/>
  <c r="BJ172" i="1"/>
  <c r="BL164" i="1"/>
  <c r="Y17" i="4"/>
  <c r="L47" i="1"/>
  <c r="W4" i="4"/>
  <c r="H47" i="1"/>
  <c r="W3" i="4"/>
  <c r="C8" i="9"/>
  <c r="D8" i="9"/>
  <c r="B47" i="1"/>
  <c r="B48" i="1"/>
  <c r="B49" i="1"/>
  <c r="B50" i="1"/>
  <c r="B51" i="1"/>
  <c r="B52" i="1"/>
  <c r="B53" i="1"/>
  <c r="B54" i="1"/>
  <c r="B55" i="1"/>
  <c r="D47" i="1"/>
  <c r="W2" i="4"/>
  <c r="P47" i="1"/>
  <c r="W5" i="4"/>
  <c r="T47" i="1"/>
  <c r="W6" i="4"/>
  <c r="X47" i="1"/>
  <c r="W7" i="4"/>
  <c r="AB47" i="1"/>
  <c r="W8" i="4"/>
  <c r="AF47" i="1"/>
  <c r="W9" i="4"/>
  <c r="AJ47" i="1"/>
  <c r="W10" i="4"/>
  <c r="AN47" i="1"/>
  <c r="W11" i="4"/>
  <c r="AP47" i="1"/>
  <c r="AP48" i="1"/>
  <c r="AP49" i="1"/>
  <c r="AP50" i="1"/>
  <c r="AP51" i="1"/>
  <c r="AP52" i="1"/>
  <c r="AP53" i="1"/>
  <c r="AP54" i="1"/>
  <c r="AP55" i="1"/>
  <c r="AR47" i="1"/>
  <c r="W12" i="4"/>
  <c r="AT47" i="1"/>
  <c r="AT48" i="1"/>
  <c r="AT49" i="1"/>
  <c r="AT50" i="1"/>
  <c r="AT51" i="1"/>
  <c r="AT52" i="1"/>
  <c r="AT53" i="1"/>
  <c r="AT54" i="1"/>
  <c r="AT55" i="1"/>
  <c r="AV47" i="1"/>
  <c r="W13" i="4"/>
  <c r="AX47" i="1"/>
  <c r="AX48" i="1"/>
  <c r="AX49" i="1"/>
  <c r="AX50" i="1"/>
  <c r="AX51" i="1"/>
  <c r="AX52" i="1"/>
  <c r="AX53" i="1"/>
  <c r="AX54" i="1"/>
  <c r="AX55" i="1"/>
  <c r="AZ47" i="1"/>
  <c r="W14" i="4"/>
  <c r="BB47" i="1"/>
  <c r="BB48" i="1"/>
  <c r="BB49" i="1"/>
  <c r="BB50" i="1"/>
  <c r="BB51" i="1"/>
  <c r="BB52" i="1"/>
  <c r="BB53" i="1"/>
  <c r="BB54" i="1"/>
  <c r="BB55" i="1"/>
  <c r="BD47" i="1"/>
  <c r="W15" i="4"/>
  <c r="BF47" i="1"/>
  <c r="BF48" i="1"/>
  <c r="BF49" i="1"/>
  <c r="BF50" i="1"/>
  <c r="BF51" i="1"/>
  <c r="BF52" i="1"/>
  <c r="BF53" i="1"/>
  <c r="BF54" i="1"/>
  <c r="BF55" i="1"/>
  <c r="BH47" i="1"/>
  <c r="W16" i="4"/>
  <c r="BJ47" i="1"/>
  <c r="BJ48" i="1"/>
  <c r="BJ49" i="1"/>
  <c r="BJ50" i="1"/>
  <c r="BJ51" i="1"/>
  <c r="BJ52" i="1"/>
  <c r="BJ53" i="1"/>
  <c r="BJ54" i="1"/>
  <c r="BJ55" i="1"/>
  <c r="BL47" i="1"/>
  <c r="W17" i="4"/>
  <c r="BN47" i="1"/>
  <c r="BN48" i="1"/>
  <c r="BN49" i="1"/>
  <c r="BN50" i="1"/>
  <c r="BN51" i="1"/>
  <c r="BN52" i="1"/>
  <c r="BN53" i="1"/>
  <c r="BN54" i="1"/>
  <c r="BN55" i="1"/>
  <c r="BP47" i="1"/>
  <c r="W18" i="4"/>
  <c r="BR47" i="1"/>
  <c r="BR48" i="1"/>
  <c r="BR49" i="1"/>
  <c r="BR50" i="1"/>
  <c r="BR51" i="1"/>
  <c r="BR52" i="1"/>
  <c r="BR53" i="1"/>
  <c r="BR54" i="1"/>
  <c r="BR55" i="1"/>
  <c r="BT47" i="1"/>
  <c r="W19" i="4"/>
  <c r="D110" i="1"/>
  <c r="U2" i="4"/>
  <c r="H110" i="1"/>
  <c r="U3" i="4"/>
  <c r="L110" i="1"/>
  <c r="U4" i="4"/>
  <c r="P110" i="1"/>
  <c r="U5" i="4"/>
  <c r="T110" i="1"/>
  <c r="U6" i="4"/>
  <c r="Z110" i="1"/>
  <c r="Z111" i="1"/>
  <c r="Z113" i="1"/>
  <c r="Z114" i="1"/>
  <c r="Z116" i="1"/>
  <c r="Z117" i="1"/>
  <c r="Z118" i="1"/>
  <c r="AB110" i="1"/>
  <c r="U8" i="4"/>
  <c r="AD110" i="1"/>
  <c r="AD111" i="1"/>
  <c r="AD112" i="1"/>
  <c r="AD113" i="1"/>
  <c r="AD114" i="1"/>
  <c r="AD115" i="1"/>
  <c r="AD116" i="1"/>
  <c r="AD117" i="1"/>
  <c r="AD118" i="1"/>
  <c r="AF110" i="1"/>
  <c r="U9" i="4"/>
  <c r="AJ110" i="1"/>
  <c r="U10" i="4"/>
  <c r="AN110" i="1"/>
  <c r="U11" i="4"/>
  <c r="AR110" i="1"/>
  <c r="U12" i="4"/>
  <c r="AV110" i="1"/>
  <c r="U13" i="4"/>
  <c r="AZ110" i="1"/>
  <c r="U14" i="4"/>
  <c r="BB116" i="1"/>
  <c r="BB117" i="1"/>
  <c r="BB118" i="1"/>
  <c r="BD110" i="1"/>
  <c r="U15" i="4"/>
  <c r="BF110" i="1"/>
  <c r="BF111" i="1"/>
  <c r="BF112" i="1"/>
  <c r="BF113" i="1"/>
  <c r="BF114" i="1"/>
  <c r="BF115" i="1"/>
  <c r="BF116" i="1"/>
  <c r="BF117" i="1"/>
  <c r="BF118" i="1"/>
  <c r="BH110" i="1"/>
  <c r="U16" i="4"/>
  <c r="BJ110" i="1"/>
  <c r="BJ111" i="1"/>
  <c r="BJ112" i="1"/>
  <c r="BJ113" i="1"/>
  <c r="BJ114" i="1"/>
  <c r="BJ115" i="1"/>
  <c r="BJ116" i="1"/>
  <c r="BJ117" i="1"/>
  <c r="BJ118" i="1"/>
  <c r="BL110" i="1"/>
  <c r="U17" i="4"/>
  <c r="BN110" i="1"/>
  <c r="BN111" i="1"/>
  <c r="BN112" i="1"/>
  <c r="BN113" i="1"/>
  <c r="BN114" i="1"/>
  <c r="BN115" i="1"/>
  <c r="BN116" i="1"/>
  <c r="BN117" i="1"/>
  <c r="BN118" i="1"/>
  <c r="BP110" i="1"/>
  <c r="U18" i="4"/>
  <c r="BR110" i="1"/>
  <c r="BR111" i="1"/>
  <c r="BR112" i="1"/>
  <c r="BR113" i="1"/>
  <c r="BR114" i="1"/>
  <c r="BR115" i="1"/>
  <c r="BR116" i="1"/>
  <c r="BR117" i="1"/>
  <c r="BR118" i="1"/>
  <c r="BT110" i="1"/>
  <c r="U19" i="4"/>
  <c r="BV110" i="1"/>
  <c r="BV111" i="1"/>
  <c r="BV112" i="1"/>
  <c r="BV113" i="1"/>
  <c r="BV114" i="1"/>
  <c r="BV115" i="1"/>
  <c r="BV116" i="1"/>
  <c r="BV117" i="1"/>
  <c r="BV118" i="1"/>
  <c r="BX110" i="1"/>
  <c r="U20" i="4"/>
  <c r="BZ110" i="1"/>
  <c r="BZ111" i="1"/>
  <c r="BZ112" i="1"/>
  <c r="BZ113" i="1"/>
  <c r="BZ114" i="1"/>
  <c r="BZ115" i="1"/>
  <c r="BZ116" i="1"/>
  <c r="BZ117" i="1"/>
  <c r="BZ118" i="1"/>
  <c r="CB110" i="1"/>
  <c r="U21" i="4"/>
  <c r="CD110" i="1"/>
  <c r="CD111" i="1"/>
  <c r="CD112" i="1"/>
  <c r="CD113" i="1"/>
  <c r="CD114" i="1"/>
  <c r="CD115" i="1"/>
  <c r="CD116" i="1"/>
  <c r="CD117" i="1"/>
  <c r="CD118" i="1"/>
  <c r="CF110" i="1"/>
  <c r="U22" i="4"/>
  <c r="CH110" i="1"/>
  <c r="CH111" i="1"/>
  <c r="CH112" i="1"/>
  <c r="CH113" i="1"/>
  <c r="CH114" i="1"/>
  <c r="CH115" i="1"/>
  <c r="CH116" i="1"/>
  <c r="CH117" i="1"/>
  <c r="CH118" i="1"/>
  <c r="CJ110" i="1"/>
  <c r="U23" i="4"/>
  <c r="CL110" i="1"/>
  <c r="CL111" i="1"/>
  <c r="CL112" i="1"/>
  <c r="CL113" i="1"/>
  <c r="CL114" i="1"/>
  <c r="CL115" i="1"/>
  <c r="CL116" i="1"/>
  <c r="CL117" i="1"/>
  <c r="CL118" i="1"/>
  <c r="CN110" i="1"/>
  <c r="U24" i="4"/>
  <c r="CP110" i="1"/>
  <c r="CP111" i="1"/>
  <c r="CP112" i="1"/>
  <c r="CP113" i="1"/>
  <c r="CP114" i="1"/>
  <c r="CP115" i="1"/>
  <c r="CP116" i="1"/>
  <c r="CP117" i="1"/>
  <c r="CP118" i="1"/>
  <c r="CR110" i="1"/>
  <c r="U25" i="4"/>
  <c r="L38" i="1"/>
  <c r="S4" i="4"/>
  <c r="H38" i="1"/>
  <c r="S3" i="4"/>
  <c r="B38" i="1"/>
  <c r="B39" i="1"/>
  <c r="B40" i="1"/>
  <c r="B41" i="1"/>
  <c r="B42" i="1"/>
  <c r="B43" i="1"/>
  <c r="B44" i="1"/>
  <c r="B45" i="1"/>
  <c r="B46" i="1"/>
  <c r="D38" i="1"/>
  <c r="S2" i="4"/>
  <c r="P38" i="1"/>
  <c r="S5" i="4"/>
  <c r="T38" i="1"/>
  <c r="S6" i="4"/>
  <c r="X38" i="1"/>
  <c r="S7" i="4"/>
  <c r="AB38" i="1"/>
  <c r="S8" i="4"/>
  <c r="AF38" i="1"/>
  <c r="S9" i="4"/>
  <c r="AJ38" i="1"/>
  <c r="S10" i="4"/>
  <c r="AN38" i="1"/>
  <c r="S11" i="4"/>
  <c r="C45" i="9"/>
  <c r="D45" i="9"/>
  <c r="D46" i="9"/>
  <c r="B173" i="1"/>
  <c r="B174" i="1"/>
  <c r="B175" i="1"/>
  <c r="B176" i="1"/>
  <c r="B177" i="1"/>
  <c r="B178" i="1"/>
  <c r="B179" i="1"/>
  <c r="B180" i="1"/>
  <c r="B181" i="1"/>
  <c r="D173" i="1"/>
  <c r="Q2" i="4"/>
  <c r="H173" i="1"/>
  <c r="Q3" i="4"/>
  <c r="L173" i="1"/>
  <c r="Q4" i="4"/>
  <c r="P173" i="1"/>
  <c r="Q5" i="4"/>
  <c r="T173" i="1"/>
  <c r="Q6" i="4"/>
  <c r="X173" i="1"/>
  <c r="Q7" i="4"/>
  <c r="AB173" i="1"/>
  <c r="Q8" i="4"/>
  <c r="AD173" i="1"/>
  <c r="AD174" i="1"/>
  <c r="AD175" i="1"/>
  <c r="AD176" i="1"/>
  <c r="AD177" i="1"/>
  <c r="AD178" i="1"/>
  <c r="AD179" i="1"/>
  <c r="AD180" i="1"/>
  <c r="AD181" i="1"/>
  <c r="AF173" i="1"/>
  <c r="Q9" i="4"/>
  <c r="AH173" i="1"/>
  <c r="AH174" i="1"/>
  <c r="AH175" i="1"/>
  <c r="AH176" i="1"/>
  <c r="AH177" i="1"/>
  <c r="AH178" i="1"/>
  <c r="AH179" i="1"/>
  <c r="AH180" i="1"/>
  <c r="AH181" i="1"/>
  <c r="AJ173" i="1"/>
  <c r="Q10" i="4"/>
  <c r="AL173" i="1"/>
  <c r="AL174" i="1"/>
  <c r="AL175" i="1"/>
  <c r="AL176" i="1"/>
  <c r="AL177" i="1"/>
  <c r="AL178" i="1"/>
  <c r="AL179" i="1"/>
  <c r="AL180" i="1"/>
  <c r="AL181" i="1"/>
  <c r="AN173" i="1"/>
  <c r="Q11" i="4"/>
  <c r="AP173" i="1"/>
  <c r="AP174" i="1"/>
  <c r="AP175" i="1"/>
  <c r="AP176" i="1"/>
  <c r="AP177" i="1"/>
  <c r="AP178" i="1"/>
  <c r="AP179" i="1"/>
  <c r="AP180" i="1"/>
  <c r="AP181" i="1"/>
  <c r="AR173" i="1"/>
  <c r="Q12" i="4"/>
  <c r="AT173" i="1"/>
  <c r="AT174" i="1"/>
  <c r="AT175" i="1"/>
  <c r="AT176" i="1"/>
  <c r="AT177" i="1"/>
  <c r="AT178" i="1"/>
  <c r="AT179" i="1"/>
  <c r="AT180" i="1"/>
  <c r="AT181" i="1"/>
  <c r="AV173" i="1"/>
  <c r="Q13" i="4"/>
  <c r="AX173" i="1"/>
  <c r="AX174" i="1"/>
  <c r="AX175" i="1"/>
  <c r="AX176" i="1"/>
  <c r="AX177" i="1"/>
  <c r="AX178" i="1"/>
  <c r="AX179" i="1"/>
  <c r="AX180" i="1"/>
  <c r="AX181" i="1"/>
  <c r="AZ173" i="1"/>
  <c r="Q14" i="4"/>
  <c r="L29" i="1"/>
  <c r="O4" i="4"/>
  <c r="H29" i="1"/>
  <c r="O3" i="4"/>
  <c r="C5" i="9"/>
  <c r="D5" i="9"/>
  <c r="B29" i="1"/>
  <c r="B30" i="1"/>
  <c r="B31" i="1"/>
  <c r="B32" i="1"/>
  <c r="B33" i="1"/>
  <c r="B34" i="1"/>
  <c r="B35" i="1"/>
  <c r="B36" i="1"/>
  <c r="B37" i="1"/>
  <c r="D29" i="1"/>
  <c r="O2" i="4"/>
  <c r="P29" i="1"/>
  <c r="O5" i="4"/>
  <c r="T29" i="1"/>
  <c r="O6" i="4"/>
  <c r="X29" i="1"/>
  <c r="O7" i="4"/>
  <c r="AB29" i="1"/>
  <c r="O8" i="4"/>
  <c r="AF29" i="1"/>
  <c r="O9" i="4"/>
  <c r="AH29" i="1"/>
  <c r="AH30" i="1"/>
  <c r="AH31" i="1"/>
  <c r="AH32" i="1"/>
  <c r="AH33" i="1"/>
  <c r="AH34" i="1"/>
  <c r="AH35" i="1"/>
  <c r="AH36" i="1"/>
  <c r="AH37" i="1"/>
  <c r="AJ29" i="1"/>
  <c r="O10" i="4"/>
  <c r="AL29" i="1"/>
  <c r="AL30" i="1"/>
  <c r="AL31" i="1"/>
  <c r="AL32" i="1"/>
  <c r="AL33" i="1"/>
  <c r="AL34" i="1"/>
  <c r="AL35" i="1"/>
  <c r="AL36" i="1"/>
  <c r="AL37" i="1"/>
  <c r="AN29" i="1"/>
  <c r="O11" i="4"/>
  <c r="AP29" i="1"/>
  <c r="AP30" i="1"/>
  <c r="AP31" i="1"/>
  <c r="AP32" i="1"/>
  <c r="AP33" i="1"/>
  <c r="AP34" i="1"/>
  <c r="AP35" i="1"/>
  <c r="AP36" i="1"/>
  <c r="AP37" i="1"/>
  <c r="AR29" i="1"/>
  <c r="O12" i="4"/>
  <c r="AT29" i="1"/>
  <c r="AT30" i="1"/>
  <c r="AT31" i="1"/>
  <c r="AT32" i="1"/>
  <c r="AT33" i="1"/>
  <c r="AT34" i="1"/>
  <c r="AT35" i="1"/>
  <c r="AT36" i="1"/>
  <c r="AT37" i="1"/>
  <c r="AV29" i="1"/>
  <c r="O13" i="4"/>
  <c r="AX29" i="1"/>
  <c r="AX30" i="1"/>
  <c r="AX31" i="1"/>
  <c r="AX32" i="1"/>
  <c r="AX33" i="1"/>
  <c r="AX34" i="1"/>
  <c r="AX35" i="1"/>
  <c r="AX36" i="1"/>
  <c r="AX37" i="1"/>
  <c r="AZ29" i="1"/>
  <c r="O14" i="4"/>
  <c r="AH101" i="1"/>
  <c r="AH102" i="1"/>
  <c r="AH104" i="1"/>
  <c r="AH105" i="1"/>
  <c r="AH106" i="1"/>
  <c r="AH107" i="1"/>
  <c r="AH108" i="1"/>
  <c r="AJ101" i="1"/>
  <c r="M10" i="4"/>
  <c r="AL101" i="1"/>
  <c r="AL102" i="1"/>
  <c r="AL103" i="1"/>
  <c r="AL104" i="1"/>
  <c r="AL105" i="1"/>
  <c r="AL106" i="1"/>
  <c r="AL107" i="1"/>
  <c r="AL108" i="1"/>
  <c r="AL109" i="1"/>
  <c r="AN101" i="1"/>
  <c r="M11" i="4"/>
  <c r="AR101" i="1"/>
  <c r="M12" i="4"/>
  <c r="AV101" i="1"/>
  <c r="M13" i="4"/>
  <c r="AZ101" i="1"/>
  <c r="M14" i="4"/>
  <c r="BB101" i="1"/>
  <c r="BB102" i="1"/>
  <c r="BB103" i="1"/>
  <c r="BB104" i="1"/>
  <c r="BB105" i="1"/>
  <c r="BB106" i="1"/>
  <c r="BB107" i="1"/>
  <c r="BB108" i="1"/>
  <c r="BB109" i="1"/>
  <c r="BD101" i="1"/>
  <c r="M15" i="4"/>
  <c r="BF101" i="1"/>
  <c r="BF102" i="1"/>
  <c r="BF103" i="1"/>
  <c r="BF104" i="1"/>
  <c r="BF105" i="1"/>
  <c r="BF106" i="1"/>
  <c r="BF107" i="1"/>
  <c r="BF108" i="1"/>
  <c r="BF109" i="1"/>
  <c r="BH101" i="1"/>
  <c r="M16" i="4"/>
  <c r="BJ101" i="1"/>
  <c r="BJ102" i="1"/>
  <c r="BJ103" i="1"/>
  <c r="BJ104" i="1"/>
  <c r="BJ105" i="1"/>
  <c r="BJ106" i="1"/>
  <c r="BJ107" i="1"/>
  <c r="BJ108" i="1"/>
  <c r="BJ109" i="1"/>
  <c r="BL101" i="1"/>
  <c r="M17" i="4"/>
  <c r="BN101" i="1"/>
  <c r="BN102" i="1"/>
  <c r="BN103" i="1"/>
  <c r="BN104" i="1"/>
  <c r="BN105" i="1"/>
  <c r="BN106" i="1"/>
  <c r="BN107" i="1"/>
  <c r="BN108" i="1"/>
  <c r="BN109" i="1"/>
  <c r="BP101" i="1"/>
  <c r="M18" i="4"/>
  <c r="BR101" i="1"/>
  <c r="BR102" i="1"/>
  <c r="BR103" i="1"/>
  <c r="BR104" i="1"/>
  <c r="BR105" i="1"/>
  <c r="BR106" i="1"/>
  <c r="BR107" i="1"/>
  <c r="BR108" i="1"/>
  <c r="BR109" i="1"/>
  <c r="BT101" i="1"/>
  <c r="M19" i="4"/>
  <c r="BV101" i="1"/>
  <c r="BV102" i="1"/>
  <c r="BV103" i="1"/>
  <c r="BV104" i="1"/>
  <c r="BV105" i="1"/>
  <c r="BV106" i="1"/>
  <c r="BV107" i="1"/>
  <c r="BV108" i="1"/>
  <c r="BV109" i="1"/>
  <c r="BX101" i="1"/>
  <c r="M20" i="4"/>
  <c r="BZ101" i="1"/>
  <c r="BZ102" i="1"/>
  <c r="BZ103" i="1"/>
  <c r="BZ104" i="1"/>
  <c r="BZ105" i="1"/>
  <c r="BZ106" i="1"/>
  <c r="BZ107" i="1"/>
  <c r="BZ108" i="1"/>
  <c r="BZ109" i="1"/>
  <c r="CB101" i="1"/>
  <c r="M21" i="4"/>
  <c r="C32" i="9"/>
  <c r="D32" i="9"/>
  <c r="B101" i="1"/>
  <c r="B102" i="1"/>
  <c r="B103" i="1"/>
  <c r="B104" i="1"/>
  <c r="B105" i="1"/>
  <c r="B106" i="1"/>
  <c r="B107" i="1"/>
  <c r="B108" i="1"/>
  <c r="B109" i="1"/>
  <c r="D101" i="1"/>
  <c r="M2" i="4"/>
  <c r="H101" i="1"/>
  <c r="M3" i="4"/>
  <c r="L101" i="1"/>
  <c r="M4" i="4"/>
  <c r="P101" i="1"/>
  <c r="M5" i="4"/>
  <c r="T101" i="1"/>
  <c r="M6" i="4"/>
  <c r="X101" i="1"/>
  <c r="M7" i="4"/>
  <c r="AB101" i="1"/>
  <c r="M8" i="4"/>
  <c r="B20" i="1"/>
  <c r="B21" i="1"/>
  <c r="B22" i="1"/>
  <c r="B23" i="1"/>
  <c r="B24" i="1"/>
  <c r="B25" i="1"/>
  <c r="B26" i="1"/>
  <c r="B27" i="1"/>
  <c r="B28" i="1"/>
  <c r="D20" i="1"/>
  <c r="K2" i="4"/>
  <c r="H20" i="1"/>
  <c r="K3" i="4"/>
  <c r="L20" i="1"/>
  <c r="K4" i="4"/>
  <c r="P20" i="1"/>
  <c r="K5" i="4"/>
  <c r="T20" i="1"/>
  <c r="K6" i="4"/>
  <c r="X20" i="1"/>
  <c r="K7" i="4"/>
  <c r="AB20" i="1"/>
  <c r="K8" i="4"/>
  <c r="AF20" i="1"/>
  <c r="K9" i="4"/>
  <c r="AJ20" i="1"/>
  <c r="K10" i="4"/>
  <c r="AN20" i="1"/>
  <c r="K11" i="4"/>
  <c r="AR20" i="1"/>
  <c r="K12" i="4"/>
  <c r="C35" i="9"/>
  <c r="D35" i="9"/>
  <c r="D36" i="9"/>
  <c r="D37" i="9"/>
  <c r="B128" i="1"/>
  <c r="B129" i="1"/>
  <c r="B130" i="1"/>
  <c r="B131" i="1"/>
  <c r="B132" i="1"/>
  <c r="B133" i="1"/>
  <c r="B134" i="1"/>
  <c r="B135" i="1"/>
  <c r="B136" i="1"/>
  <c r="D128" i="1"/>
  <c r="I2" i="4"/>
  <c r="J128" i="1"/>
  <c r="J129" i="1"/>
  <c r="J131" i="1"/>
  <c r="J132" i="1"/>
  <c r="J134" i="1"/>
  <c r="J135" i="1"/>
  <c r="L128" i="1"/>
  <c r="I4" i="4"/>
  <c r="N128" i="1"/>
  <c r="N129" i="1"/>
  <c r="N130" i="1"/>
  <c r="N131" i="1"/>
  <c r="N132" i="1"/>
  <c r="N133" i="1"/>
  <c r="N134" i="1"/>
  <c r="N135" i="1"/>
  <c r="N136" i="1"/>
  <c r="P128" i="1"/>
  <c r="I5" i="4"/>
  <c r="T128" i="1"/>
  <c r="I6" i="4"/>
  <c r="V128" i="1"/>
  <c r="V129" i="1"/>
  <c r="V130" i="1"/>
  <c r="V131" i="1"/>
  <c r="V132" i="1"/>
  <c r="V133" i="1"/>
  <c r="V134" i="1"/>
  <c r="V135" i="1"/>
  <c r="V136" i="1"/>
  <c r="X128" i="1"/>
  <c r="I7" i="4"/>
  <c r="Z128" i="1"/>
  <c r="Z129" i="1"/>
  <c r="Z130" i="1"/>
  <c r="Z131" i="1"/>
  <c r="Z132" i="1"/>
  <c r="Z133" i="1"/>
  <c r="Z134" i="1"/>
  <c r="Z135" i="1"/>
  <c r="Z136" i="1"/>
  <c r="AB128" i="1"/>
  <c r="I8" i="4"/>
  <c r="AD128" i="1"/>
  <c r="AD129" i="1"/>
  <c r="AD130" i="1"/>
  <c r="AD131" i="1"/>
  <c r="AD132" i="1"/>
  <c r="AD133" i="1"/>
  <c r="AD134" i="1"/>
  <c r="AD135" i="1"/>
  <c r="AD136" i="1"/>
  <c r="AF128" i="1"/>
  <c r="I9" i="4"/>
  <c r="AH128" i="1"/>
  <c r="AH129" i="1"/>
  <c r="AH130" i="1"/>
  <c r="AH131" i="1"/>
  <c r="AH132" i="1"/>
  <c r="AH133" i="1"/>
  <c r="AH134" i="1"/>
  <c r="AH135" i="1"/>
  <c r="AH136" i="1"/>
  <c r="AJ128" i="1"/>
  <c r="I10" i="4"/>
  <c r="AL128" i="1"/>
  <c r="AL129" i="1"/>
  <c r="AL130" i="1"/>
  <c r="AL131" i="1"/>
  <c r="AL132" i="1"/>
  <c r="AL133" i="1"/>
  <c r="AL134" i="1"/>
  <c r="AL135" i="1"/>
  <c r="AL136" i="1"/>
  <c r="AN128" i="1"/>
  <c r="I11" i="4"/>
  <c r="AP128" i="1"/>
  <c r="AP129" i="1"/>
  <c r="AP130" i="1"/>
  <c r="AP131" i="1"/>
  <c r="AP132" i="1"/>
  <c r="AP133" i="1"/>
  <c r="AP134" i="1"/>
  <c r="AP135" i="1"/>
  <c r="AP136" i="1"/>
  <c r="AR128" i="1"/>
  <c r="I12" i="4"/>
  <c r="AT128" i="1"/>
  <c r="AT129" i="1"/>
  <c r="AT130" i="1"/>
  <c r="AT131" i="1"/>
  <c r="AT132" i="1"/>
  <c r="AT133" i="1"/>
  <c r="AT134" i="1"/>
  <c r="AT135" i="1"/>
  <c r="AT136" i="1"/>
  <c r="AV128" i="1"/>
  <c r="I13" i="4"/>
  <c r="P11" i="1"/>
  <c r="G5" i="4"/>
  <c r="T11" i="1"/>
  <c r="G6" i="4"/>
  <c r="X11" i="1"/>
  <c r="G7" i="4"/>
  <c r="AB11" i="1"/>
  <c r="G8" i="4"/>
  <c r="AF11" i="1"/>
  <c r="G9" i="4"/>
  <c r="AH11" i="1"/>
  <c r="AH12" i="1"/>
  <c r="AH13" i="1"/>
  <c r="AH14" i="1"/>
  <c r="AH15" i="1"/>
  <c r="AH16" i="1"/>
  <c r="AH17" i="1"/>
  <c r="AH18" i="1"/>
  <c r="AH19" i="1"/>
  <c r="AJ11" i="1"/>
  <c r="G10" i="4"/>
  <c r="AL11" i="1"/>
  <c r="AL12" i="1"/>
  <c r="AL13" i="1"/>
  <c r="AL14" i="1"/>
  <c r="AL15" i="1"/>
  <c r="AL16" i="1"/>
  <c r="AL17" i="1"/>
  <c r="AL18" i="1"/>
  <c r="AL19" i="1"/>
  <c r="AN11" i="1"/>
  <c r="G11" i="4"/>
  <c r="AP11" i="1"/>
  <c r="AP12" i="1"/>
  <c r="AP13" i="1"/>
  <c r="AP14" i="1"/>
  <c r="AP15" i="1"/>
  <c r="AP16" i="1"/>
  <c r="AP17" i="1"/>
  <c r="AP18" i="1"/>
  <c r="AP19" i="1"/>
  <c r="AR11" i="1"/>
  <c r="G12" i="4"/>
  <c r="AT11" i="1"/>
  <c r="AT12" i="1"/>
  <c r="AT13" i="1"/>
  <c r="AT14" i="1"/>
  <c r="AT15" i="1"/>
  <c r="AT16" i="1"/>
  <c r="AT17" i="1"/>
  <c r="AT18" i="1"/>
  <c r="AT19" i="1"/>
  <c r="AV11" i="1"/>
  <c r="G13" i="4"/>
  <c r="AX11" i="1"/>
  <c r="AX12" i="1"/>
  <c r="AX13" i="1"/>
  <c r="AX14" i="1"/>
  <c r="AX15" i="1"/>
  <c r="AX16" i="1"/>
  <c r="AX17" i="1"/>
  <c r="AX18" i="1"/>
  <c r="AX19" i="1"/>
  <c r="AZ11" i="1"/>
  <c r="G14" i="4"/>
  <c r="C2" i="9"/>
  <c r="D2" i="9"/>
  <c r="B11" i="1"/>
  <c r="B12" i="1"/>
  <c r="B13" i="1"/>
  <c r="B14" i="1"/>
  <c r="B15" i="1"/>
  <c r="B16" i="1"/>
  <c r="B17" i="1"/>
  <c r="B18" i="1"/>
  <c r="B19" i="1"/>
  <c r="D11" i="1"/>
  <c r="G2" i="4"/>
  <c r="H11" i="1"/>
  <c r="G3" i="4"/>
  <c r="L11" i="1"/>
  <c r="G4" i="4"/>
  <c r="C14" i="9"/>
  <c r="D14" i="9"/>
  <c r="B74" i="1"/>
  <c r="B75" i="1"/>
  <c r="B76" i="1"/>
  <c r="B77" i="1"/>
  <c r="B78" i="1"/>
  <c r="B79" i="1"/>
  <c r="B80" i="1"/>
  <c r="B81" i="1"/>
  <c r="B82" i="1"/>
  <c r="D74" i="1"/>
  <c r="E2" i="4"/>
  <c r="H74" i="1"/>
  <c r="E3" i="4"/>
  <c r="L74" i="1"/>
  <c r="E4" i="4"/>
  <c r="P74" i="1"/>
  <c r="E5" i="4"/>
  <c r="T74" i="1"/>
  <c r="E6" i="4"/>
  <c r="X74" i="1"/>
  <c r="E7" i="4"/>
  <c r="AB74" i="1"/>
  <c r="E8" i="4"/>
  <c r="AF74" i="1"/>
  <c r="E9" i="4"/>
  <c r="AJ74" i="1"/>
  <c r="E10" i="4"/>
  <c r="AN74" i="1"/>
  <c r="E11" i="4"/>
  <c r="AP74" i="1"/>
  <c r="AP75" i="1"/>
  <c r="AP76" i="1"/>
  <c r="AP77" i="1"/>
  <c r="AP78" i="1"/>
  <c r="AP79" i="1"/>
  <c r="AP80" i="1"/>
  <c r="AP81" i="1"/>
  <c r="AP82" i="1"/>
  <c r="AR74" i="1"/>
  <c r="E12" i="4"/>
  <c r="AT77" i="1"/>
  <c r="AT78" i="1"/>
  <c r="AT79" i="1"/>
  <c r="AT80" i="1"/>
  <c r="AT81" i="1"/>
  <c r="AT82" i="1"/>
  <c r="AV74" i="1"/>
  <c r="E13" i="4"/>
  <c r="AX74" i="1"/>
  <c r="AX75" i="1"/>
  <c r="AX76" i="1"/>
  <c r="AX77" i="1"/>
  <c r="AX78" i="1"/>
  <c r="AX79" i="1"/>
  <c r="AX80" i="1"/>
  <c r="AX81" i="1"/>
  <c r="AX82" i="1"/>
  <c r="AZ74" i="1"/>
  <c r="E14" i="4"/>
  <c r="BB74" i="1"/>
  <c r="BB75" i="1"/>
  <c r="BB76" i="1"/>
  <c r="BB77" i="1"/>
  <c r="BB78" i="1"/>
  <c r="BB79" i="1"/>
  <c r="BB80" i="1"/>
  <c r="BB81" i="1"/>
  <c r="BB82" i="1"/>
  <c r="BD74" i="1"/>
  <c r="E15" i="4"/>
  <c r="BF74" i="1"/>
  <c r="BF75" i="1"/>
  <c r="BF76" i="1"/>
  <c r="BF77" i="1"/>
  <c r="BF78" i="1"/>
  <c r="BF79" i="1"/>
  <c r="BF80" i="1"/>
  <c r="BF81" i="1"/>
  <c r="BF82" i="1"/>
  <c r="BH74" i="1"/>
  <c r="E16" i="4"/>
  <c r="BJ74" i="1"/>
  <c r="BJ75" i="1"/>
  <c r="BJ76" i="1"/>
  <c r="BJ77" i="1"/>
  <c r="BJ78" i="1"/>
  <c r="BJ79" i="1"/>
  <c r="BJ80" i="1"/>
  <c r="BJ81" i="1"/>
  <c r="BJ82" i="1"/>
  <c r="BL74" i="1"/>
  <c r="E17" i="4"/>
  <c r="CT110" i="1"/>
  <c r="CT111" i="1"/>
  <c r="CT112" i="1"/>
  <c r="CT113" i="1"/>
  <c r="CT114" i="1"/>
  <c r="CT115" i="1"/>
  <c r="CT116" i="1"/>
  <c r="CT117" i="1"/>
  <c r="CT118" i="1"/>
  <c r="CV110" i="1"/>
  <c r="AR2" i="1"/>
  <c r="AN2" i="1"/>
  <c r="AJ56" i="1"/>
  <c r="AJ2" i="1"/>
  <c r="AF2" i="1"/>
  <c r="AB2" i="1"/>
  <c r="X2" i="1"/>
  <c r="T2" i="1"/>
  <c r="P2" i="1"/>
  <c r="L2" i="1"/>
  <c r="H128" i="1"/>
  <c r="H2" i="1"/>
  <c r="B2" i="1"/>
  <c r="B3" i="1"/>
  <c r="B4" i="1"/>
  <c r="B5" i="1"/>
  <c r="B6" i="1"/>
  <c r="B7" i="1"/>
  <c r="B8" i="1"/>
  <c r="B9" i="1"/>
  <c r="B10" i="1"/>
  <c r="D2" i="1"/>
  <c r="C2" i="4"/>
  <c r="C3" i="4"/>
  <c r="C4" i="4"/>
  <c r="C5" i="4"/>
  <c r="C6" i="4"/>
  <c r="C7" i="4"/>
  <c r="C8" i="4"/>
  <c r="C9" i="4"/>
  <c r="C10" i="4"/>
  <c r="C11" i="4"/>
  <c r="C12" i="4"/>
  <c r="CU110" i="1"/>
  <c r="CQ110" i="1"/>
  <c r="T25" i="4"/>
  <c r="BS137" i="1"/>
  <c r="AB19" i="4"/>
  <c r="CM110" i="1"/>
  <c r="T24" i="4"/>
  <c r="BK164" i="1"/>
  <c r="X17" i="4"/>
  <c r="BG164" i="1"/>
  <c r="X16" i="4"/>
  <c r="BO137" i="1"/>
  <c r="AB18" i="4"/>
  <c r="BK137" i="1"/>
  <c r="AB17" i="4"/>
  <c r="CI110" i="1"/>
  <c r="T23" i="4"/>
  <c r="CE110" i="1"/>
  <c r="T22" i="4"/>
  <c r="BC164" i="1"/>
  <c r="X15" i="4"/>
  <c r="BG137" i="1"/>
  <c r="AB16" i="4"/>
  <c r="CA110" i="1"/>
  <c r="T21" i="4"/>
  <c r="BW110" i="1"/>
  <c r="T20" i="4"/>
  <c r="AY173" i="1"/>
  <c r="P14" i="4"/>
  <c r="AY164" i="1"/>
  <c r="X14" i="4"/>
  <c r="BC137" i="1"/>
  <c r="AB15" i="4"/>
  <c r="AU164" i="1"/>
  <c r="X13" i="4"/>
  <c r="BS119" i="1"/>
  <c r="AJ19" i="4"/>
  <c r="BS110" i="1"/>
  <c r="T19" i="4"/>
  <c r="CA101" i="1"/>
  <c r="L21" i="4"/>
  <c r="AU173" i="1"/>
  <c r="P13" i="4"/>
  <c r="AY137" i="1"/>
  <c r="AB14" i="4"/>
  <c r="AU155" i="1"/>
  <c r="AN13" i="4"/>
  <c r="AU146" i="1"/>
  <c r="AF13" i="4"/>
  <c r="AQ173" i="1"/>
  <c r="P12" i="4"/>
  <c r="AQ164" i="1"/>
  <c r="X12" i="4"/>
  <c r="BO119" i="1"/>
  <c r="AJ18" i="4"/>
  <c r="BO110" i="1"/>
  <c r="T18" i="4"/>
  <c r="BW101" i="1"/>
  <c r="L20" i="4"/>
  <c r="AU137" i="1"/>
  <c r="AB13" i="4"/>
  <c r="AU11" i="1"/>
  <c r="F13" i="4"/>
  <c r="S11" i="1"/>
  <c r="F6" i="4"/>
  <c r="AQ155" i="1"/>
  <c r="AN12" i="4"/>
  <c r="AQ146" i="1"/>
  <c r="AF12" i="4"/>
  <c r="AM173" i="1"/>
  <c r="P11" i="4"/>
  <c r="AM164" i="1"/>
  <c r="X11" i="4"/>
  <c r="BK119" i="1"/>
  <c r="AJ17" i="4"/>
  <c r="BK110" i="1"/>
  <c r="T17" i="4"/>
  <c r="BS101" i="1"/>
  <c r="L19" i="4"/>
  <c r="AQ137" i="1"/>
  <c r="AB12" i="4"/>
  <c r="AM155" i="1"/>
  <c r="AN11" i="4"/>
  <c r="AM146" i="1"/>
  <c r="AF11" i="4"/>
  <c r="AU128" i="1"/>
  <c r="H13" i="4"/>
  <c r="AI155" i="1"/>
  <c r="AN10" i="4"/>
  <c r="BG119" i="1"/>
  <c r="AJ16" i="4"/>
  <c r="AI146" i="1"/>
  <c r="AF10" i="4"/>
  <c r="AM137" i="1"/>
  <c r="AB11" i="4"/>
  <c r="AI164" i="1"/>
  <c r="X10" i="4"/>
  <c r="BG110" i="1"/>
  <c r="T16" i="4"/>
  <c r="AI173" i="1"/>
  <c r="P10" i="4"/>
  <c r="BO101" i="1"/>
  <c r="L18" i="4"/>
  <c r="AQ128" i="1"/>
  <c r="H12" i="4"/>
  <c r="AE173" i="1"/>
  <c r="P9" i="4"/>
  <c r="AE164" i="1"/>
  <c r="X9" i="4"/>
  <c r="BC119" i="1"/>
  <c r="AJ15" i="4"/>
  <c r="BC110" i="1"/>
  <c r="T15" i="4"/>
  <c r="BK101" i="1"/>
  <c r="L17" i="4"/>
  <c r="AI137" i="1"/>
  <c r="AB10" i="4"/>
  <c r="AE155" i="1"/>
  <c r="AN9" i="4"/>
  <c r="AE146" i="1"/>
  <c r="AF9" i="4"/>
  <c r="AM128" i="1"/>
  <c r="H11" i="4"/>
  <c r="AA173" i="1"/>
  <c r="P8" i="4"/>
  <c r="AA164" i="1"/>
  <c r="X8" i="4"/>
  <c r="AY119" i="1"/>
  <c r="AJ14" i="4"/>
  <c r="AY110" i="1"/>
  <c r="T14" i="4"/>
  <c r="BG101" i="1"/>
  <c r="L16" i="4"/>
  <c r="AE137" i="1"/>
  <c r="AB9" i="4"/>
  <c r="AA146" i="1"/>
  <c r="AF8" i="4"/>
  <c r="AA155" i="1"/>
  <c r="AN8" i="4"/>
  <c r="AI128" i="1"/>
  <c r="H10" i="4"/>
  <c r="W173" i="1"/>
  <c r="P7" i="4"/>
  <c r="W164" i="1"/>
  <c r="X7" i="4"/>
  <c r="AU119" i="1"/>
  <c r="AJ13" i="4"/>
  <c r="AU110" i="1"/>
  <c r="T13" i="4"/>
  <c r="BC101" i="1"/>
  <c r="L15" i="4"/>
  <c r="AA137" i="1"/>
  <c r="AB8" i="4"/>
  <c r="AQ2" i="1"/>
  <c r="B12" i="4"/>
  <c r="BG74" i="1"/>
  <c r="D16" i="4"/>
  <c r="AA74" i="1"/>
  <c r="D8" i="4"/>
  <c r="AQ20" i="1"/>
  <c r="J12" i="4"/>
  <c r="AU29" i="1"/>
  <c r="N13" i="4"/>
  <c r="AA29" i="1"/>
  <c r="N8" i="4"/>
  <c r="AM38" i="1"/>
  <c r="R11" i="4"/>
  <c r="BO47" i="1"/>
  <c r="V18" i="4"/>
  <c r="AA47" i="1"/>
  <c r="V8" i="4"/>
  <c r="AA56" i="1"/>
  <c r="Z8" i="4"/>
  <c r="AY65" i="1"/>
  <c r="AD14" i="4"/>
  <c r="AA65" i="1"/>
  <c r="AD8" i="4"/>
  <c r="AM92" i="1"/>
  <c r="AH11" i="4"/>
  <c r="C92" i="1"/>
  <c r="AH2" i="4"/>
  <c r="AM83" i="1"/>
  <c r="AL11" i="4"/>
  <c r="AA83" i="1"/>
  <c r="AL8" i="4"/>
  <c r="W155" i="1"/>
  <c r="AN7" i="4"/>
  <c r="W146" i="1"/>
  <c r="AF7" i="4"/>
  <c r="AE128" i="1"/>
  <c r="H9" i="4"/>
  <c r="S173" i="1"/>
  <c r="P6" i="4"/>
  <c r="S164" i="1"/>
  <c r="X6" i="4"/>
  <c r="AQ119" i="1"/>
  <c r="AJ12" i="4"/>
  <c r="AQ110" i="1"/>
  <c r="T12" i="4"/>
  <c r="AY101" i="1"/>
  <c r="L14" i="4"/>
  <c r="W137" i="1"/>
  <c r="AB7" i="4"/>
  <c r="S155" i="1"/>
  <c r="AN6" i="4"/>
  <c r="S146" i="1"/>
  <c r="AF6" i="4"/>
  <c r="AA128" i="1"/>
  <c r="H8" i="4"/>
  <c r="BK74" i="1"/>
  <c r="D17" i="4"/>
  <c r="AU83" i="1"/>
  <c r="AL13" i="4"/>
  <c r="AM119" i="1"/>
  <c r="AJ11" i="4"/>
  <c r="S137" i="1"/>
  <c r="AB6" i="4"/>
  <c r="O164" i="1"/>
  <c r="X5" i="4"/>
  <c r="AM110" i="1"/>
  <c r="T11" i="4"/>
  <c r="O173" i="1"/>
  <c r="P5" i="4"/>
  <c r="AU101" i="1"/>
  <c r="L13" i="4"/>
  <c r="O155" i="1"/>
  <c r="AN5" i="4"/>
  <c r="K155" i="1"/>
  <c r="AN4" i="4"/>
  <c r="G155" i="1"/>
  <c r="AN3" i="4"/>
  <c r="C155" i="1"/>
  <c r="AN2" i="4"/>
  <c r="O146" i="1"/>
  <c r="AF5" i="4"/>
  <c r="W128" i="1"/>
  <c r="H7" i="4"/>
  <c r="S128" i="1"/>
  <c r="H6" i="4"/>
  <c r="AQ83" i="1"/>
  <c r="AL12" i="4"/>
  <c r="AI83" i="1"/>
  <c r="AL10" i="4"/>
  <c r="AI119" i="1"/>
  <c r="AJ10" i="4"/>
  <c r="AE119" i="1"/>
  <c r="AJ9" i="4"/>
  <c r="AA119" i="1"/>
  <c r="AJ8" i="4"/>
  <c r="AI92" i="1"/>
  <c r="AH10" i="4"/>
  <c r="O137" i="1"/>
  <c r="AB5" i="4"/>
  <c r="K164" i="1"/>
  <c r="X4" i="4"/>
  <c r="AI110" i="1"/>
  <c r="T10" i="4"/>
  <c r="K173" i="1"/>
  <c r="P4" i="4"/>
  <c r="AQ101" i="1"/>
  <c r="L12" i="4"/>
  <c r="K146" i="1"/>
  <c r="AF4" i="4"/>
  <c r="G146" i="1"/>
  <c r="AF3" i="4"/>
  <c r="C146" i="1"/>
  <c r="AF2" i="4"/>
  <c r="K137" i="1"/>
  <c r="AB4" i="4"/>
  <c r="G137" i="1"/>
  <c r="AB3" i="4"/>
  <c r="G173" i="1"/>
  <c r="P3" i="4"/>
  <c r="C173" i="1"/>
  <c r="P2" i="4"/>
  <c r="G164" i="1"/>
  <c r="X3" i="4"/>
  <c r="C164" i="1"/>
  <c r="X2" i="4"/>
  <c r="AE110" i="1"/>
  <c r="T9" i="4"/>
  <c r="AA110" i="1"/>
  <c r="T8" i="4"/>
  <c r="AM101" i="1"/>
  <c r="L11" i="4"/>
  <c r="AI101" i="1"/>
  <c r="L10" i="4"/>
  <c r="O128" i="1"/>
  <c r="H5" i="4"/>
  <c r="BC74" i="1"/>
  <c r="D15" i="4"/>
  <c r="AY74" i="1"/>
  <c r="D14" i="4"/>
  <c r="AA92" i="1"/>
  <c r="AH8" i="4"/>
  <c r="K128" i="1"/>
  <c r="H4" i="4"/>
  <c r="AU74" i="1"/>
  <c r="D13" i="4"/>
  <c r="W83" i="1"/>
  <c r="AL7" i="4"/>
  <c r="S83" i="1"/>
  <c r="AL6" i="4"/>
  <c r="S119" i="1"/>
  <c r="AJ6" i="4"/>
  <c r="O119" i="1"/>
  <c r="AJ5" i="4"/>
  <c r="K119" i="1"/>
  <c r="AJ4" i="4"/>
  <c r="W92" i="1"/>
  <c r="AH7" i="4"/>
  <c r="S92" i="1"/>
  <c r="AH6" i="4"/>
  <c r="C137" i="1"/>
  <c r="AB2" i="4"/>
  <c r="BS47" i="1"/>
  <c r="V19" i="4"/>
  <c r="S110" i="1"/>
  <c r="T6" i="4"/>
  <c r="O110" i="1"/>
  <c r="T5" i="4"/>
  <c r="K110" i="1"/>
  <c r="T4" i="4"/>
  <c r="AA101" i="1"/>
  <c r="L8" i="4"/>
  <c r="W101" i="1"/>
  <c r="L7" i="4"/>
  <c r="S101" i="1"/>
  <c r="L6" i="4"/>
  <c r="C128" i="1"/>
  <c r="H2" i="4"/>
  <c r="AQ74" i="1"/>
  <c r="D12" i="4"/>
  <c r="AM74" i="1"/>
  <c r="D11" i="4"/>
  <c r="AI74" i="1"/>
  <c r="D10" i="4"/>
  <c r="AE74" i="1"/>
  <c r="D9" i="4"/>
  <c r="G119" i="1"/>
  <c r="AJ3" i="4"/>
  <c r="O83" i="1"/>
  <c r="AL5" i="4"/>
  <c r="O92" i="1"/>
  <c r="AH5" i="4"/>
  <c r="BK47" i="1"/>
  <c r="V17" i="4"/>
  <c r="G110" i="1"/>
  <c r="T3" i="4"/>
  <c r="O101" i="1"/>
  <c r="L5" i="4"/>
  <c r="K83" i="1"/>
  <c r="AL4" i="4"/>
  <c r="G83" i="1"/>
  <c r="AL3" i="4"/>
  <c r="C119" i="1"/>
  <c r="AJ2" i="4"/>
  <c r="C83" i="1"/>
  <c r="AL2" i="4"/>
  <c r="K92" i="1"/>
  <c r="AH4" i="4"/>
  <c r="G92" i="1"/>
  <c r="AH3" i="4"/>
  <c r="BC65" i="1"/>
  <c r="AD15" i="4"/>
  <c r="BG47" i="1"/>
  <c r="V16" i="4"/>
  <c r="BC47" i="1"/>
  <c r="V15" i="4"/>
  <c r="C110" i="1"/>
  <c r="T2" i="4"/>
  <c r="K101" i="1"/>
  <c r="L4" i="4"/>
  <c r="G101" i="1"/>
  <c r="L3" i="4"/>
  <c r="C101" i="1"/>
  <c r="L2" i="4"/>
  <c r="W74" i="1"/>
  <c r="D7" i="4"/>
  <c r="S74" i="1"/>
  <c r="D6" i="4"/>
  <c r="AU65" i="1"/>
  <c r="AD13" i="4"/>
  <c r="AY47" i="1"/>
  <c r="V14" i="4"/>
  <c r="O74" i="1"/>
  <c r="D5" i="4"/>
  <c r="AQ65" i="1"/>
  <c r="AD12" i="4"/>
  <c r="AI65" i="1"/>
  <c r="AD10" i="4"/>
  <c r="AM65" i="1"/>
  <c r="AD11" i="4"/>
  <c r="AU47" i="1"/>
  <c r="V13" i="4"/>
  <c r="AQ47" i="1"/>
  <c r="V12" i="4"/>
  <c r="AM47" i="1"/>
  <c r="V11" i="4"/>
  <c r="K74" i="1"/>
  <c r="D4" i="4"/>
  <c r="G74" i="1"/>
  <c r="D3" i="4"/>
  <c r="AY29" i="1"/>
  <c r="N14" i="4"/>
  <c r="AY11" i="1"/>
  <c r="F14" i="4"/>
  <c r="C74" i="1"/>
  <c r="D2" i="4"/>
  <c r="AQ11" i="1"/>
  <c r="AI56" i="1"/>
  <c r="AI11" i="1"/>
  <c r="F10" i="4"/>
  <c r="AM29" i="1"/>
  <c r="N11" i="4"/>
  <c r="AE65" i="1"/>
  <c r="AD9" i="4"/>
  <c r="AE56" i="1"/>
  <c r="Z9" i="4"/>
  <c r="AI47" i="1"/>
  <c r="V10" i="4"/>
  <c r="AI38" i="1"/>
  <c r="R10" i="4"/>
  <c r="AQ29" i="1"/>
  <c r="N12" i="4"/>
  <c r="F12" i="4"/>
  <c r="B5" i="6"/>
  <c r="W65" i="1"/>
  <c r="AD7" i="4"/>
  <c r="W56" i="1"/>
  <c r="Z7" i="4"/>
  <c r="AE47" i="1"/>
  <c r="V9" i="4"/>
  <c r="AE38" i="1"/>
  <c r="R9" i="4"/>
  <c r="AA38" i="1"/>
  <c r="R8" i="4"/>
  <c r="AI29" i="1"/>
  <c r="N10" i="4"/>
  <c r="AM20" i="1"/>
  <c r="J11" i="4"/>
  <c r="AI20" i="1"/>
  <c r="J10" i="4"/>
  <c r="AM11" i="1"/>
  <c r="F11" i="4"/>
  <c r="AM2" i="1"/>
  <c r="B11" i="4"/>
  <c r="AI2" i="1"/>
  <c r="B10" i="4"/>
  <c r="S65" i="1"/>
  <c r="AD6" i="4"/>
  <c r="S56" i="1"/>
  <c r="Z6" i="4"/>
  <c r="O65" i="1"/>
  <c r="AD5" i="4"/>
  <c r="O56" i="1"/>
  <c r="Z5" i="4"/>
  <c r="K65" i="1"/>
  <c r="AD4" i="4"/>
  <c r="K56" i="1"/>
  <c r="Z4" i="4"/>
  <c r="W47" i="1"/>
  <c r="V7" i="4"/>
  <c r="W38" i="1"/>
  <c r="R7" i="4"/>
  <c r="S47" i="1"/>
  <c r="V6" i="4"/>
  <c r="S38" i="1"/>
  <c r="R6" i="4"/>
  <c r="O47" i="1"/>
  <c r="V5" i="4"/>
  <c r="O38" i="1"/>
  <c r="R5" i="4"/>
  <c r="AE29" i="1"/>
  <c r="N9" i="4"/>
  <c r="AE20" i="1"/>
  <c r="J9" i="4"/>
  <c r="AE11" i="1"/>
  <c r="F9" i="4"/>
  <c r="AE2" i="1"/>
  <c r="B9" i="4"/>
  <c r="AA20" i="1"/>
  <c r="J8" i="4"/>
  <c r="AA11" i="1"/>
  <c r="F8" i="4"/>
  <c r="AA2" i="1"/>
  <c r="B8" i="4"/>
  <c r="W29" i="1"/>
  <c r="N7" i="4"/>
  <c r="W20" i="1"/>
  <c r="J7" i="4"/>
  <c r="W11" i="1"/>
  <c r="F7" i="4"/>
  <c r="W2" i="1"/>
  <c r="B7" i="4"/>
  <c r="B12" i="6"/>
  <c r="B11" i="6"/>
  <c r="B10" i="6"/>
  <c r="B9" i="6"/>
  <c r="B8" i="6"/>
  <c r="B7" i="6"/>
  <c r="B6" i="6"/>
  <c r="B4" i="6"/>
  <c r="B3" i="6"/>
  <c r="B2" i="6"/>
  <c r="B1" i="6"/>
  <c r="K47" i="1"/>
  <c r="V4" i="4"/>
  <c r="K38" i="1"/>
  <c r="R4" i="4"/>
  <c r="S29" i="1"/>
  <c r="N6" i="4"/>
  <c r="S20" i="1"/>
  <c r="J6" i="4"/>
  <c r="S2" i="1"/>
  <c r="B6" i="4"/>
  <c r="G65" i="1"/>
  <c r="AD3" i="4"/>
  <c r="G56" i="1"/>
  <c r="Z3" i="4"/>
  <c r="G47" i="1"/>
  <c r="V3" i="4"/>
  <c r="G38" i="1"/>
  <c r="R3" i="4"/>
  <c r="O20" i="1"/>
  <c r="J5" i="4"/>
  <c r="O29" i="1"/>
  <c r="N5" i="4"/>
  <c r="O11" i="1"/>
  <c r="F5" i="4"/>
  <c r="O2" i="1"/>
  <c r="B5" i="4"/>
  <c r="C11" i="1"/>
  <c r="C20" i="1"/>
  <c r="C29" i="1"/>
  <c r="C38" i="1"/>
  <c r="C47" i="1"/>
  <c r="C56" i="1"/>
  <c r="C65" i="1"/>
  <c r="K11" i="1"/>
  <c r="K20" i="1"/>
  <c r="K29" i="1"/>
  <c r="G29" i="1"/>
  <c r="G11" i="1"/>
  <c r="G20" i="1"/>
  <c r="K2" i="1"/>
  <c r="G2" i="1"/>
  <c r="C2" i="1"/>
</calcChain>
</file>

<file path=xl/sharedStrings.xml><?xml version="1.0" encoding="utf-8"?>
<sst xmlns="http://schemas.openxmlformats.org/spreadsheetml/2006/main" count="442" uniqueCount="398">
  <si>
    <t>Source species</t>
  </si>
  <si>
    <t>Sigma</t>
  </si>
  <si>
    <t>Avg</t>
  </si>
  <si>
    <t>Day 0 (cells/mL)</t>
  </si>
  <si>
    <t>Day 0 date</t>
  </si>
  <si>
    <t>ID</t>
  </si>
  <si>
    <t>Cells/mL</t>
  </si>
  <si>
    <t>necro-0-1-1</t>
  </si>
  <si>
    <t>necro-0-1-2</t>
  </si>
  <si>
    <t>necro-0-1-3</t>
  </si>
  <si>
    <t>necro-0-2-1</t>
  </si>
  <si>
    <t>necro-0-2-2</t>
  </si>
  <si>
    <t>necro-0-2-3</t>
  </si>
  <si>
    <t>necro-0-3-1</t>
  </si>
  <si>
    <t>necro-0-3-2</t>
  </si>
  <si>
    <t>necro-0-3-3</t>
  </si>
  <si>
    <t>necro-100-1-1</t>
  </si>
  <si>
    <t>necro-100-1-2</t>
  </si>
  <si>
    <t>necro-100-1-3</t>
  </si>
  <si>
    <t>necro-100-2-1</t>
  </si>
  <si>
    <t>necro-100-2-2</t>
  </si>
  <si>
    <t>necro-100-2-3</t>
  </si>
  <si>
    <t>necro-100-3-1</t>
  </si>
  <si>
    <t>necro-100-3-2</t>
  </si>
  <si>
    <t>necro-100-3-3</t>
  </si>
  <si>
    <t>smic</t>
  </si>
  <si>
    <t>min</t>
  </si>
  <si>
    <t>psyg-0-1-1</t>
  </si>
  <si>
    <t>psyg-0-1-2</t>
  </si>
  <si>
    <t>psyg-0-1-3</t>
  </si>
  <si>
    <t>psyg-0-2-1</t>
  </si>
  <si>
    <t>psyg-0-2-2</t>
  </si>
  <si>
    <t>psyg-0-2-3</t>
  </si>
  <si>
    <t>psyg-0-3-1</t>
  </si>
  <si>
    <t>psyg-0-3-2</t>
  </si>
  <si>
    <t>psyg-0-3-3</t>
  </si>
  <si>
    <t>psyg-100-1-1</t>
  </si>
  <si>
    <t>psyg-100-1-2</t>
  </si>
  <si>
    <t>psyg-100-1-3</t>
  </si>
  <si>
    <t>psyg-100-2-1</t>
  </si>
  <si>
    <t>psyg-100-2-2</t>
  </si>
  <si>
    <t>psyg-100-2-3</t>
  </si>
  <si>
    <t>psyg-100-3-1</t>
  </si>
  <si>
    <t>psyg-100-3-2</t>
  </si>
  <si>
    <t>psyg-100-3-3</t>
  </si>
  <si>
    <t>Day 2 (cells/mL)</t>
  </si>
  <si>
    <t>Day 2 date</t>
  </si>
  <si>
    <t>Day 4 date</t>
  </si>
  <si>
    <t>Day 6 date</t>
  </si>
  <si>
    <t>Day 4 cells/mL</t>
  </si>
  <si>
    <t>Day 6 cells/mL</t>
  </si>
  <si>
    <t>min-0-1-1</t>
  </si>
  <si>
    <t>min-0-1-2</t>
  </si>
  <si>
    <t>min-0-1-3</t>
  </si>
  <si>
    <t>min-0-2-1</t>
  </si>
  <si>
    <t>min-0-2-2</t>
  </si>
  <si>
    <t>min-0-2-3</t>
  </si>
  <si>
    <t>min-0-3-1</t>
  </si>
  <si>
    <t>min-0-3-2</t>
  </si>
  <si>
    <t>min-0-3-3</t>
  </si>
  <si>
    <t>min-100-1-1</t>
  </si>
  <si>
    <t>min-100-1-2</t>
  </si>
  <si>
    <t>min-100-1-3</t>
  </si>
  <si>
    <t>min-100-2-1</t>
  </si>
  <si>
    <t>min-100-2-2</t>
  </si>
  <si>
    <t>min-100-2-3</t>
  </si>
  <si>
    <t>min-100-3-1</t>
  </si>
  <si>
    <t>min-100-3-2</t>
  </si>
  <si>
    <t>min-100-3-3</t>
  </si>
  <si>
    <t>smic-0-1-1</t>
  </si>
  <si>
    <t>smic-0-1-2</t>
  </si>
  <si>
    <t>smic-0-1-3</t>
  </si>
  <si>
    <t>smic-0-2-1</t>
  </si>
  <si>
    <t>smic-0-2-2</t>
  </si>
  <si>
    <t>smic-0-2-3</t>
  </si>
  <si>
    <t>smic-0-3-1</t>
  </si>
  <si>
    <t>smic-0-3-2</t>
  </si>
  <si>
    <t>smic-0-3-3</t>
  </si>
  <si>
    <t>smic-100-1-1</t>
  </si>
  <si>
    <t>smic-100-1-2</t>
  </si>
  <si>
    <t>smic-100-1-3</t>
  </si>
  <si>
    <t>smic-100-2-1</t>
  </si>
  <si>
    <t>smic-100-2-2</t>
  </si>
  <si>
    <t>smic-100-2-3</t>
  </si>
  <si>
    <t>smic-100-3-1</t>
  </si>
  <si>
    <t>smic-100-3-2</t>
  </si>
  <si>
    <t>smic-100-3-3</t>
  </si>
  <si>
    <t>Day 4 avg</t>
  </si>
  <si>
    <t>Day 6 avg</t>
  </si>
  <si>
    <t>Day 2 avg</t>
  </si>
  <si>
    <t>Day 0 avg</t>
  </si>
  <si>
    <t>Day</t>
  </si>
  <si>
    <t>necro0</t>
  </si>
  <si>
    <t>necro100</t>
  </si>
  <si>
    <t>psyg0</t>
  </si>
  <si>
    <t>psyg100</t>
  </si>
  <si>
    <t>min0</t>
  </si>
  <si>
    <t>min100</t>
  </si>
  <si>
    <t>smic0</t>
  </si>
  <si>
    <t>smic100</t>
  </si>
  <si>
    <t>Day 8 avg</t>
  </si>
  <si>
    <t>Day 8 date</t>
  </si>
  <si>
    <t>Day 8 cells/mL</t>
  </si>
  <si>
    <t>Day 10 cells/mL</t>
  </si>
  <si>
    <t>Day 10 avg</t>
  </si>
  <si>
    <t>Day 10 date</t>
  </si>
  <si>
    <t>cells/ mL</t>
  </si>
  <si>
    <t>June 20 2017</t>
  </si>
  <si>
    <t>pseudo 22 may</t>
  </si>
  <si>
    <t>292 22 april</t>
  </si>
  <si>
    <t>vor 22 may</t>
  </si>
  <si>
    <t>kaw 22 may</t>
  </si>
  <si>
    <t>gor no date</t>
  </si>
  <si>
    <t>min 50 nM</t>
  </si>
  <si>
    <t xml:space="preserve">necro 50 nM </t>
  </si>
  <si>
    <t>pilo 50 nM</t>
  </si>
  <si>
    <t>psyg 50 nM</t>
  </si>
  <si>
    <t>trenchii 22 april</t>
  </si>
  <si>
    <t>aenig 22 may</t>
  </si>
  <si>
    <t>pilo 22 may</t>
  </si>
  <si>
    <t>Day 12 cells/mL</t>
  </si>
  <si>
    <t>Day 12 avg</t>
  </si>
  <si>
    <t>Day 12 date</t>
  </si>
  <si>
    <t>Day 14 cells/mL</t>
  </si>
  <si>
    <t>Day 14 avg</t>
  </si>
  <si>
    <t>Day 14 date</t>
  </si>
  <si>
    <t>Day 16 cells/mL</t>
  </si>
  <si>
    <t>Day 16 avg</t>
  </si>
  <si>
    <t>Day 16 date</t>
  </si>
  <si>
    <t>Day 18 cells/mL</t>
  </si>
  <si>
    <t>Day 18 avg</t>
  </si>
  <si>
    <t>Day 18 date</t>
  </si>
  <si>
    <t>Day 20 cells/mL</t>
  </si>
  <si>
    <t>Day 20 avg</t>
  </si>
  <si>
    <t>Day 20 date</t>
  </si>
  <si>
    <t>Day 22 cells/mL</t>
  </si>
  <si>
    <t>Day 22 avg</t>
  </si>
  <si>
    <t>Day 22 date</t>
  </si>
  <si>
    <t>min-100</t>
  </si>
  <si>
    <t>smic-100</t>
  </si>
  <si>
    <t>necro-50</t>
  </si>
  <si>
    <t>necro-50-1-1</t>
  </si>
  <si>
    <t>pseudo-100</t>
  </si>
  <si>
    <t>trenLAJ-250</t>
  </si>
  <si>
    <t>necro-50-1-2</t>
  </si>
  <si>
    <t>necro-50-1-3</t>
  </si>
  <si>
    <t>necro-50-2-1</t>
  </si>
  <si>
    <t>necro-50-2-2</t>
  </si>
  <si>
    <t>necro-50-2-3</t>
  </si>
  <si>
    <t>necro-50-3-1</t>
  </si>
  <si>
    <t>necro-50-3-2</t>
  </si>
  <si>
    <t>necro-50-3-3</t>
  </si>
  <si>
    <t>necro50</t>
  </si>
  <si>
    <t>Day 24 cells/mL</t>
  </si>
  <si>
    <t>Day 24 avg</t>
  </si>
  <si>
    <t>Day 24 date</t>
  </si>
  <si>
    <t>gor-250</t>
  </si>
  <si>
    <t>trenHO-250</t>
  </si>
  <si>
    <t>vor-100</t>
  </si>
  <si>
    <t>psyg-50</t>
  </si>
  <si>
    <t>vor-100-1-1</t>
  </si>
  <si>
    <t>vor-100-1-2</t>
  </si>
  <si>
    <t>vor-100-1-3</t>
  </si>
  <si>
    <t>vor-100-2-1</t>
  </si>
  <si>
    <t>vor-100-2-2</t>
  </si>
  <si>
    <t>vor-100-2-3</t>
  </si>
  <si>
    <t>vor-100-3-1</t>
  </si>
  <si>
    <t>vor-100-3-2</t>
  </si>
  <si>
    <t>vor-100-3-3</t>
  </si>
  <si>
    <t>vor-0-1-1</t>
  </si>
  <si>
    <t>vor-0-1-2</t>
  </si>
  <si>
    <t>vor-0-1-3</t>
  </si>
  <si>
    <t>vor-0-2-1</t>
  </si>
  <si>
    <t>vor-0-2-2</t>
  </si>
  <si>
    <t>vor-0-2-3</t>
  </si>
  <si>
    <t>vor-0-3-1</t>
  </si>
  <si>
    <t>vor-0-3-2</t>
  </si>
  <si>
    <t>vor-0-3-3</t>
  </si>
  <si>
    <t>psyg-50-1-1</t>
  </si>
  <si>
    <t>psyg-50-1-3</t>
  </si>
  <si>
    <t>psyg-50-1-2</t>
  </si>
  <si>
    <t>psyg-50-2-1</t>
  </si>
  <si>
    <t>psyg-50-2-2</t>
  </si>
  <si>
    <t>psyg-50-2-3</t>
  </si>
  <si>
    <t>psyg-50-3-1</t>
  </si>
  <si>
    <t>psyg-50-3-2</t>
  </si>
  <si>
    <t>psyg-50-3-3</t>
  </si>
  <si>
    <t>necro-100</t>
  </si>
  <si>
    <t>psyg-100</t>
  </si>
  <si>
    <t>Day 26 cells/mL</t>
  </si>
  <si>
    <t>Day 26 avg</t>
  </si>
  <si>
    <t>Day 26 date</t>
  </si>
  <si>
    <t>Day 28 cells/mL</t>
  </si>
  <si>
    <t>Day 28 avg</t>
  </si>
  <si>
    <t>Day 28 date</t>
  </si>
  <si>
    <t>Day 30 cells/mL</t>
  </si>
  <si>
    <t>Day 30 avg</t>
  </si>
  <si>
    <t>Day 30 date</t>
  </si>
  <si>
    <t>min-50-1-1</t>
  </si>
  <si>
    <t>min-50-1-2</t>
  </si>
  <si>
    <t>min-50-1-3</t>
  </si>
  <si>
    <t>min-50-2-1</t>
  </si>
  <si>
    <t>min-50-2-2</t>
  </si>
  <si>
    <t>min-50-3-1</t>
  </si>
  <si>
    <t>min-50-3-2</t>
  </si>
  <si>
    <t>min-50-3-3</t>
  </si>
  <si>
    <t>min-50-2-3</t>
  </si>
  <si>
    <t>vor-50-1-1</t>
  </si>
  <si>
    <t>vor-50-1-2</t>
  </si>
  <si>
    <t>vor-50-1-3</t>
  </si>
  <si>
    <t>vor-50-2-1</t>
  </si>
  <si>
    <t>vor-50-2-2</t>
  </si>
  <si>
    <t>vor-50-2-3</t>
  </si>
  <si>
    <t>vor-50-3-1</t>
  </si>
  <si>
    <t>vor-50-3-2</t>
  </si>
  <si>
    <t>vor-50-3-3</t>
  </si>
  <si>
    <t>psyg50</t>
  </si>
  <si>
    <t>min50</t>
  </si>
  <si>
    <t>vor0</t>
  </si>
  <si>
    <t>vor50</t>
  </si>
  <si>
    <t>vor100</t>
  </si>
  <si>
    <t>Day 32 cells/mL</t>
  </si>
  <si>
    <t>Day 32 avg</t>
  </si>
  <si>
    <t>Day 32 date</t>
  </si>
  <si>
    <t>Day 34 cells/mL</t>
  </si>
  <si>
    <t>Day 34 avg</t>
  </si>
  <si>
    <t>Day 34 date</t>
  </si>
  <si>
    <t>necro-250-1-1</t>
  </si>
  <si>
    <t>necro-250-1-2</t>
  </si>
  <si>
    <t>necro-250-1-3</t>
  </si>
  <si>
    <t>necro-250-2-1</t>
  </si>
  <si>
    <t>necro-250-2-2</t>
  </si>
  <si>
    <t>necro-250-2-3</t>
  </si>
  <si>
    <t>necro-250-3-1</t>
  </si>
  <si>
    <t>necro-250-3-2</t>
  </si>
  <si>
    <t>necro-250-3-3</t>
  </si>
  <si>
    <t>necro-250</t>
  </si>
  <si>
    <t>smic-50-1-1</t>
  </si>
  <si>
    <t>smic-50-1-2</t>
  </si>
  <si>
    <t>smic-50-1-3</t>
  </si>
  <si>
    <t>smic-50-2-1</t>
  </si>
  <si>
    <t>smic-50-2-2</t>
  </si>
  <si>
    <t>smic-50-2-3</t>
  </si>
  <si>
    <t>smic-50-3-1</t>
  </si>
  <si>
    <t>smic-50-3-2</t>
  </si>
  <si>
    <t>smic-50-3-3</t>
  </si>
  <si>
    <t>smic50</t>
  </si>
  <si>
    <t>necro250</t>
  </si>
  <si>
    <t>species</t>
  </si>
  <si>
    <t>strain</t>
  </si>
  <si>
    <t>clade</t>
  </si>
  <si>
    <t>abbreviation</t>
  </si>
  <si>
    <t>Isolation location</t>
  </si>
  <si>
    <t>Host species</t>
  </si>
  <si>
    <t>Lat/Long</t>
  </si>
  <si>
    <t>Ecology</t>
  </si>
  <si>
    <t>Symbiodinium microadriaticum</t>
  </si>
  <si>
    <t>CCMP 2458/ rt362(1)</t>
  </si>
  <si>
    <t>A</t>
  </si>
  <si>
    <t>Gulf of Aqaba</t>
  </si>
  <si>
    <t>Cassiopea andromeda</t>
  </si>
  <si>
    <t>29° N  34.75° E</t>
  </si>
  <si>
    <t>sym</t>
  </si>
  <si>
    <t>Symbiodinium necroappetens</t>
  </si>
  <si>
    <t>MAC-225</t>
  </si>
  <si>
    <t>necro</t>
  </si>
  <si>
    <t>Panama</t>
  </si>
  <si>
    <t>Plexaura kuna</t>
  </si>
  <si>
    <t>cryptic</t>
  </si>
  <si>
    <t>PurPFlex</t>
  </si>
  <si>
    <t>B</t>
  </si>
  <si>
    <t>Florida</t>
  </si>
  <si>
    <t>Eunicea flexuosa</t>
  </si>
  <si>
    <t>CCMP 2460/ rt002(1)</t>
  </si>
  <si>
    <t>Aiptasia pallida</t>
  </si>
  <si>
    <t>25° N  80.5° W </t>
  </si>
  <si>
    <t>rt383(2)</t>
  </si>
  <si>
    <t>E</t>
  </si>
  <si>
    <t>vor</t>
  </si>
  <si>
    <t>Santa Barbara CA</t>
  </si>
  <si>
    <t>Anthopleura elegantissima (likely free living)</t>
  </si>
  <si>
    <t>34.4044° N  119.8439° W </t>
  </si>
  <si>
    <t>free</t>
  </si>
  <si>
    <t>psyg</t>
  </si>
  <si>
    <t>smic-250-1-1</t>
  </si>
  <si>
    <t>smic-250-1-2</t>
  </si>
  <si>
    <t>smic-250-1-3</t>
  </si>
  <si>
    <t>smic-250-2-1</t>
  </si>
  <si>
    <t>smic-250-2-2</t>
  </si>
  <si>
    <t>smic-250-2-3</t>
  </si>
  <si>
    <t>smic-250-3-1</t>
  </si>
  <si>
    <t>smic-250-3-2</t>
  </si>
  <si>
    <t>smic-250-3-3</t>
  </si>
  <si>
    <t>vor-250-1-1</t>
  </si>
  <si>
    <t>vor-250-1-2</t>
  </si>
  <si>
    <t>vor-250-1-3</t>
  </si>
  <si>
    <t>vor-250-2-1</t>
  </si>
  <si>
    <t>vor-250-2-2</t>
  </si>
  <si>
    <t>vor-250-2-3</t>
  </si>
  <si>
    <t>vor-250-3-1</t>
  </si>
  <si>
    <t>vor-250-3-3</t>
  </si>
  <si>
    <t>vor-250-3-2</t>
  </si>
  <si>
    <t>smic-250</t>
  </si>
  <si>
    <t>vor-250</t>
  </si>
  <si>
    <t>min-250-1-1</t>
  </si>
  <si>
    <t>min-250-1-2</t>
  </si>
  <si>
    <t>min-250-1-3</t>
  </si>
  <si>
    <t>min-250-2-1</t>
  </si>
  <si>
    <t>min-250-2-2</t>
  </si>
  <si>
    <t>min-250-2-3</t>
  </si>
  <si>
    <t>min-250-3-1</t>
  </si>
  <si>
    <t>min-250-3-2</t>
  </si>
  <si>
    <t>min-250-3-3</t>
  </si>
  <si>
    <t>psyg-250-1-1</t>
  </si>
  <si>
    <t>psyg-250-1-2</t>
  </si>
  <si>
    <t>psyg-250-1-3</t>
  </si>
  <si>
    <t>psyg-250-2-1</t>
  </si>
  <si>
    <t>psyg-250-2-2</t>
  </si>
  <si>
    <t>psyg-250-2-3</t>
  </si>
  <si>
    <t>psyg-250-3-1</t>
  </si>
  <si>
    <t>psyg-250-3-2</t>
  </si>
  <si>
    <t>psyg-250-3-3</t>
  </si>
  <si>
    <t>min-250</t>
  </si>
  <si>
    <t>psyg-250</t>
  </si>
  <si>
    <t>pseudo-250</t>
  </si>
  <si>
    <t>min250</t>
  </si>
  <si>
    <t>psyg250</t>
  </si>
  <si>
    <t>smic250</t>
  </si>
  <si>
    <t>vor250</t>
  </si>
  <si>
    <t>Day 36 cells/mL</t>
  </si>
  <si>
    <t>Day 36 avg</t>
  </si>
  <si>
    <t>Day 36 date</t>
  </si>
  <si>
    <t>Day 38 cells/mL</t>
  </si>
  <si>
    <t>Day 38 avg</t>
  </si>
  <si>
    <t>Day 38 date</t>
  </si>
  <si>
    <t>Day 40 cells/mL</t>
  </si>
  <si>
    <t>Day 40 avg</t>
  </si>
  <si>
    <t>Day 40 date</t>
  </si>
  <si>
    <t>Day 42 cells/mL</t>
  </si>
  <si>
    <t>Day 42 avg</t>
  </si>
  <si>
    <t>Day 42 date</t>
  </si>
  <si>
    <t>Day 44 cells/mL</t>
  </si>
  <si>
    <t>Day 44 avg</t>
  </si>
  <si>
    <t>Day 44 date</t>
  </si>
  <si>
    <t>Day 46 cells/mL</t>
  </si>
  <si>
    <t>Day 46 avg</t>
  </si>
  <si>
    <t>Day 46 date</t>
  </si>
  <si>
    <t>Day 48 cells/mL</t>
  </si>
  <si>
    <t>Day 48 avg</t>
  </si>
  <si>
    <t>Day 48 date</t>
  </si>
  <si>
    <t>Day 0 std</t>
  </si>
  <si>
    <t>Day 2 std</t>
  </si>
  <si>
    <t>Day 6 std</t>
  </si>
  <si>
    <t>Day 4 std</t>
  </si>
  <si>
    <t>Day 8 std</t>
  </si>
  <si>
    <t>Day 10 std</t>
  </si>
  <si>
    <t>Day 12 std</t>
  </si>
  <si>
    <t>Day 14 std</t>
  </si>
  <si>
    <t>Day 16 std</t>
  </si>
  <si>
    <t>Day 18 std</t>
  </si>
  <si>
    <t>Day 20 std</t>
  </si>
  <si>
    <t>Day 22 std</t>
  </si>
  <si>
    <t>Day 24 std</t>
  </si>
  <si>
    <t>Day 26 std</t>
  </si>
  <si>
    <t>Day 28 std</t>
  </si>
  <si>
    <t>Day 30 std</t>
  </si>
  <si>
    <t>Day 32 std</t>
  </si>
  <si>
    <t>Day 34 std</t>
  </si>
  <si>
    <t>Day 36 std</t>
  </si>
  <si>
    <t>Day 38 std</t>
  </si>
  <si>
    <t>Day 40 std</t>
  </si>
  <si>
    <t>Day 42 std</t>
  </si>
  <si>
    <t>Day 44 std</t>
  </si>
  <si>
    <t>Day 46 std</t>
  </si>
  <si>
    <t>Day 48 std</t>
  </si>
  <si>
    <t>necro50_std</t>
  </si>
  <si>
    <t>necro0_std</t>
  </si>
  <si>
    <t>necro100_std</t>
  </si>
  <si>
    <t>necro250_std</t>
  </si>
  <si>
    <t>psyg0_std</t>
  </si>
  <si>
    <t>psyg50_std</t>
  </si>
  <si>
    <t>psyg100_std</t>
  </si>
  <si>
    <t>psyg250_std</t>
  </si>
  <si>
    <t>min0_std</t>
  </si>
  <si>
    <t>min50_std</t>
  </si>
  <si>
    <t>min100_std</t>
  </si>
  <si>
    <t>min250_std</t>
  </si>
  <si>
    <t>smic0_std</t>
  </si>
  <si>
    <t>smic50_std</t>
  </si>
  <si>
    <t>smic100_std</t>
  </si>
  <si>
    <t>smic250_std</t>
  </si>
  <si>
    <t>vor0_std</t>
  </si>
  <si>
    <t>vor50_std</t>
  </si>
  <si>
    <t>vor100_std</t>
  </si>
  <si>
    <t>vor250_std</t>
  </si>
  <si>
    <t>Breviolum psygmophilum</t>
  </si>
  <si>
    <t>Breviolum minutum</t>
  </si>
  <si>
    <t>Effrenium voratum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</si>
</sst>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13" fillId="0" borderId="1" xfId="0" applyFont="1" applyBorder="1"/>
    <xf numFmtId="0" fontId="0" fillId="0" borderId="0" xfId="0" applyFill="1"/>
    <xf numFmtId="0" fontId="13" fillId="0" borderId="1" xfId="0" applyFont="1" applyFill="1" applyBorder="1"/>
    <xf numFmtId="2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 applyFill="1"/>
    <xf numFmtId="14" fontId="0" fillId="0" borderId="0" xfId="0" applyNumberFormat="1" applyFill="1"/>
    <xf numFmtId="164" fontId="13" fillId="0" borderId="1" xfId="1" applyNumberFormat="1" applyFont="1" applyFill="1" applyBorder="1"/>
    <xf numFmtId="43" fontId="0" fillId="0" borderId="0" xfId="0" applyNumberFormat="1" applyFill="1"/>
    <xf numFmtId="43" fontId="0" fillId="0" borderId="0" xfId="1" applyFont="1" applyFill="1"/>
    <xf numFmtId="2" fontId="13" fillId="0" borderId="1" xfId="0" applyNumberFormat="1" applyFont="1" applyFill="1" applyBorder="1"/>
    <xf numFmtId="15" fontId="0" fillId="0" borderId="0" xfId="0" applyNumberFormat="1"/>
    <xf numFmtId="43" fontId="0" fillId="0" borderId="0" xfId="1" applyFont="1"/>
    <xf numFmtId="0" fontId="0" fillId="2" borderId="0" xfId="0" applyFill="1"/>
    <xf numFmtId="14" fontId="0" fillId="2" borderId="0" xfId="0" applyNumberFormat="1" applyFill="1"/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/>
    <xf numFmtId="0" fontId="13" fillId="0" borderId="4" xfId="0" applyFont="1" applyFill="1" applyBorder="1"/>
    <xf numFmtId="0" fontId="0" fillId="0" borderId="3" xfId="0" applyFill="1" applyBorder="1"/>
    <xf numFmtId="1" fontId="13" fillId="0" borderId="7" xfId="0" applyNumberFormat="1" applyFont="1" applyBorder="1"/>
    <xf numFmtId="1" fontId="13" fillId="0" borderId="1" xfId="0" applyNumberFormat="1" applyFont="1" applyBorder="1"/>
    <xf numFmtId="1" fontId="13" fillId="0" borderId="6" xfId="0" applyNumberFormat="1" applyFont="1" applyBorder="1"/>
    <xf numFmtId="1" fontId="0" fillId="0" borderId="0" xfId="1" applyNumberFormat="1" applyFont="1"/>
    <xf numFmtId="1" fontId="0" fillId="0" borderId="0" xfId="0" applyNumberFormat="1"/>
    <xf numFmtId="1" fontId="0" fillId="4" borderId="0" xfId="1" applyNumberFormat="1" applyFont="1" applyFill="1"/>
    <xf numFmtId="1" fontId="0" fillId="3" borderId="0" xfId="1" applyNumberFormat="1" applyFont="1" applyFill="1"/>
    <xf numFmtId="1" fontId="0" fillId="2" borderId="0" xfId="1" applyNumberFormat="1" applyFont="1" applyFill="1"/>
    <xf numFmtId="1" fontId="0" fillId="3" borderId="0" xfId="0" applyNumberFormat="1" applyFill="1"/>
    <xf numFmtId="1" fontId="14" fillId="0" borderId="0" xfId="1" applyNumberFormat="1" applyFont="1"/>
    <xf numFmtId="1" fontId="0" fillId="2" borderId="0" xfId="0" applyNumberFormat="1" applyFill="1"/>
    <xf numFmtId="1" fontId="14" fillId="0" borderId="1" xfId="1" applyNumberFormat="1" applyFont="1" applyBorder="1"/>
    <xf numFmtId="1" fontId="6" fillId="0" borderId="0" xfId="1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1" fontId="0" fillId="3" borderId="1" xfId="1" applyNumberFormat="1" applyFont="1" applyFill="1" applyBorder="1"/>
    <xf numFmtId="1" fontId="14" fillId="3" borderId="0" xfId="1" applyNumberFormat="1" applyFont="1" applyFill="1"/>
    <xf numFmtId="1" fontId="11" fillId="0" borderId="0" xfId="1" applyNumberFormat="1" applyFont="1"/>
    <xf numFmtId="1" fontId="10" fillId="0" borderId="0" xfId="1" applyNumberFormat="1" applyFont="1" applyBorder="1"/>
    <xf numFmtId="1" fontId="8" fillId="0" borderId="0" xfId="1" applyNumberFormat="1" applyFont="1"/>
    <xf numFmtId="1" fontId="0" fillId="0" borderId="1" xfId="1" applyNumberFormat="1" applyFont="1" applyBorder="1"/>
    <xf numFmtId="1" fontId="7" fillId="0" borderId="0" xfId="1" applyNumberFormat="1" applyFont="1"/>
    <xf numFmtId="1" fontId="9" fillId="0" borderId="1" xfId="1" applyNumberFormat="1" applyFont="1" applyBorder="1"/>
    <xf numFmtId="1" fontId="0" fillId="0" borderId="0" xfId="1" applyNumberFormat="1" applyFont="1" applyBorder="1"/>
    <xf numFmtId="1" fontId="14" fillId="0" borderId="0" xfId="1" applyNumberFormat="1" applyFont="1" applyBorder="1"/>
    <xf numFmtId="1" fontId="13" fillId="0" borderId="5" xfId="0" applyNumberFormat="1" applyFont="1" applyBorder="1"/>
    <xf numFmtId="1" fontId="5" fillId="0" borderId="0" xfId="1" applyNumberFormat="1" applyFont="1"/>
    <xf numFmtId="1" fontId="14" fillId="0" borderId="0" xfId="1" applyNumberFormat="1" applyFont="1" applyFill="1"/>
    <xf numFmtId="1" fontId="4" fillId="0" borderId="0" xfId="1" applyNumberFormat="1" applyFont="1"/>
    <xf numFmtId="1" fontId="3" fillId="0" borderId="1" xfId="1" applyNumberFormat="1" applyFont="1" applyBorder="1"/>
    <xf numFmtId="1" fontId="2" fillId="0" borderId="0" xfId="1" applyNumberFormat="1" applyFont="1"/>
    <xf numFmtId="1" fontId="2" fillId="0" borderId="1" xfId="1" applyNumberFormat="1" applyFont="1" applyBorder="1"/>
    <xf numFmtId="1" fontId="1" fillId="0" borderId="1" xfId="1" applyNumberFormat="1" applyFont="1" applyBorder="1"/>
    <xf numFmtId="2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165100</xdr:rowOff>
    </xdr:from>
    <xdr:to>
      <xdr:col>8</xdr:col>
      <xdr:colOff>215900</xdr:colOff>
      <xdr:row>20</xdr:row>
      <xdr:rowOff>25400</xdr:rowOff>
    </xdr:to>
    <xdr:sp macro="" textlink="">
      <xdr:nvSpPr>
        <xdr:cNvPr id="2" name="TextBox 1"/>
        <xdr:cNvSpPr txBox="1"/>
      </xdr:nvSpPr>
      <xdr:spPr>
        <a:xfrm>
          <a:off x="2705100" y="3009900"/>
          <a:ext cx="8382000" cy="250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File</a:t>
          </a:r>
          <a:r>
            <a:rPr lang="en-US" sz="1100" b="1" baseline="0"/>
            <a:t> information</a:t>
          </a:r>
        </a:p>
        <a:p>
          <a:endParaRPr lang="en-US" sz="1100" b="1" baseline="0"/>
        </a:p>
        <a:p>
          <a:r>
            <a:rPr lang="en-US" sz="1100" b="0" baseline="0"/>
            <a:t>sheet 1: species information, strain #, isolation info etc of species worked with during summer 2017</a:t>
          </a:r>
        </a:p>
        <a:p>
          <a:r>
            <a:rPr lang="en-US" sz="1100" b="0" baseline="0"/>
            <a:t>            -species in red were sent over to Academia Sinica but not used for experimentation</a:t>
          </a:r>
        </a:p>
        <a:p>
          <a:r>
            <a:rPr lang="en-US" sz="1100" b="0" baseline="0"/>
            <a:t>            -</a:t>
          </a:r>
          <a:r>
            <a:rPr lang="en-US" sz="1100" b="0"/>
            <a:t>all species were exposed to 0, 50, 100, 250 nM iron </a:t>
          </a:r>
        </a:p>
        <a:p>
          <a:r>
            <a:rPr lang="en-US" sz="1100" b="0"/>
            <a:t>sheet 2:</a:t>
          </a:r>
        </a:p>
        <a:p>
          <a:endParaRPr lang="en-US" sz="1100" b="0"/>
        </a:p>
        <a:p>
          <a:r>
            <a:rPr lang="en-US" sz="1100" b="0"/>
            <a:t>sheet 3:</a:t>
          </a:r>
          <a:r>
            <a:rPr lang="en-US" sz="1100" b="0" baseline="0"/>
            <a:t> avg cell density and standard deviation by day for all treatments</a:t>
          </a:r>
        </a:p>
        <a:p>
          <a:r>
            <a:rPr lang="en-US" sz="1100" b="0" baseline="0"/>
            <a:t>             -red highlight = day where no working coulter counter available</a:t>
          </a:r>
        </a:p>
        <a:p>
          <a:r>
            <a:rPr lang="en-US" sz="1100" b="0" baseline="0"/>
            <a:t>             -yellow highlight = counted using Z2</a:t>
          </a:r>
        </a:p>
        <a:p>
          <a:r>
            <a:rPr lang="en-US" sz="1100" b="0" baseline="0"/>
            <a:t>             -red font = day where Trace Metal  harvesting occured</a:t>
          </a:r>
          <a:endParaRPr lang="en-US" sz="1100" b="0"/>
        </a:p>
        <a:p>
          <a:endParaRPr lang="en-US" sz="1100" b="0"/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8" sqref="A28"/>
    </sheetView>
  </sheetViews>
  <sheetFormatPr baseColWidth="10" defaultColWidth="11" defaultRowHeight="16" x14ac:dyDescent="0.2"/>
  <cols>
    <col min="1" max="1" width="33.5" customWidth="1"/>
    <col min="2" max="2" width="19.5" customWidth="1"/>
    <col min="4" max="4" width="15" customWidth="1"/>
    <col min="5" max="5" width="16.33203125" customWidth="1"/>
    <col min="6" max="6" width="25.83203125" customWidth="1"/>
  </cols>
  <sheetData>
    <row r="1" spans="1:8" x14ac:dyDescent="0.2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6" t="s">
        <v>255</v>
      </c>
    </row>
    <row r="2" spans="1:8" x14ac:dyDescent="0.2">
      <c r="A2" t="s">
        <v>256</v>
      </c>
      <c r="B2" t="s">
        <v>257</v>
      </c>
      <c r="C2" t="s">
        <v>258</v>
      </c>
      <c r="D2" t="s">
        <v>25</v>
      </c>
      <c r="E2" t="s">
        <v>259</v>
      </c>
      <c r="F2" t="s">
        <v>260</v>
      </c>
      <c r="G2" t="s">
        <v>261</v>
      </c>
      <c r="H2" s="17"/>
    </row>
    <row r="3" spans="1:8" x14ac:dyDescent="0.2">
      <c r="A3" t="s">
        <v>263</v>
      </c>
      <c r="B3" t="s">
        <v>264</v>
      </c>
      <c r="C3" t="s">
        <v>258</v>
      </c>
      <c r="D3" t="s">
        <v>265</v>
      </c>
      <c r="E3" t="s">
        <v>266</v>
      </c>
      <c r="F3" t="s">
        <v>267</v>
      </c>
      <c r="H3" s="17" t="s">
        <v>268</v>
      </c>
    </row>
    <row r="4" spans="1:8" x14ac:dyDescent="0.2">
      <c r="A4" t="s">
        <v>395</v>
      </c>
      <c r="B4" t="s">
        <v>269</v>
      </c>
      <c r="C4" t="s">
        <v>270</v>
      </c>
      <c r="D4" t="s">
        <v>283</v>
      </c>
      <c r="E4" t="s">
        <v>271</v>
      </c>
      <c r="F4" t="s">
        <v>272</v>
      </c>
      <c r="H4" s="17" t="s">
        <v>262</v>
      </c>
    </row>
    <row r="5" spans="1:8" x14ac:dyDescent="0.2">
      <c r="A5" t="s">
        <v>396</v>
      </c>
      <c r="B5" t="s">
        <v>273</v>
      </c>
      <c r="C5" t="s">
        <v>270</v>
      </c>
      <c r="D5" t="s">
        <v>26</v>
      </c>
      <c r="E5" t="s">
        <v>271</v>
      </c>
      <c r="F5" t="s">
        <v>274</v>
      </c>
      <c r="G5" t="s">
        <v>275</v>
      </c>
      <c r="H5" s="17" t="s">
        <v>262</v>
      </c>
    </row>
    <row r="6" spans="1:8" x14ac:dyDescent="0.2">
      <c r="A6" t="s">
        <v>397</v>
      </c>
      <c r="B6" t="s">
        <v>276</v>
      </c>
      <c r="C6" t="s">
        <v>277</v>
      </c>
      <c r="D6" t="s">
        <v>278</v>
      </c>
      <c r="E6" t="s">
        <v>279</v>
      </c>
      <c r="F6" t="s">
        <v>280</v>
      </c>
      <c r="G6" t="s">
        <v>281</v>
      </c>
      <c r="H6" s="17" t="s">
        <v>282</v>
      </c>
    </row>
  </sheetData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1"/>
  <sheetViews>
    <sheetView tabSelected="1" workbookViewId="0">
      <pane xSplit="1" ySplit="1" topLeftCell="BA183" activePane="bottomRight" state="frozen"/>
      <selection pane="topRight" activeCell="F1" sqref="F1"/>
      <selection pane="bottomLeft" activeCell="A2" sqref="A2"/>
      <selection pane="bottomRight" activeCell="BF209" sqref="BE209:BF209"/>
    </sheetView>
  </sheetViews>
  <sheetFormatPr baseColWidth="10" defaultColWidth="10.83203125" defaultRowHeight="16" x14ac:dyDescent="0.2"/>
  <cols>
    <col min="1" max="1" width="16.1640625" style="20" customWidth="1"/>
    <col min="2" max="2" width="16.1640625" style="2" customWidth="1"/>
    <col min="3" max="3" width="9.6640625" style="2" customWidth="1"/>
    <col min="4" max="4" width="9.1640625" style="2" customWidth="1"/>
    <col min="5" max="5" width="10.83203125" style="2"/>
    <col min="6" max="6" width="16.33203125" style="2" customWidth="1"/>
    <col min="7" max="7" width="9.6640625" style="2" customWidth="1"/>
    <col min="8" max="8" width="10.5" style="2" customWidth="1"/>
    <col min="9" max="9" width="10.83203125" style="2"/>
    <col min="10" max="10" width="13.5" style="2" customWidth="1"/>
    <col min="11" max="12" width="10.5" style="2" customWidth="1"/>
    <col min="13" max="13" width="10.83203125" style="2"/>
    <col min="14" max="14" width="14.6640625" style="2" customWidth="1"/>
    <col min="15" max="16" width="10.6640625" style="2" customWidth="1"/>
    <col min="17" max="17" width="10.83203125" style="2"/>
    <col min="18" max="18" width="13.33203125" style="4" customWidth="1"/>
    <col min="19" max="20" width="10.83203125" style="4"/>
    <col min="21" max="42" width="10.83203125" style="2"/>
    <col min="43" max="43" width="11.33203125" style="2" bestFit="1" customWidth="1"/>
    <col min="44" max="46" width="10.83203125" style="2"/>
    <col min="47" max="47" width="13" style="2" bestFit="1" customWidth="1"/>
    <col min="48" max="50" width="10.83203125" style="2"/>
    <col min="51" max="51" width="13" style="2" bestFit="1" customWidth="1"/>
    <col min="52" max="54" width="10.83203125" style="2"/>
    <col min="55" max="55" width="11.33203125" style="2" bestFit="1" customWidth="1"/>
    <col min="56" max="58" width="10.83203125" style="2"/>
    <col min="59" max="59" width="11.33203125" style="2" bestFit="1" customWidth="1"/>
    <col min="60" max="62" width="10.83203125" style="2"/>
    <col min="63" max="63" width="13" style="2" bestFit="1" customWidth="1"/>
    <col min="64" max="66" width="10.83203125" style="2"/>
    <col min="67" max="67" width="13" style="2" bestFit="1" customWidth="1"/>
    <col min="68" max="70" width="10.83203125" style="2"/>
    <col min="71" max="71" width="13" style="2" bestFit="1" customWidth="1"/>
    <col min="72" max="78" width="10.83203125" style="2"/>
    <col min="79" max="79" width="11.33203125" style="2" bestFit="1" customWidth="1"/>
    <col min="80" max="82" width="10.83203125" style="2"/>
    <col min="83" max="83" width="11.33203125" style="2" bestFit="1" customWidth="1"/>
    <col min="84" max="16384" width="10.83203125" style="2"/>
  </cols>
  <sheetData>
    <row r="1" spans="1:101" s="3" customFormat="1" x14ac:dyDescent="0.2">
      <c r="A1" s="19" t="s">
        <v>5</v>
      </c>
      <c r="B1" s="3" t="s">
        <v>3</v>
      </c>
      <c r="C1" s="3" t="s">
        <v>90</v>
      </c>
      <c r="D1" s="3" t="s">
        <v>350</v>
      </c>
      <c r="E1" s="3" t="s">
        <v>4</v>
      </c>
      <c r="F1" s="3" t="s">
        <v>45</v>
      </c>
      <c r="G1" s="3" t="s">
        <v>89</v>
      </c>
      <c r="H1" s="3" t="s">
        <v>351</v>
      </c>
      <c r="I1" s="3" t="s">
        <v>46</v>
      </c>
      <c r="J1" s="3" t="s">
        <v>49</v>
      </c>
      <c r="K1" s="3" t="s">
        <v>87</v>
      </c>
      <c r="L1" s="3" t="s">
        <v>353</v>
      </c>
      <c r="M1" s="3" t="s">
        <v>47</v>
      </c>
      <c r="N1" s="3" t="s">
        <v>50</v>
      </c>
      <c r="O1" s="3" t="s">
        <v>88</v>
      </c>
      <c r="P1" s="3" t="s">
        <v>352</v>
      </c>
      <c r="Q1" s="3" t="s">
        <v>48</v>
      </c>
      <c r="R1" s="11" t="s">
        <v>102</v>
      </c>
      <c r="S1" s="11" t="s">
        <v>100</v>
      </c>
      <c r="T1" s="11" t="s">
        <v>354</v>
      </c>
      <c r="U1" s="3" t="s">
        <v>101</v>
      </c>
      <c r="V1" s="11" t="s">
        <v>103</v>
      </c>
      <c r="W1" s="11" t="s">
        <v>104</v>
      </c>
      <c r="X1" s="11" t="s">
        <v>355</v>
      </c>
      <c r="Y1" s="3" t="s">
        <v>105</v>
      </c>
      <c r="Z1" s="11" t="s">
        <v>120</v>
      </c>
      <c r="AA1" s="11" t="s">
        <v>121</v>
      </c>
      <c r="AB1" s="11" t="s">
        <v>356</v>
      </c>
      <c r="AC1" s="3" t="s">
        <v>122</v>
      </c>
      <c r="AD1" s="11" t="s">
        <v>123</v>
      </c>
      <c r="AE1" s="11" t="s">
        <v>124</v>
      </c>
      <c r="AF1" s="11" t="s">
        <v>357</v>
      </c>
      <c r="AG1" s="3" t="s">
        <v>125</v>
      </c>
      <c r="AH1" s="11" t="s">
        <v>126</v>
      </c>
      <c r="AI1" s="11" t="s">
        <v>127</v>
      </c>
      <c r="AJ1" s="11" t="s">
        <v>358</v>
      </c>
      <c r="AK1" s="3" t="s">
        <v>128</v>
      </c>
      <c r="AL1" s="11" t="s">
        <v>129</v>
      </c>
      <c r="AM1" s="11" t="s">
        <v>130</v>
      </c>
      <c r="AN1" s="11" t="s">
        <v>359</v>
      </c>
      <c r="AO1" s="3" t="s">
        <v>131</v>
      </c>
      <c r="AP1" s="11" t="s">
        <v>132</v>
      </c>
      <c r="AQ1" s="11" t="s">
        <v>133</v>
      </c>
      <c r="AR1" s="11" t="s">
        <v>360</v>
      </c>
      <c r="AS1" s="3" t="s">
        <v>134</v>
      </c>
      <c r="AT1" s="11" t="s">
        <v>135</v>
      </c>
      <c r="AU1" s="11" t="s">
        <v>136</v>
      </c>
      <c r="AV1" s="11" t="s">
        <v>361</v>
      </c>
      <c r="AW1" s="3" t="s">
        <v>137</v>
      </c>
      <c r="AX1" s="11" t="s">
        <v>153</v>
      </c>
      <c r="AY1" s="11" t="s">
        <v>154</v>
      </c>
      <c r="AZ1" s="11" t="s">
        <v>362</v>
      </c>
      <c r="BA1" s="3" t="s">
        <v>155</v>
      </c>
      <c r="BB1" s="11" t="s">
        <v>189</v>
      </c>
      <c r="BC1" s="11" t="s">
        <v>190</v>
      </c>
      <c r="BD1" s="11" t="s">
        <v>363</v>
      </c>
      <c r="BE1" s="3" t="s">
        <v>191</v>
      </c>
      <c r="BF1" s="11" t="s">
        <v>192</v>
      </c>
      <c r="BG1" s="11" t="s">
        <v>193</v>
      </c>
      <c r="BH1" s="11" t="s">
        <v>364</v>
      </c>
      <c r="BI1" s="3" t="s">
        <v>194</v>
      </c>
      <c r="BJ1" s="11" t="s">
        <v>195</v>
      </c>
      <c r="BK1" s="11" t="s">
        <v>196</v>
      </c>
      <c r="BL1" s="11" t="s">
        <v>365</v>
      </c>
      <c r="BM1" s="3" t="s">
        <v>197</v>
      </c>
      <c r="BN1" s="11" t="s">
        <v>221</v>
      </c>
      <c r="BO1" s="11" t="s">
        <v>222</v>
      </c>
      <c r="BP1" s="11" t="s">
        <v>366</v>
      </c>
      <c r="BQ1" s="3" t="s">
        <v>223</v>
      </c>
      <c r="BR1" s="11" t="s">
        <v>224</v>
      </c>
      <c r="BS1" s="11" t="s">
        <v>225</v>
      </c>
      <c r="BT1" s="11" t="s">
        <v>367</v>
      </c>
      <c r="BU1" s="3" t="s">
        <v>226</v>
      </c>
      <c r="BV1" s="11" t="s">
        <v>329</v>
      </c>
      <c r="BW1" s="11" t="s">
        <v>330</v>
      </c>
      <c r="BX1" s="11" t="s">
        <v>368</v>
      </c>
      <c r="BY1" s="3" t="s">
        <v>331</v>
      </c>
      <c r="BZ1" s="11" t="s">
        <v>332</v>
      </c>
      <c r="CA1" s="11" t="s">
        <v>333</v>
      </c>
      <c r="CB1" s="11" t="s">
        <v>369</v>
      </c>
      <c r="CC1" s="3" t="s">
        <v>334</v>
      </c>
      <c r="CD1" s="11" t="s">
        <v>335</v>
      </c>
      <c r="CE1" s="11" t="s">
        <v>336</v>
      </c>
      <c r="CF1" s="11" t="s">
        <v>370</v>
      </c>
      <c r="CG1" s="3" t="s">
        <v>337</v>
      </c>
      <c r="CH1" s="11" t="s">
        <v>338</v>
      </c>
      <c r="CI1" s="11" t="s">
        <v>339</v>
      </c>
      <c r="CJ1" s="11" t="s">
        <v>371</v>
      </c>
      <c r="CK1" s="3" t="s">
        <v>340</v>
      </c>
      <c r="CL1" s="11" t="s">
        <v>341</v>
      </c>
      <c r="CM1" s="11" t="s">
        <v>342</v>
      </c>
      <c r="CN1" s="11" t="s">
        <v>372</v>
      </c>
      <c r="CO1" s="3" t="s">
        <v>343</v>
      </c>
      <c r="CP1" s="11" t="s">
        <v>344</v>
      </c>
      <c r="CQ1" s="11" t="s">
        <v>345</v>
      </c>
      <c r="CR1" s="11" t="s">
        <v>373</v>
      </c>
      <c r="CS1" s="3" t="s">
        <v>346</v>
      </c>
      <c r="CT1" s="11" t="s">
        <v>347</v>
      </c>
      <c r="CU1" s="11" t="s">
        <v>348</v>
      </c>
      <c r="CV1" s="11" t="s">
        <v>374</v>
      </c>
      <c r="CW1" s="3" t="s">
        <v>349</v>
      </c>
    </row>
    <row r="2" spans="1:101" x14ac:dyDescent="0.2">
      <c r="A2" s="20" t="s">
        <v>7</v>
      </c>
      <c r="B2" s="18">
        <f>(innoculationdensity!$D$2*2)/1000</f>
        <v>1152.4000000000001</v>
      </c>
      <c r="C2" s="56">
        <f>AVERAGE(B2:B10)</f>
        <v>1152.3999999999999</v>
      </c>
      <c r="D2" s="56">
        <f>(STDEV(B2:B10))</f>
        <v>2.4116620165382783E-13</v>
      </c>
      <c r="E2" s="7">
        <v>42899</v>
      </c>
      <c r="F2" s="2">
        <v>1311</v>
      </c>
      <c r="G2" s="56">
        <f>AVERAGE(F2:F10)</f>
        <v>1411.3333333333333</v>
      </c>
      <c r="H2" s="56">
        <f>(STDEV(F2:F10))</f>
        <v>153.23185047502363</v>
      </c>
      <c r="I2" s="7">
        <v>42901</v>
      </c>
      <c r="J2" s="2">
        <v>1775</v>
      </c>
      <c r="K2" s="56">
        <f>AVERAGE(J2:J10)</f>
        <v>2044.7777777777778</v>
      </c>
      <c r="L2" s="56">
        <f>(STDEV(J2:J10))</f>
        <v>307.77620837947177</v>
      </c>
      <c r="M2" s="7">
        <v>42903</v>
      </c>
      <c r="N2" s="2">
        <v>2115</v>
      </c>
      <c r="O2" s="56">
        <f>AVERAGE(N2:N10)</f>
        <v>2474.6666666666665</v>
      </c>
      <c r="P2" s="56">
        <f>(STDEV(N2:N10))</f>
        <v>300.34854752437207</v>
      </c>
      <c r="Q2" s="7">
        <v>42905</v>
      </c>
      <c r="R2" s="4">
        <v>2399</v>
      </c>
      <c r="S2" s="54">
        <f>AVERAGE(R2:R10)</f>
        <v>2744.3333333333335</v>
      </c>
      <c r="T2" s="56">
        <f>(STDEV(R2:R10))</f>
        <v>266.37567456507736</v>
      </c>
      <c r="U2" s="7">
        <v>42907</v>
      </c>
      <c r="V2" s="2">
        <v>2575</v>
      </c>
      <c r="W2" s="54">
        <f>AVERAGE(V2:V10)</f>
        <v>2821.6666666666665</v>
      </c>
      <c r="X2" s="56">
        <f>(STDEV(V2:V10))</f>
        <v>273.66174376408554</v>
      </c>
      <c r="Y2" s="7">
        <v>42909</v>
      </c>
      <c r="Z2" s="2">
        <v>2475</v>
      </c>
      <c r="AA2" s="54">
        <f>AVERAGE(Z2:Z10)</f>
        <v>2763.5555555555557</v>
      </c>
      <c r="AB2" s="56">
        <f>(STDEV(Z2:Z10))</f>
        <v>289.29099152544967</v>
      </c>
      <c r="AC2" s="7">
        <v>42911</v>
      </c>
      <c r="AD2" s="2">
        <v>2390</v>
      </c>
      <c r="AE2" s="54">
        <f>AVERAGE(AD2:AD10)</f>
        <v>2730</v>
      </c>
      <c r="AF2" s="56">
        <f>(STDEV(AD2:AD10))</f>
        <v>337.17132143763354</v>
      </c>
      <c r="AG2" s="7">
        <v>42913</v>
      </c>
      <c r="AH2" s="2">
        <v>2315</v>
      </c>
      <c r="AI2" s="54">
        <f>AVERAGE(AH2:AH10)</f>
        <v>2606.7777777777778</v>
      </c>
      <c r="AJ2" s="56">
        <f>(STDEV(AH2:AH10))</f>
        <v>282.23739023106776</v>
      </c>
      <c r="AK2" s="7">
        <v>42915</v>
      </c>
      <c r="AL2" s="2">
        <v>2010</v>
      </c>
      <c r="AM2" s="54">
        <f>AVERAGE(AL2:AL10)</f>
        <v>2374.5555555555557</v>
      </c>
      <c r="AN2" s="56">
        <f>(STDEV(AL2:AL10))</f>
        <v>361.49104799120266</v>
      </c>
      <c r="AO2" s="7">
        <v>42917</v>
      </c>
      <c r="AP2" s="2">
        <v>2114</v>
      </c>
      <c r="AQ2" s="54">
        <f>AVERAGE(AP2:AP10)</f>
        <v>2438</v>
      </c>
      <c r="AR2" s="56">
        <f>(STDEV(AP2:AP10))</f>
        <v>389.86856759682485</v>
      </c>
      <c r="AS2" s="7">
        <v>42919</v>
      </c>
      <c r="AT2" s="14"/>
      <c r="AU2" s="14"/>
      <c r="AV2" s="14"/>
      <c r="AW2" s="15"/>
      <c r="AX2" s="14"/>
      <c r="AY2" s="14"/>
      <c r="AZ2" s="14"/>
      <c r="BA2" s="15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</row>
    <row r="3" spans="1:101" x14ac:dyDescent="0.2">
      <c r="A3" s="20" t="s">
        <v>8</v>
      </c>
      <c r="B3" s="18">
        <f>(innoculationdensity!$D$2*2)/1000</f>
        <v>1152.4000000000001</v>
      </c>
      <c r="C3" s="55"/>
      <c r="D3" s="55"/>
      <c r="E3" s="7">
        <v>42899</v>
      </c>
      <c r="F3" s="2">
        <v>1223</v>
      </c>
      <c r="G3" s="55"/>
      <c r="H3" s="55"/>
      <c r="I3" s="7">
        <v>42901</v>
      </c>
      <c r="J3" s="2">
        <v>1829</v>
      </c>
      <c r="K3" s="55"/>
      <c r="L3" s="55"/>
      <c r="M3" s="7">
        <v>42903</v>
      </c>
      <c r="N3" s="2">
        <v>2110</v>
      </c>
      <c r="O3" s="55"/>
      <c r="P3" s="55"/>
      <c r="Q3" s="7">
        <v>42905</v>
      </c>
      <c r="R3" s="4">
        <v>2417</v>
      </c>
      <c r="S3" s="55"/>
      <c r="T3" s="55"/>
      <c r="U3" s="7">
        <v>42907</v>
      </c>
      <c r="V3" s="2">
        <v>2531</v>
      </c>
      <c r="W3" s="55"/>
      <c r="X3" s="55"/>
      <c r="Y3" s="7">
        <v>42909</v>
      </c>
      <c r="Z3" s="2">
        <v>2483</v>
      </c>
      <c r="AA3" s="55"/>
      <c r="AB3" s="55"/>
      <c r="AC3" s="7">
        <v>42911</v>
      </c>
      <c r="AD3" s="2">
        <v>2373</v>
      </c>
      <c r="AE3" s="55"/>
      <c r="AF3" s="55"/>
      <c r="AG3" s="7">
        <v>42913</v>
      </c>
      <c r="AH3" s="2">
        <v>2384</v>
      </c>
      <c r="AI3" s="55"/>
      <c r="AJ3" s="55"/>
      <c r="AK3" s="7">
        <v>42915</v>
      </c>
      <c r="AL3" s="2">
        <v>2033</v>
      </c>
      <c r="AM3" s="55"/>
      <c r="AN3" s="55"/>
      <c r="AO3" s="7">
        <v>42917</v>
      </c>
      <c r="AP3" s="2">
        <v>2069</v>
      </c>
      <c r="AQ3" s="55"/>
      <c r="AR3" s="55"/>
      <c r="AS3" s="7">
        <v>42919</v>
      </c>
      <c r="AT3" s="14"/>
      <c r="AU3" s="14"/>
      <c r="AV3" s="14"/>
      <c r="AW3" s="15"/>
      <c r="AX3" s="14"/>
      <c r="AY3" s="14"/>
      <c r="AZ3" s="14"/>
      <c r="BA3" s="15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</row>
    <row r="4" spans="1:101" x14ac:dyDescent="0.2">
      <c r="A4" s="20" t="s">
        <v>9</v>
      </c>
      <c r="B4" s="18">
        <f>(innoculationdensity!$D$2*2)/1000</f>
        <v>1152.4000000000001</v>
      </c>
      <c r="C4" s="55"/>
      <c r="D4" s="55"/>
      <c r="E4" s="7">
        <v>42899</v>
      </c>
      <c r="F4" s="2">
        <v>1246</v>
      </c>
      <c r="G4" s="55"/>
      <c r="H4" s="55"/>
      <c r="I4" s="7">
        <v>42901</v>
      </c>
      <c r="J4" s="2">
        <v>1800</v>
      </c>
      <c r="K4" s="55"/>
      <c r="L4" s="55"/>
      <c r="M4" s="7">
        <v>42903</v>
      </c>
      <c r="N4" s="2">
        <v>2116</v>
      </c>
      <c r="O4" s="55"/>
      <c r="P4" s="55"/>
      <c r="Q4" s="7">
        <v>42905</v>
      </c>
      <c r="R4" s="4">
        <v>2371</v>
      </c>
      <c r="S4" s="55"/>
      <c r="T4" s="55"/>
      <c r="U4" s="7">
        <v>42907</v>
      </c>
      <c r="V4" s="2">
        <v>2582</v>
      </c>
      <c r="W4" s="55"/>
      <c r="X4" s="55"/>
      <c r="Y4" s="7">
        <v>42909</v>
      </c>
      <c r="Z4" s="2">
        <v>2417</v>
      </c>
      <c r="AA4" s="55"/>
      <c r="AB4" s="55"/>
      <c r="AC4" s="7">
        <v>42911</v>
      </c>
      <c r="AD4" s="2">
        <v>2406</v>
      </c>
      <c r="AE4" s="55"/>
      <c r="AF4" s="55"/>
      <c r="AG4" s="7">
        <v>42913</v>
      </c>
      <c r="AH4" s="2">
        <v>2329</v>
      </c>
      <c r="AI4" s="55"/>
      <c r="AJ4" s="55"/>
      <c r="AK4" s="7">
        <v>42915</v>
      </c>
      <c r="AL4" s="2">
        <v>2048</v>
      </c>
      <c r="AM4" s="55"/>
      <c r="AN4" s="55"/>
      <c r="AO4" s="7">
        <v>42917</v>
      </c>
      <c r="AP4" s="2">
        <v>2016</v>
      </c>
      <c r="AQ4" s="55"/>
      <c r="AR4" s="55"/>
      <c r="AS4" s="7">
        <v>42919</v>
      </c>
      <c r="AT4" s="14"/>
      <c r="AU4" s="14"/>
      <c r="AV4" s="14"/>
      <c r="AW4" s="15"/>
      <c r="AX4" s="14"/>
      <c r="AY4" s="14"/>
      <c r="AZ4" s="14"/>
      <c r="BA4" s="15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</row>
    <row r="5" spans="1:101" x14ac:dyDescent="0.2">
      <c r="A5" s="20" t="s">
        <v>10</v>
      </c>
      <c r="B5" s="18">
        <f>(innoculationdensity!$D$2*2)/1000</f>
        <v>1152.4000000000001</v>
      </c>
      <c r="C5" s="55"/>
      <c r="D5" s="55"/>
      <c r="E5" s="7">
        <v>42899</v>
      </c>
      <c r="F5" s="2">
        <v>1368</v>
      </c>
      <c r="G5" s="55"/>
      <c r="H5" s="55"/>
      <c r="I5" s="7">
        <v>42901</v>
      </c>
      <c r="J5" s="2">
        <v>1895</v>
      </c>
      <c r="K5" s="55"/>
      <c r="L5" s="55"/>
      <c r="M5" s="7">
        <v>42903</v>
      </c>
      <c r="N5" s="2">
        <v>2542</v>
      </c>
      <c r="O5" s="55"/>
      <c r="P5" s="55"/>
      <c r="Q5" s="7">
        <v>42905</v>
      </c>
      <c r="R5" s="4">
        <v>2822</v>
      </c>
      <c r="S5" s="55"/>
      <c r="T5" s="55"/>
      <c r="U5" s="7">
        <v>42907</v>
      </c>
      <c r="V5" s="2">
        <v>2728</v>
      </c>
      <c r="W5" s="55"/>
      <c r="X5" s="55"/>
      <c r="Y5" s="7">
        <v>42909</v>
      </c>
      <c r="Z5" s="2">
        <v>2762</v>
      </c>
      <c r="AA5" s="55"/>
      <c r="AB5" s="55"/>
      <c r="AC5" s="7">
        <v>42911</v>
      </c>
      <c r="AD5" s="2">
        <v>2677</v>
      </c>
      <c r="AE5" s="55"/>
      <c r="AF5" s="55"/>
      <c r="AG5" s="7">
        <v>42913</v>
      </c>
      <c r="AH5" s="2">
        <v>2511</v>
      </c>
      <c r="AI5" s="55"/>
      <c r="AJ5" s="55"/>
      <c r="AK5" s="7">
        <v>42915</v>
      </c>
      <c r="AL5" s="2">
        <v>2263</v>
      </c>
      <c r="AM5" s="55"/>
      <c r="AN5" s="55"/>
      <c r="AO5" s="7">
        <v>42917</v>
      </c>
      <c r="AP5" s="2">
        <v>2332</v>
      </c>
      <c r="AQ5" s="55"/>
      <c r="AR5" s="55"/>
      <c r="AS5" s="7">
        <v>42919</v>
      </c>
      <c r="AT5" s="14"/>
      <c r="AU5" s="14"/>
      <c r="AV5" s="14"/>
      <c r="AW5" s="15"/>
      <c r="AX5" s="14"/>
      <c r="AY5" s="14"/>
      <c r="AZ5" s="14"/>
      <c r="BA5" s="15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</row>
    <row r="6" spans="1:101" x14ac:dyDescent="0.2">
      <c r="A6" s="20" t="s">
        <v>11</v>
      </c>
      <c r="B6" s="18">
        <f>(innoculationdensity!$D$2*2)/1000</f>
        <v>1152.4000000000001</v>
      </c>
      <c r="C6" s="55"/>
      <c r="D6" s="55"/>
      <c r="E6" s="7">
        <v>42899</v>
      </c>
      <c r="F6" s="2">
        <v>1371</v>
      </c>
      <c r="G6" s="55"/>
      <c r="H6" s="55"/>
      <c r="I6" s="7">
        <v>42901</v>
      </c>
      <c r="J6" s="2">
        <v>1872</v>
      </c>
      <c r="K6" s="55"/>
      <c r="L6" s="55"/>
      <c r="M6" s="7">
        <v>42903</v>
      </c>
      <c r="N6" s="2">
        <v>2488</v>
      </c>
      <c r="O6" s="55"/>
      <c r="P6" s="55"/>
      <c r="Q6" s="7">
        <v>42905</v>
      </c>
      <c r="R6" s="4">
        <v>2895</v>
      </c>
      <c r="S6" s="55"/>
      <c r="T6" s="55"/>
      <c r="U6" s="7">
        <v>42907</v>
      </c>
      <c r="V6" s="2">
        <v>2686</v>
      </c>
      <c r="W6" s="55"/>
      <c r="X6" s="55"/>
      <c r="Y6" s="7">
        <v>42909</v>
      </c>
      <c r="Z6" s="2">
        <v>2737</v>
      </c>
      <c r="AA6" s="55"/>
      <c r="AB6" s="55"/>
      <c r="AC6" s="7">
        <v>42911</v>
      </c>
      <c r="AD6" s="2">
        <v>2594</v>
      </c>
      <c r="AE6" s="55"/>
      <c r="AF6" s="55"/>
      <c r="AG6" s="7">
        <v>42913</v>
      </c>
      <c r="AH6" s="2">
        <v>2540</v>
      </c>
      <c r="AI6" s="55"/>
      <c r="AJ6" s="55"/>
      <c r="AK6" s="7">
        <v>42915</v>
      </c>
      <c r="AL6" s="2">
        <v>2289</v>
      </c>
      <c r="AM6" s="55"/>
      <c r="AN6" s="55"/>
      <c r="AO6" s="7">
        <v>42917</v>
      </c>
      <c r="AP6" s="2">
        <v>2293</v>
      </c>
      <c r="AQ6" s="55"/>
      <c r="AR6" s="55"/>
      <c r="AS6" s="7">
        <v>42919</v>
      </c>
      <c r="AT6" s="14"/>
      <c r="AU6" s="14"/>
      <c r="AV6" s="14"/>
      <c r="AW6" s="15"/>
      <c r="AX6" s="14"/>
      <c r="AY6" s="14"/>
      <c r="AZ6" s="14"/>
      <c r="BA6" s="15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</row>
    <row r="7" spans="1:101" x14ac:dyDescent="0.2">
      <c r="A7" s="20" t="s">
        <v>12</v>
      </c>
      <c r="B7" s="18">
        <f>(innoculationdensity!$D$2*2)/1000</f>
        <v>1152.4000000000001</v>
      </c>
      <c r="C7" s="55"/>
      <c r="D7" s="55"/>
      <c r="E7" s="7">
        <v>42899</v>
      </c>
      <c r="F7" s="2">
        <v>1376</v>
      </c>
      <c r="G7" s="55"/>
      <c r="H7" s="55"/>
      <c r="I7" s="7">
        <v>42901</v>
      </c>
      <c r="J7" s="2">
        <v>1877</v>
      </c>
      <c r="K7" s="55"/>
      <c r="L7" s="55"/>
      <c r="M7" s="7">
        <v>42903</v>
      </c>
      <c r="N7" s="2">
        <v>2489</v>
      </c>
      <c r="O7" s="55"/>
      <c r="P7" s="55"/>
      <c r="Q7" s="7">
        <v>42905</v>
      </c>
      <c r="R7" s="4">
        <v>2954</v>
      </c>
      <c r="S7" s="55"/>
      <c r="T7" s="55"/>
      <c r="U7" s="7">
        <v>42907</v>
      </c>
      <c r="V7" s="2">
        <v>2780</v>
      </c>
      <c r="W7" s="55"/>
      <c r="X7" s="55"/>
      <c r="Y7" s="7">
        <v>42909</v>
      </c>
      <c r="Z7" s="2">
        <v>2650</v>
      </c>
      <c r="AA7" s="55"/>
      <c r="AB7" s="55"/>
      <c r="AC7" s="7">
        <v>42911</v>
      </c>
      <c r="AD7" s="2">
        <v>2672</v>
      </c>
      <c r="AE7" s="55"/>
      <c r="AF7" s="55"/>
      <c r="AG7" s="7">
        <v>42913</v>
      </c>
      <c r="AH7" s="2">
        <v>2476</v>
      </c>
      <c r="AI7" s="55"/>
      <c r="AJ7" s="55"/>
      <c r="AK7" s="7">
        <v>42915</v>
      </c>
      <c r="AL7" s="2">
        <v>2216</v>
      </c>
      <c r="AM7" s="55"/>
      <c r="AN7" s="55"/>
      <c r="AO7" s="7">
        <v>42917</v>
      </c>
      <c r="AP7" s="2">
        <v>2309</v>
      </c>
      <c r="AQ7" s="55"/>
      <c r="AR7" s="55"/>
      <c r="AS7" s="7">
        <v>42919</v>
      </c>
      <c r="AT7" s="14"/>
      <c r="AU7" s="14"/>
      <c r="AV7" s="14"/>
      <c r="AW7" s="15"/>
      <c r="AX7" s="14"/>
      <c r="AY7" s="14"/>
      <c r="AZ7" s="14"/>
      <c r="BA7" s="15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</row>
    <row r="8" spans="1:101" x14ac:dyDescent="0.2">
      <c r="A8" s="20" t="s">
        <v>13</v>
      </c>
      <c r="B8" s="18">
        <f>(innoculationdensity!$D$2*2)/1000</f>
        <v>1152.4000000000001</v>
      </c>
      <c r="C8" s="55"/>
      <c r="D8" s="55"/>
      <c r="E8" s="7">
        <v>42899</v>
      </c>
      <c r="F8" s="2">
        <v>1625</v>
      </c>
      <c r="G8" s="55"/>
      <c r="H8" s="55"/>
      <c r="I8" s="7">
        <v>42901</v>
      </c>
      <c r="J8" s="2">
        <v>2463</v>
      </c>
      <c r="K8" s="55"/>
      <c r="L8" s="55"/>
      <c r="M8" s="7">
        <v>42903</v>
      </c>
      <c r="N8" s="2">
        <v>2788</v>
      </c>
      <c r="O8" s="55"/>
      <c r="P8" s="55"/>
      <c r="Q8" s="7">
        <v>42905</v>
      </c>
      <c r="R8" s="4">
        <v>2978</v>
      </c>
      <c r="S8" s="55"/>
      <c r="T8" s="55"/>
      <c r="U8" s="7">
        <v>42907</v>
      </c>
      <c r="V8" s="2">
        <v>3194</v>
      </c>
      <c r="W8" s="55"/>
      <c r="X8" s="55"/>
      <c r="Y8" s="7">
        <v>42909</v>
      </c>
      <c r="Z8" s="2">
        <v>3104</v>
      </c>
      <c r="AA8" s="55"/>
      <c r="AB8" s="55"/>
      <c r="AC8" s="7">
        <v>42911</v>
      </c>
      <c r="AD8" s="2">
        <v>3165</v>
      </c>
      <c r="AE8" s="55"/>
      <c r="AF8" s="55"/>
      <c r="AG8" s="7">
        <v>42913</v>
      </c>
      <c r="AH8" s="2">
        <v>2935</v>
      </c>
      <c r="AI8" s="55"/>
      <c r="AJ8" s="55"/>
      <c r="AK8" s="7">
        <v>42915</v>
      </c>
      <c r="AL8" s="2">
        <v>2828</v>
      </c>
      <c r="AM8" s="55"/>
      <c r="AN8" s="55"/>
      <c r="AO8" s="7">
        <v>42917</v>
      </c>
      <c r="AP8" s="2">
        <v>2962</v>
      </c>
      <c r="AQ8" s="55"/>
      <c r="AR8" s="55"/>
      <c r="AS8" s="7">
        <v>42919</v>
      </c>
      <c r="AT8" s="14"/>
      <c r="AU8" s="14"/>
      <c r="AV8" s="14"/>
      <c r="AW8" s="15"/>
      <c r="AX8" s="14"/>
      <c r="AY8" s="14"/>
      <c r="AZ8" s="14"/>
      <c r="BA8" s="15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x14ac:dyDescent="0.2">
      <c r="A9" s="20" t="s">
        <v>14</v>
      </c>
      <c r="B9" s="18">
        <f>(innoculationdensity!$D$2*2)/1000</f>
        <v>1152.4000000000001</v>
      </c>
      <c r="C9" s="55"/>
      <c r="D9" s="55"/>
      <c r="E9" s="7">
        <v>42899</v>
      </c>
      <c r="F9" s="2">
        <v>1590</v>
      </c>
      <c r="G9" s="55"/>
      <c r="H9" s="55"/>
      <c r="I9" s="7">
        <v>42901</v>
      </c>
      <c r="J9" s="2">
        <v>2471</v>
      </c>
      <c r="K9" s="55"/>
      <c r="L9" s="55"/>
      <c r="M9" s="7">
        <v>42903</v>
      </c>
      <c r="N9" s="2">
        <v>2814</v>
      </c>
      <c r="O9" s="55"/>
      <c r="P9" s="55"/>
      <c r="Q9" s="7">
        <v>42905</v>
      </c>
      <c r="R9" s="4">
        <v>2884</v>
      </c>
      <c r="S9" s="55"/>
      <c r="T9" s="55"/>
      <c r="U9" s="7">
        <v>42907</v>
      </c>
      <c r="V9" s="2">
        <v>3143</v>
      </c>
      <c r="W9" s="55"/>
      <c r="X9" s="55"/>
      <c r="Y9" s="7">
        <v>42909</v>
      </c>
      <c r="Z9" s="2">
        <v>3100</v>
      </c>
      <c r="AA9" s="55"/>
      <c r="AB9" s="55"/>
      <c r="AC9" s="7">
        <v>42911</v>
      </c>
      <c r="AD9" s="2">
        <v>3164</v>
      </c>
      <c r="AE9" s="55"/>
      <c r="AF9" s="55"/>
      <c r="AG9" s="7">
        <v>42913</v>
      </c>
      <c r="AH9" s="2">
        <v>2988</v>
      </c>
      <c r="AI9" s="55"/>
      <c r="AJ9" s="55"/>
      <c r="AK9" s="7">
        <v>42915</v>
      </c>
      <c r="AL9" s="2">
        <v>2813</v>
      </c>
      <c r="AM9" s="55"/>
      <c r="AN9" s="55"/>
      <c r="AO9" s="7">
        <v>42917</v>
      </c>
      <c r="AP9" s="2">
        <v>2954</v>
      </c>
      <c r="AQ9" s="55"/>
      <c r="AR9" s="55"/>
      <c r="AS9" s="7">
        <v>42919</v>
      </c>
      <c r="AT9" s="14"/>
      <c r="AU9" s="14"/>
      <c r="AV9" s="14"/>
      <c r="AW9" s="15"/>
      <c r="AX9" s="14"/>
      <c r="AY9" s="14"/>
      <c r="AZ9" s="14"/>
      <c r="BA9" s="15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x14ac:dyDescent="0.2">
      <c r="A10" s="20" t="s">
        <v>15</v>
      </c>
      <c r="B10" s="18">
        <f>(innoculationdensity!$D$2*2)/1000</f>
        <v>1152.4000000000001</v>
      </c>
      <c r="C10" s="55"/>
      <c r="D10" s="55"/>
      <c r="E10" s="7">
        <v>42899</v>
      </c>
      <c r="F10" s="2">
        <v>1592</v>
      </c>
      <c r="G10" s="55"/>
      <c r="H10" s="55"/>
      <c r="I10" s="7">
        <v>42901</v>
      </c>
      <c r="J10" s="2">
        <v>2421</v>
      </c>
      <c r="K10" s="55"/>
      <c r="L10" s="55"/>
      <c r="M10" s="7">
        <v>42903</v>
      </c>
      <c r="N10" s="2">
        <v>2810</v>
      </c>
      <c r="O10" s="55"/>
      <c r="P10" s="55"/>
      <c r="Q10" s="7">
        <v>42905</v>
      </c>
      <c r="R10" s="4">
        <v>2979</v>
      </c>
      <c r="S10" s="55"/>
      <c r="T10" s="55"/>
      <c r="U10" s="7">
        <v>42907</v>
      </c>
      <c r="V10" s="2">
        <v>3176</v>
      </c>
      <c r="W10" s="55"/>
      <c r="X10" s="55"/>
      <c r="Y10" s="7">
        <v>42909</v>
      </c>
      <c r="Z10" s="2">
        <v>3144</v>
      </c>
      <c r="AA10" s="55"/>
      <c r="AB10" s="55"/>
      <c r="AC10" s="7">
        <v>42911</v>
      </c>
      <c r="AD10" s="2">
        <v>3129</v>
      </c>
      <c r="AE10" s="55"/>
      <c r="AF10" s="55"/>
      <c r="AG10" s="7">
        <v>42913</v>
      </c>
      <c r="AH10" s="2">
        <v>2983</v>
      </c>
      <c r="AI10" s="55"/>
      <c r="AJ10" s="55"/>
      <c r="AK10" s="7">
        <v>42915</v>
      </c>
      <c r="AL10" s="2">
        <v>2871</v>
      </c>
      <c r="AM10" s="55"/>
      <c r="AN10" s="55"/>
      <c r="AO10" s="7">
        <v>42917</v>
      </c>
      <c r="AP10" s="2">
        <v>2893</v>
      </c>
      <c r="AQ10" s="55"/>
      <c r="AR10" s="55"/>
      <c r="AS10" s="7">
        <v>42919</v>
      </c>
      <c r="AT10" s="14"/>
      <c r="AU10" s="14"/>
      <c r="AV10" s="14"/>
      <c r="AW10" s="15"/>
      <c r="AX10" s="14"/>
      <c r="AY10" s="14"/>
      <c r="AZ10" s="14"/>
      <c r="BA10" s="15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x14ac:dyDescent="0.2">
      <c r="A11" s="20" t="s">
        <v>16</v>
      </c>
      <c r="B11" s="18">
        <f>(innoculationdensity!$D$2*2)/1000</f>
        <v>1152.4000000000001</v>
      </c>
      <c r="C11" s="56">
        <f t="shared" ref="C11" si="0">AVERAGE(B11:B19)</f>
        <v>1152.3999999999999</v>
      </c>
      <c r="D11" s="56">
        <f>(STDEV(B11:B19))</f>
        <v>2.4116620165382783E-13</v>
      </c>
      <c r="E11" s="7">
        <v>42899</v>
      </c>
      <c r="F11" s="2">
        <v>1449</v>
      </c>
      <c r="G11" s="56">
        <f t="shared" ref="G11" si="1">AVERAGE(F11:F19)</f>
        <v>1467.2222222222222</v>
      </c>
      <c r="H11" s="56">
        <f t="shared" ref="H11" si="2">(STDEV(F11:F19))</f>
        <v>43.147357328629575</v>
      </c>
      <c r="I11" s="7">
        <v>42901</v>
      </c>
      <c r="J11" s="2">
        <v>4095</v>
      </c>
      <c r="K11" s="56">
        <f t="shared" ref="K11" si="3">AVERAGE(J11:J19)</f>
        <v>3288.6666666666665</v>
      </c>
      <c r="L11" s="56">
        <f t="shared" ref="L11" si="4">(STDEV(J11:J19))</f>
        <v>718.10932315351545</v>
      </c>
      <c r="M11" s="7">
        <v>42903</v>
      </c>
      <c r="N11" s="2">
        <v>6671</v>
      </c>
      <c r="O11" s="56">
        <f>AVERAGE(N11:N19)</f>
        <v>6036.5555555555557</v>
      </c>
      <c r="P11" s="56">
        <f t="shared" ref="P11" si="5">(STDEV(N11:N19))</f>
        <v>388.01163355984289</v>
      </c>
      <c r="Q11" s="7">
        <v>42905</v>
      </c>
      <c r="R11" s="4">
        <v>11419</v>
      </c>
      <c r="S11" s="54">
        <f>AVERAGE(R11:R19)</f>
        <v>10657.111111111111</v>
      </c>
      <c r="T11" s="56">
        <f>(STDEV(R11:R19))</f>
        <v>647.61937981434062</v>
      </c>
      <c r="U11" s="7">
        <v>42907</v>
      </c>
      <c r="V11" s="2">
        <v>20511</v>
      </c>
      <c r="W11" s="54">
        <f>AVERAGE(V11:V19)</f>
        <v>21165.111111111109</v>
      </c>
      <c r="X11" s="56">
        <f t="shared" ref="X11" si="6">(STDEV(V11:V19))</f>
        <v>860.7221451264694</v>
      </c>
      <c r="Y11" s="7">
        <v>42909</v>
      </c>
      <c r="Z11" s="2">
        <v>40459</v>
      </c>
      <c r="AA11" s="54">
        <f>AVERAGE(Z11:Z19)</f>
        <v>36628.222222222219</v>
      </c>
      <c r="AB11" s="56">
        <f t="shared" ref="AB11" si="7">(STDEV(Z11:Z19))</f>
        <v>7424.3667032578887</v>
      </c>
      <c r="AC11" s="7">
        <v>42911</v>
      </c>
      <c r="AD11" s="2">
        <v>105507</v>
      </c>
      <c r="AE11" s="54">
        <f>AVERAGE(AD11:AD19)</f>
        <v>85910.222222222219</v>
      </c>
      <c r="AF11" s="56">
        <f t="shared" ref="AF11" si="8">(STDEV(AD11:AD19))</f>
        <v>19427.804467938335</v>
      </c>
      <c r="AG11" s="7">
        <v>42913</v>
      </c>
      <c r="AH11" s="2">
        <f>12465*20</f>
        <v>249300</v>
      </c>
      <c r="AI11" s="54">
        <f>AVERAGE(AH11:AH19)</f>
        <v>224891.11111111112</v>
      </c>
      <c r="AJ11" s="56">
        <f t="shared" ref="AJ11" si="9">(STDEV(AH11:AH19))</f>
        <v>61359.023876778832</v>
      </c>
      <c r="AK11" s="7">
        <v>42915</v>
      </c>
      <c r="AL11" s="2">
        <f>28910*20</f>
        <v>578200</v>
      </c>
      <c r="AM11" s="54">
        <f>AVERAGE(AL11:AL19)</f>
        <v>478348.88888888888</v>
      </c>
      <c r="AN11" s="56">
        <f t="shared" ref="AN11" si="10">(STDEV(AL11:AL19))</f>
        <v>117203.29650274823</v>
      </c>
      <c r="AO11" s="7">
        <v>42917</v>
      </c>
      <c r="AP11" s="2">
        <f>20*44349</f>
        <v>886980</v>
      </c>
      <c r="AQ11" s="57">
        <f>AVERAGE(AP11:AP19)</f>
        <v>791864.4444444445</v>
      </c>
      <c r="AR11" s="56">
        <f t="shared" ref="AR11" si="11">(STDEV(AP11:AP19))</f>
        <v>96969.734854633032</v>
      </c>
      <c r="AS11" s="7">
        <v>42919</v>
      </c>
      <c r="AT11" s="2">
        <f>20*56731</f>
        <v>1134620</v>
      </c>
      <c r="AU11" s="57">
        <f>AVERAGE(AT11:AT19)</f>
        <v>1069144.4444444445</v>
      </c>
      <c r="AV11" s="56">
        <f>(STDEV(AT11:AT19))</f>
        <v>53862.47374357938</v>
      </c>
      <c r="AW11" s="7">
        <v>42921</v>
      </c>
      <c r="AX11" s="2">
        <f>20*54743</f>
        <v>1094860</v>
      </c>
      <c r="AY11" s="57">
        <f>AVERAGE(AX11:AX19)</f>
        <v>1102984.4444444445</v>
      </c>
      <c r="AZ11" s="56">
        <f>(STDEV(AX11:AX19))</f>
        <v>16887.189753709106</v>
      </c>
      <c r="BA11" s="7">
        <v>42923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x14ac:dyDescent="0.2">
      <c r="A12" s="20" t="s">
        <v>17</v>
      </c>
      <c r="B12" s="18">
        <f>(innoculationdensity!$D$2*2)/1000</f>
        <v>1152.4000000000001</v>
      </c>
      <c r="C12" s="55"/>
      <c r="D12" s="55"/>
      <c r="E12" s="7">
        <v>42899</v>
      </c>
      <c r="F12" s="2">
        <v>1422</v>
      </c>
      <c r="G12" s="55"/>
      <c r="H12" s="55"/>
      <c r="I12" s="7">
        <v>42901</v>
      </c>
      <c r="J12" s="2">
        <v>3993</v>
      </c>
      <c r="K12" s="55"/>
      <c r="L12" s="55"/>
      <c r="M12" s="7">
        <v>42903</v>
      </c>
      <c r="N12" s="2">
        <v>5873</v>
      </c>
      <c r="O12" s="55"/>
      <c r="P12" s="55"/>
      <c r="Q12" s="7">
        <v>42905</v>
      </c>
      <c r="R12" s="4">
        <v>11619</v>
      </c>
      <c r="S12" s="55"/>
      <c r="T12" s="55"/>
      <c r="U12" s="7">
        <v>42907</v>
      </c>
      <c r="V12" s="2">
        <v>20420</v>
      </c>
      <c r="W12" s="55"/>
      <c r="X12" s="55"/>
      <c r="Y12" s="7">
        <v>42909</v>
      </c>
      <c r="Z12" s="2">
        <v>43460</v>
      </c>
      <c r="AA12" s="55"/>
      <c r="AB12" s="55"/>
      <c r="AC12" s="7">
        <v>42911</v>
      </c>
      <c r="AD12" s="2">
        <v>98482</v>
      </c>
      <c r="AE12" s="55"/>
      <c r="AF12" s="55"/>
      <c r="AG12" s="7">
        <v>42913</v>
      </c>
      <c r="AH12" s="2">
        <f>12574*20</f>
        <v>251480</v>
      </c>
      <c r="AI12" s="55"/>
      <c r="AJ12" s="55"/>
      <c r="AK12" s="7">
        <v>42915</v>
      </c>
      <c r="AL12" s="2">
        <f>28300*20</f>
        <v>566000</v>
      </c>
      <c r="AM12" s="55"/>
      <c r="AN12" s="55"/>
      <c r="AO12" s="7">
        <v>42917</v>
      </c>
      <c r="AP12" s="2">
        <f>20*44408</f>
        <v>888160</v>
      </c>
      <c r="AQ12" s="58"/>
      <c r="AR12" s="55"/>
      <c r="AS12" s="7">
        <v>42919</v>
      </c>
      <c r="AT12" s="2">
        <f>20*56688</f>
        <v>1133760</v>
      </c>
      <c r="AU12" s="58"/>
      <c r="AV12" s="55"/>
      <c r="AW12" s="7">
        <v>42921</v>
      </c>
      <c r="AX12" s="2">
        <f>20*54219</f>
        <v>1084380</v>
      </c>
      <c r="AY12" s="58"/>
      <c r="AZ12" s="55"/>
      <c r="BA12" s="7">
        <v>42923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x14ac:dyDescent="0.2">
      <c r="A13" s="20" t="s">
        <v>18</v>
      </c>
      <c r="B13" s="18">
        <f>(innoculationdensity!$D$2*2)/1000</f>
        <v>1152.4000000000001</v>
      </c>
      <c r="C13" s="55"/>
      <c r="D13" s="55"/>
      <c r="E13" s="7">
        <v>42899</v>
      </c>
      <c r="F13" s="2">
        <v>1407</v>
      </c>
      <c r="G13" s="55"/>
      <c r="H13" s="55"/>
      <c r="I13" s="7">
        <v>42901</v>
      </c>
      <c r="J13" s="2">
        <v>4028</v>
      </c>
      <c r="K13" s="55"/>
      <c r="L13" s="55"/>
      <c r="M13" s="7">
        <v>42903</v>
      </c>
      <c r="N13" s="2">
        <v>5542</v>
      </c>
      <c r="O13" s="55"/>
      <c r="P13" s="55"/>
      <c r="Q13" s="7">
        <v>42905</v>
      </c>
      <c r="R13" s="4">
        <v>11495</v>
      </c>
      <c r="S13" s="55"/>
      <c r="T13" s="55"/>
      <c r="U13" s="7">
        <v>42907</v>
      </c>
      <c r="V13" s="2">
        <v>20601</v>
      </c>
      <c r="W13" s="55"/>
      <c r="X13" s="55"/>
      <c r="Y13" s="7">
        <v>42909</v>
      </c>
      <c r="Z13" s="2">
        <v>41146</v>
      </c>
      <c r="AA13" s="55"/>
      <c r="AB13" s="55"/>
      <c r="AC13" s="7">
        <v>42911</v>
      </c>
      <c r="AD13" s="2">
        <v>98010</v>
      </c>
      <c r="AE13" s="55"/>
      <c r="AF13" s="55"/>
      <c r="AG13" s="7">
        <v>42913</v>
      </c>
      <c r="AH13" s="2">
        <f>12440*20</f>
        <v>248800</v>
      </c>
      <c r="AI13" s="55"/>
      <c r="AJ13" s="55"/>
      <c r="AK13" s="7">
        <v>42915</v>
      </c>
      <c r="AL13" s="2">
        <f>28181*20</f>
        <v>563620</v>
      </c>
      <c r="AM13" s="55"/>
      <c r="AN13" s="55"/>
      <c r="AO13" s="7">
        <v>42917</v>
      </c>
      <c r="AP13" s="2">
        <f>20*44490</f>
        <v>889800</v>
      </c>
      <c r="AQ13" s="58"/>
      <c r="AR13" s="55"/>
      <c r="AS13" s="7">
        <v>42919</v>
      </c>
      <c r="AT13" s="2">
        <f>20*56568</f>
        <v>1131360</v>
      </c>
      <c r="AU13" s="58"/>
      <c r="AV13" s="55"/>
      <c r="AW13" s="7">
        <v>42921</v>
      </c>
      <c r="AX13" s="2">
        <f>20*54443</f>
        <v>1088860</v>
      </c>
      <c r="AY13" s="58"/>
      <c r="AZ13" s="55"/>
      <c r="BA13" s="7">
        <v>42923</v>
      </c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x14ac:dyDescent="0.2">
      <c r="A14" s="20" t="s">
        <v>19</v>
      </c>
      <c r="B14" s="18">
        <f>(innoculationdensity!$D$2*2)/1000</f>
        <v>1152.4000000000001</v>
      </c>
      <c r="C14" s="55"/>
      <c r="D14" s="55"/>
      <c r="E14" s="7">
        <v>42899</v>
      </c>
      <c r="F14" s="2">
        <v>1520</v>
      </c>
      <c r="G14" s="55"/>
      <c r="H14" s="55"/>
      <c r="I14" s="7">
        <v>42901</v>
      </c>
      <c r="J14" s="2">
        <v>3432</v>
      </c>
      <c r="K14" s="55"/>
      <c r="L14" s="55"/>
      <c r="M14" s="7">
        <v>42903</v>
      </c>
      <c r="N14" s="2">
        <v>5720</v>
      </c>
      <c r="O14" s="55"/>
      <c r="P14" s="55"/>
      <c r="Q14" s="7">
        <v>42905</v>
      </c>
      <c r="R14" s="4">
        <v>10199</v>
      </c>
      <c r="S14" s="55"/>
      <c r="T14" s="55"/>
      <c r="U14" s="7">
        <v>42907</v>
      </c>
      <c r="V14" s="2">
        <v>22563</v>
      </c>
      <c r="W14" s="55"/>
      <c r="X14" s="55"/>
      <c r="Y14" s="7">
        <v>42909</v>
      </c>
      <c r="Z14" s="2">
        <v>41997</v>
      </c>
      <c r="AA14" s="55"/>
      <c r="AB14" s="55"/>
      <c r="AC14" s="7">
        <v>42911</v>
      </c>
      <c r="AD14" s="2">
        <v>96213</v>
      </c>
      <c r="AE14" s="55"/>
      <c r="AF14" s="55"/>
      <c r="AG14" s="7">
        <v>42913</v>
      </c>
      <c r="AH14" s="2">
        <f>13966*20</f>
        <v>279320</v>
      </c>
      <c r="AI14" s="55"/>
      <c r="AJ14" s="55"/>
      <c r="AK14" s="7">
        <v>42915</v>
      </c>
      <c r="AL14" s="2">
        <f>27471*20</f>
        <v>549420</v>
      </c>
      <c r="AM14" s="55"/>
      <c r="AN14" s="55"/>
      <c r="AO14" s="7">
        <v>42917</v>
      </c>
      <c r="AP14" s="2">
        <f>20*41452</f>
        <v>829040</v>
      </c>
      <c r="AQ14" s="58"/>
      <c r="AR14" s="55"/>
      <c r="AS14" s="7">
        <v>42919</v>
      </c>
      <c r="AT14" s="2">
        <f>20*53914</f>
        <v>1078280</v>
      </c>
      <c r="AU14" s="58"/>
      <c r="AV14" s="55"/>
      <c r="AW14" s="7">
        <v>42921</v>
      </c>
      <c r="AX14" s="2">
        <f>20*55157</f>
        <v>1103140</v>
      </c>
      <c r="AY14" s="58"/>
      <c r="AZ14" s="55"/>
      <c r="BA14" s="7">
        <v>42923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x14ac:dyDescent="0.2">
      <c r="A15" s="20" t="s">
        <v>20</v>
      </c>
      <c r="B15" s="18">
        <f>(innoculationdensity!$D$2*2)/1000</f>
        <v>1152.4000000000001</v>
      </c>
      <c r="C15" s="55"/>
      <c r="D15" s="55"/>
      <c r="E15" s="7">
        <v>42899</v>
      </c>
      <c r="F15" s="2">
        <v>1528</v>
      </c>
      <c r="G15" s="55"/>
      <c r="H15" s="55"/>
      <c r="I15" s="7">
        <v>42901</v>
      </c>
      <c r="J15" s="2">
        <v>3493</v>
      </c>
      <c r="K15" s="55"/>
      <c r="L15" s="55"/>
      <c r="M15" s="7">
        <v>42903</v>
      </c>
      <c r="N15" s="2">
        <v>5805</v>
      </c>
      <c r="O15" s="55"/>
      <c r="P15" s="55"/>
      <c r="Q15" s="7">
        <v>42905</v>
      </c>
      <c r="R15" s="4">
        <v>10274</v>
      </c>
      <c r="S15" s="55"/>
      <c r="T15" s="55"/>
      <c r="U15" s="7">
        <v>42907</v>
      </c>
      <c r="V15" s="2">
        <v>21724</v>
      </c>
      <c r="W15" s="55"/>
      <c r="X15" s="55"/>
      <c r="Y15" s="7">
        <v>42909</v>
      </c>
      <c r="Z15" s="2">
        <v>41378</v>
      </c>
      <c r="AA15" s="55"/>
      <c r="AB15" s="55"/>
      <c r="AC15" s="7">
        <v>42911</v>
      </c>
      <c r="AD15" s="2">
        <v>96429</v>
      </c>
      <c r="AE15" s="55"/>
      <c r="AF15" s="55"/>
      <c r="AG15" s="7">
        <v>42913</v>
      </c>
      <c r="AH15" s="2">
        <f>13878*20</f>
        <v>277560</v>
      </c>
      <c r="AI15" s="55"/>
      <c r="AJ15" s="55"/>
      <c r="AK15" s="7">
        <v>42915</v>
      </c>
      <c r="AL15" s="2">
        <f>26965*20</f>
        <v>539300</v>
      </c>
      <c r="AM15" s="55"/>
      <c r="AN15" s="55"/>
      <c r="AO15" s="7">
        <v>42917</v>
      </c>
      <c r="AP15" s="2">
        <f>20*40884</f>
        <v>817680</v>
      </c>
      <c r="AQ15" s="58"/>
      <c r="AR15" s="55"/>
      <c r="AS15" s="7">
        <v>42919</v>
      </c>
      <c r="AT15" s="2">
        <f>20*52492</f>
        <v>1049840</v>
      </c>
      <c r="AU15" s="58"/>
      <c r="AV15" s="55"/>
      <c r="AW15" s="7">
        <v>42921</v>
      </c>
      <c r="AX15" s="2">
        <f>20*55040</f>
        <v>1100800</v>
      </c>
      <c r="AY15" s="58"/>
      <c r="AZ15" s="55"/>
      <c r="BA15" s="7">
        <v>42923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x14ac:dyDescent="0.2">
      <c r="A16" s="20" t="s">
        <v>21</v>
      </c>
      <c r="B16" s="18">
        <f>(innoculationdensity!$D$2*2)/1000</f>
        <v>1152.4000000000001</v>
      </c>
      <c r="C16" s="55"/>
      <c r="D16" s="55"/>
      <c r="E16" s="7">
        <v>42899</v>
      </c>
      <c r="F16" s="2">
        <v>1508</v>
      </c>
      <c r="G16" s="55"/>
      <c r="H16" s="55"/>
      <c r="I16" s="7">
        <v>42901</v>
      </c>
      <c r="J16" s="2">
        <v>3346</v>
      </c>
      <c r="K16" s="55"/>
      <c r="L16" s="55"/>
      <c r="M16" s="7">
        <v>42903</v>
      </c>
      <c r="N16" s="2">
        <v>5714</v>
      </c>
      <c r="O16" s="55"/>
      <c r="P16" s="55"/>
      <c r="Q16" s="7">
        <v>42905</v>
      </c>
      <c r="R16" s="4">
        <v>10126</v>
      </c>
      <c r="S16" s="55"/>
      <c r="T16" s="55"/>
      <c r="U16" s="7">
        <v>42907</v>
      </c>
      <c r="V16" s="2">
        <v>22418</v>
      </c>
      <c r="W16" s="55"/>
      <c r="X16" s="55"/>
      <c r="Y16" s="7">
        <v>42909</v>
      </c>
      <c r="Z16" s="2">
        <v>40597</v>
      </c>
      <c r="AA16" s="55"/>
      <c r="AB16" s="55"/>
      <c r="AC16" s="7">
        <v>42911</v>
      </c>
      <c r="AD16" s="2">
        <v>94990</v>
      </c>
      <c r="AE16" s="55"/>
      <c r="AF16" s="55"/>
      <c r="AG16" s="7">
        <v>42913</v>
      </c>
      <c r="AH16" s="2">
        <f>14115*20</f>
        <v>282300</v>
      </c>
      <c r="AI16" s="55"/>
      <c r="AJ16" s="55"/>
      <c r="AK16" s="7">
        <v>42915</v>
      </c>
      <c r="AL16" s="2">
        <f>26984*20</f>
        <v>539680</v>
      </c>
      <c r="AM16" s="55"/>
      <c r="AN16" s="55"/>
      <c r="AO16" s="7">
        <v>42917</v>
      </c>
      <c r="AP16" s="2">
        <f>20*40304</f>
        <v>806080</v>
      </c>
      <c r="AQ16" s="58"/>
      <c r="AR16" s="55"/>
      <c r="AS16" s="7">
        <v>42919</v>
      </c>
      <c r="AT16" s="2">
        <f>20*53169</f>
        <v>1063380</v>
      </c>
      <c r="AU16" s="58"/>
      <c r="AV16" s="55"/>
      <c r="AW16" s="7">
        <v>42921</v>
      </c>
      <c r="AX16" s="2">
        <f>20*54408</f>
        <v>1088160</v>
      </c>
      <c r="AY16" s="58"/>
      <c r="AZ16" s="55"/>
      <c r="BA16" s="7">
        <v>42923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101" x14ac:dyDescent="0.2">
      <c r="A17" s="20" t="s">
        <v>22</v>
      </c>
      <c r="B17" s="18">
        <f>(innoculationdensity!$D$2*2)/1000</f>
        <v>1152.4000000000001</v>
      </c>
      <c r="C17" s="55"/>
      <c r="D17" s="55"/>
      <c r="E17" s="7">
        <v>42899</v>
      </c>
      <c r="F17" s="2">
        <v>1470</v>
      </c>
      <c r="G17" s="55"/>
      <c r="H17" s="55"/>
      <c r="I17" s="7">
        <v>42901</v>
      </c>
      <c r="J17" s="2">
        <v>2392</v>
      </c>
      <c r="K17" s="55"/>
      <c r="L17" s="55"/>
      <c r="M17" s="7">
        <v>42903</v>
      </c>
      <c r="N17" s="2">
        <v>6376</v>
      </c>
      <c r="O17" s="55"/>
      <c r="P17" s="55"/>
      <c r="Q17" s="7">
        <v>42905</v>
      </c>
      <c r="R17" s="4">
        <v>10342</v>
      </c>
      <c r="S17" s="55"/>
      <c r="T17" s="55"/>
      <c r="U17" s="7">
        <v>42907</v>
      </c>
      <c r="V17" s="2">
        <v>21138</v>
      </c>
      <c r="W17" s="55"/>
      <c r="X17" s="55"/>
      <c r="Y17" s="7">
        <v>42909</v>
      </c>
      <c r="Z17" s="2">
        <v>28951</v>
      </c>
      <c r="AA17" s="55"/>
      <c r="AB17" s="55"/>
      <c r="AC17" s="7">
        <v>42911</v>
      </c>
      <c r="AD17" s="2">
        <v>72488</v>
      </c>
      <c r="AE17" s="55"/>
      <c r="AF17" s="55"/>
      <c r="AG17" s="7">
        <v>42913</v>
      </c>
      <c r="AH17" s="2">
        <f>7675*20</f>
        <v>153500</v>
      </c>
      <c r="AI17" s="55"/>
      <c r="AJ17" s="55"/>
      <c r="AK17" s="7">
        <v>42915</v>
      </c>
      <c r="AL17" s="2">
        <f>16209*20</f>
        <v>324180</v>
      </c>
      <c r="AM17" s="55"/>
      <c r="AN17" s="55"/>
      <c r="AO17" s="7">
        <v>42917</v>
      </c>
      <c r="AP17" s="2">
        <f>20*34066</f>
        <v>681320</v>
      </c>
      <c r="AQ17" s="58"/>
      <c r="AR17" s="55"/>
      <c r="AS17" s="7">
        <v>42919</v>
      </c>
      <c r="AT17" s="2">
        <f>20*50354</f>
        <v>1007080</v>
      </c>
      <c r="AU17" s="58"/>
      <c r="AV17" s="55"/>
      <c r="AW17" s="7">
        <v>42921</v>
      </c>
      <c r="AX17" s="2">
        <f>20*56853</f>
        <v>1137060</v>
      </c>
      <c r="AY17" s="58"/>
      <c r="AZ17" s="55"/>
      <c r="BA17" s="7">
        <v>42923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</row>
    <row r="18" spans="1:101" x14ac:dyDescent="0.2">
      <c r="A18" s="20" t="s">
        <v>23</v>
      </c>
      <c r="B18" s="18">
        <f>(innoculationdensity!$D$2*2)/1000</f>
        <v>1152.4000000000001</v>
      </c>
      <c r="C18" s="55"/>
      <c r="D18" s="55"/>
      <c r="E18" s="7">
        <v>42899</v>
      </c>
      <c r="F18" s="2">
        <v>1460</v>
      </c>
      <c r="G18" s="55"/>
      <c r="H18" s="55"/>
      <c r="I18" s="7">
        <v>42901</v>
      </c>
      <c r="J18" s="2">
        <v>2502</v>
      </c>
      <c r="K18" s="55"/>
      <c r="L18" s="55"/>
      <c r="M18" s="7">
        <v>42903</v>
      </c>
      <c r="N18" s="2">
        <v>6356</v>
      </c>
      <c r="O18" s="55"/>
      <c r="P18" s="55"/>
      <c r="Q18" s="7">
        <v>42905</v>
      </c>
      <c r="R18" s="4">
        <v>10337</v>
      </c>
      <c r="S18" s="55"/>
      <c r="T18" s="55"/>
      <c r="U18" s="7">
        <v>42907</v>
      </c>
      <c r="V18" s="2">
        <v>20706</v>
      </c>
      <c r="W18" s="55"/>
      <c r="X18" s="55"/>
      <c r="Y18" s="7">
        <v>42909</v>
      </c>
      <c r="Z18" s="2">
        <v>25656</v>
      </c>
      <c r="AA18" s="55"/>
      <c r="AB18" s="55"/>
      <c r="AC18" s="7">
        <v>42911</v>
      </c>
      <c r="AD18" s="2">
        <v>57341</v>
      </c>
      <c r="AE18" s="55"/>
      <c r="AF18" s="55"/>
      <c r="AG18" s="7">
        <v>42913</v>
      </c>
      <c r="AH18" s="2">
        <f>7024*20</f>
        <v>140480</v>
      </c>
      <c r="AI18" s="55"/>
      <c r="AJ18" s="55"/>
      <c r="AK18" s="7">
        <v>42915</v>
      </c>
      <c r="AL18" s="2">
        <f>15985*20</f>
        <v>319700</v>
      </c>
      <c r="AM18" s="55"/>
      <c r="AN18" s="55"/>
      <c r="AO18" s="7">
        <v>42917</v>
      </c>
      <c r="AP18" s="2">
        <f>20*32891</f>
        <v>657820</v>
      </c>
      <c r="AQ18" s="58"/>
      <c r="AR18" s="55"/>
      <c r="AS18" s="7">
        <v>42919</v>
      </c>
      <c r="AT18" s="2">
        <f>20*50553</f>
        <v>1011060</v>
      </c>
      <c r="AU18" s="58"/>
      <c r="AV18" s="55"/>
      <c r="AW18" s="7">
        <v>42921</v>
      </c>
      <c r="AX18" s="2">
        <f>20*55662</f>
        <v>1113240</v>
      </c>
      <c r="AY18" s="58"/>
      <c r="AZ18" s="55"/>
      <c r="BA18" s="7">
        <v>42923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</row>
    <row r="19" spans="1:101" x14ac:dyDescent="0.2">
      <c r="A19" s="20" t="s">
        <v>24</v>
      </c>
      <c r="B19" s="18">
        <f>(innoculationdensity!$D$2*2)/1000</f>
        <v>1152.4000000000001</v>
      </c>
      <c r="C19" s="55"/>
      <c r="D19" s="55"/>
      <c r="E19" s="7">
        <v>42899</v>
      </c>
      <c r="F19" s="2">
        <v>1441</v>
      </c>
      <c r="G19" s="55"/>
      <c r="H19" s="55"/>
      <c r="I19" s="7">
        <v>42901</v>
      </c>
      <c r="J19" s="2">
        <v>2317</v>
      </c>
      <c r="K19" s="55"/>
      <c r="L19" s="55"/>
      <c r="M19" s="7">
        <v>42903</v>
      </c>
      <c r="N19" s="2">
        <v>6272</v>
      </c>
      <c r="O19" s="55"/>
      <c r="P19" s="55"/>
      <c r="Q19" s="7">
        <v>42905</v>
      </c>
      <c r="R19" s="4">
        <v>10103</v>
      </c>
      <c r="S19" s="55"/>
      <c r="T19" s="55"/>
      <c r="U19" s="7">
        <v>42907</v>
      </c>
      <c r="V19" s="2">
        <v>20405</v>
      </c>
      <c r="W19" s="55"/>
      <c r="X19" s="55"/>
      <c r="Y19" s="7">
        <v>42909</v>
      </c>
      <c r="Z19" s="2">
        <v>26010</v>
      </c>
      <c r="AA19" s="55"/>
      <c r="AB19" s="55"/>
      <c r="AC19" s="7">
        <v>42911</v>
      </c>
      <c r="AD19" s="2">
        <v>53732</v>
      </c>
      <c r="AE19" s="55"/>
      <c r="AF19" s="55"/>
      <c r="AG19" s="7">
        <v>42913</v>
      </c>
      <c r="AH19" s="2">
        <f>7064*20</f>
        <v>141280</v>
      </c>
      <c r="AI19" s="55"/>
      <c r="AJ19" s="55"/>
      <c r="AK19" s="7">
        <v>42915</v>
      </c>
      <c r="AL19" s="2">
        <f>16252*20</f>
        <v>325040</v>
      </c>
      <c r="AM19" s="55"/>
      <c r="AN19" s="55"/>
      <c r="AO19" s="7">
        <v>42917</v>
      </c>
      <c r="AP19" s="2">
        <f>20*33495</f>
        <v>669900</v>
      </c>
      <c r="AQ19" s="58"/>
      <c r="AR19" s="55"/>
      <c r="AS19" s="7">
        <v>42919</v>
      </c>
      <c r="AT19" s="2">
        <f>20*50646</f>
        <v>1012920</v>
      </c>
      <c r="AU19" s="58"/>
      <c r="AV19" s="55"/>
      <c r="AW19" s="7">
        <v>42921</v>
      </c>
      <c r="AX19" s="2">
        <f>20*55818</f>
        <v>1116360</v>
      </c>
      <c r="AY19" s="58"/>
      <c r="AZ19" s="55"/>
      <c r="BA19" s="7">
        <v>42923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</row>
    <row r="20" spans="1:101" x14ac:dyDescent="0.2">
      <c r="A20" s="20" t="s">
        <v>27</v>
      </c>
      <c r="B20" s="18">
        <f>(innoculationdensity!$D$5*2.5)/1000</f>
        <v>1242.4833333333336</v>
      </c>
      <c r="C20" s="56">
        <f t="shared" ref="C20" si="12">AVERAGE(B20:B28)</f>
        <v>1242.4833333333336</v>
      </c>
      <c r="D20" s="56">
        <f t="shared" ref="D20" si="13">(STDEV(B20:B28))</f>
        <v>0</v>
      </c>
      <c r="E20" s="7">
        <v>42899</v>
      </c>
      <c r="F20" s="2">
        <v>1338</v>
      </c>
      <c r="G20" s="56">
        <f t="shared" ref="G20" si="14">AVERAGE(F20:F28)</f>
        <v>1219.2222222222222</v>
      </c>
      <c r="H20" s="56">
        <f t="shared" ref="H20" si="15">(STDEV(F20:F28))</f>
        <v>55.804967919034276</v>
      </c>
      <c r="I20" s="7">
        <v>42901</v>
      </c>
      <c r="J20" s="2">
        <v>1589</v>
      </c>
      <c r="K20" s="56">
        <f t="shared" ref="K20" si="16">AVERAGE(J20:J28)</f>
        <v>1519.7777777777778</v>
      </c>
      <c r="L20" s="56">
        <f t="shared" ref="L20" si="17">(STDEV(J20:J28))</f>
        <v>43.914057480998544</v>
      </c>
      <c r="M20" s="7">
        <v>42903</v>
      </c>
      <c r="N20" s="2">
        <v>2264</v>
      </c>
      <c r="O20" s="56">
        <f t="shared" ref="O20" si="18">AVERAGE(N20:N28)</f>
        <v>2140.2222222222222</v>
      </c>
      <c r="P20" s="56">
        <f t="shared" ref="P20" si="19">(STDEV(N20:N28))</f>
        <v>101.33456687845685</v>
      </c>
      <c r="Q20" s="7">
        <v>42905</v>
      </c>
      <c r="R20" s="4">
        <v>2144</v>
      </c>
      <c r="S20" s="54">
        <f>AVERAGE(R20:R28)</f>
        <v>2067.7777777777778</v>
      </c>
      <c r="T20" s="56">
        <f t="shared" ref="T20" si="20">(STDEV(R20:R28))</f>
        <v>82.0682304210615</v>
      </c>
      <c r="U20" s="7">
        <v>42907</v>
      </c>
      <c r="V20" s="2">
        <v>2678</v>
      </c>
      <c r="W20" s="54">
        <f t="shared" ref="W20" si="21">AVERAGE(V20:V28)</f>
        <v>2551.4444444444443</v>
      </c>
      <c r="X20" s="56">
        <f t="shared" ref="X20" si="22">(STDEV(V20:V28))</f>
        <v>93.797802627661682</v>
      </c>
      <c r="Y20" s="7">
        <v>42909</v>
      </c>
      <c r="Z20" s="2">
        <v>2707</v>
      </c>
      <c r="AA20" s="54">
        <f>AVERAGE(Z20:Z28)</f>
        <v>2514.2222222222222</v>
      </c>
      <c r="AB20" s="56">
        <f t="shared" ref="AB20" si="23">(STDEV(Z20:Z28))</f>
        <v>125.06476100182834</v>
      </c>
      <c r="AC20" s="7">
        <v>42911</v>
      </c>
      <c r="AD20" s="2">
        <v>2969</v>
      </c>
      <c r="AE20" s="54">
        <f t="shared" ref="AE20" si="24">AVERAGE(AD20:AD28)</f>
        <v>2616.6666666666665</v>
      </c>
      <c r="AF20" s="56">
        <f t="shared" ref="AF20" si="25">(STDEV(AD20:AD28))</f>
        <v>181.3194694455066</v>
      </c>
      <c r="AG20" s="7">
        <v>42913</v>
      </c>
      <c r="AH20" s="2">
        <v>2981</v>
      </c>
      <c r="AI20" s="54">
        <f t="shared" ref="AI20" si="26">AVERAGE(AH20:AH28)</f>
        <v>2687.1111111111113</v>
      </c>
      <c r="AJ20" s="56">
        <f t="shared" ref="AJ20" si="27">(STDEV(AH20:AH28))</f>
        <v>193.43955415351618</v>
      </c>
      <c r="AK20" s="7">
        <v>42915</v>
      </c>
      <c r="AL20" s="2">
        <v>3005</v>
      </c>
      <c r="AM20" s="54">
        <f t="shared" ref="AM20" si="28">AVERAGE(AL20:AL28)</f>
        <v>2599.6666666666665</v>
      </c>
      <c r="AN20" s="56">
        <f t="shared" ref="AN20" si="29">(STDEV(AL20:AL28))</f>
        <v>269.83745107008406</v>
      </c>
      <c r="AO20" s="7">
        <v>42917</v>
      </c>
      <c r="AP20" s="2">
        <v>2898</v>
      </c>
      <c r="AQ20" s="54">
        <f t="shared" ref="AQ20" si="30">AVERAGE(AP20:AP28)</f>
        <v>2607.1111111111113</v>
      </c>
      <c r="AR20" s="56">
        <f t="shared" ref="AR20" si="31">(STDEV(AP20:AP28))</f>
        <v>357.49526026384041</v>
      </c>
      <c r="AS20" s="7">
        <v>42919</v>
      </c>
      <c r="AT20" s="14"/>
      <c r="AU20" s="14"/>
      <c r="AV20" s="14"/>
      <c r="AW20" s="15"/>
      <c r="AX20" s="14"/>
      <c r="AY20" s="14"/>
      <c r="AZ20" s="14"/>
      <c r="BA20" s="15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</row>
    <row r="21" spans="1:101" x14ac:dyDescent="0.2">
      <c r="A21" s="20" t="s">
        <v>28</v>
      </c>
      <c r="B21" s="18">
        <f>(innoculationdensity!$D$5*2.5)/1000</f>
        <v>1242.4833333333336</v>
      </c>
      <c r="C21" s="55"/>
      <c r="D21" s="55"/>
      <c r="E21" s="7">
        <v>42899</v>
      </c>
      <c r="F21" s="2">
        <v>1272</v>
      </c>
      <c r="G21" s="55"/>
      <c r="H21" s="55"/>
      <c r="I21" s="7">
        <v>42901</v>
      </c>
      <c r="J21" s="2">
        <v>1519</v>
      </c>
      <c r="K21" s="55"/>
      <c r="L21" s="55"/>
      <c r="M21" s="7">
        <v>42903</v>
      </c>
      <c r="N21" s="2">
        <v>2260</v>
      </c>
      <c r="O21" s="55"/>
      <c r="P21" s="55"/>
      <c r="Q21" s="7">
        <v>42905</v>
      </c>
      <c r="R21" s="4">
        <v>2183</v>
      </c>
      <c r="S21" s="55"/>
      <c r="T21" s="55"/>
      <c r="U21" s="7">
        <v>42907</v>
      </c>
      <c r="V21" s="2">
        <v>2569</v>
      </c>
      <c r="W21" s="55"/>
      <c r="X21" s="55"/>
      <c r="Y21" s="7">
        <v>42909</v>
      </c>
      <c r="Z21" s="2">
        <v>2604</v>
      </c>
      <c r="AA21" s="55"/>
      <c r="AB21" s="55"/>
      <c r="AC21" s="7">
        <v>42911</v>
      </c>
      <c r="AD21" s="2">
        <v>2801</v>
      </c>
      <c r="AE21" s="55"/>
      <c r="AF21" s="55"/>
      <c r="AG21" s="7">
        <v>42913</v>
      </c>
      <c r="AH21" s="2">
        <v>2853</v>
      </c>
      <c r="AI21" s="55"/>
      <c r="AJ21" s="55"/>
      <c r="AK21" s="7">
        <v>42915</v>
      </c>
      <c r="AL21" s="2">
        <v>2934</v>
      </c>
      <c r="AM21" s="55"/>
      <c r="AN21" s="55"/>
      <c r="AO21" s="7">
        <v>42917</v>
      </c>
      <c r="AP21" s="2">
        <v>3164</v>
      </c>
      <c r="AQ21" s="55"/>
      <c r="AR21" s="55"/>
      <c r="AS21" s="7">
        <v>42919</v>
      </c>
      <c r="AT21" s="14"/>
      <c r="AU21" s="14"/>
      <c r="AV21" s="14"/>
      <c r="AW21" s="15"/>
      <c r="AX21" s="14"/>
      <c r="AY21" s="14"/>
      <c r="AZ21" s="14"/>
      <c r="BA21" s="15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</row>
    <row r="22" spans="1:101" x14ac:dyDescent="0.2">
      <c r="A22" s="20" t="s">
        <v>29</v>
      </c>
      <c r="B22" s="18">
        <f>(innoculationdensity!$D$5*2.5)/1000</f>
        <v>1242.4833333333336</v>
      </c>
      <c r="C22" s="55"/>
      <c r="D22" s="55"/>
      <c r="E22" s="7">
        <v>42899</v>
      </c>
      <c r="F22" s="2">
        <v>1216</v>
      </c>
      <c r="G22" s="55"/>
      <c r="H22" s="55"/>
      <c r="I22" s="7">
        <v>42901</v>
      </c>
      <c r="J22" s="2">
        <v>1541</v>
      </c>
      <c r="K22" s="55"/>
      <c r="L22" s="55"/>
      <c r="M22" s="7">
        <v>42903</v>
      </c>
      <c r="N22" s="2">
        <v>2168</v>
      </c>
      <c r="O22" s="55"/>
      <c r="P22" s="55"/>
      <c r="Q22" s="7">
        <v>42905</v>
      </c>
      <c r="R22" s="4">
        <v>2142</v>
      </c>
      <c r="S22" s="55"/>
      <c r="T22" s="55"/>
      <c r="U22" s="7">
        <v>42907</v>
      </c>
      <c r="V22" s="2">
        <v>2663</v>
      </c>
      <c r="W22" s="55"/>
      <c r="X22" s="55"/>
      <c r="Y22" s="7">
        <v>42909</v>
      </c>
      <c r="Z22" s="2">
        <v>2636</v>
      </c>
      <c r="AA22" s="55"/>
      <c r="AB22" s="55"/>
      <c r="AC22" s="7">
        <v>42911</v>
      </c>
      <c r="AD22" s="2">
        <v>2737</v>
      </c>
      <c r="AE22" s="55"/>
      <c r="AF22" s="55"/>
      <c r="AG22" s="7">
        <v>42913</v>
      </c>
      <c r="AH22" s="2">
        <v>2951</v>
      </c>
      <c r="AI22" s="55"/>
      <c r="AJ22" s="55"/>
      <c r="AK22" s="7">
        <v>42915</v>
      </c>
      <c r="AL22" s="2">
        <v>2880</v>
      </c>
      <c r="AM22" s="55"/>
      <c r="AN22" s="55"/>
      <c r="AO22" s="7">
        <v>42917</v>
      </c>
      <c r="AP22" s="2">
        <v>3143</v>
      </c>
      <c r="AQ22" s="55"/>
      <c r="AR22" s="55"/>
      <c r="AS22" s="7">
        <v>42919</v>
      </c>
      <c r="AT22" s="14"/>
      <c r="AU22" s="14"/>
      <c r="AV22" s="14"/>
      <c r="AW22" s="15"/>
      <c r="AX22" s="14"/>
      <c r="AY22" s="14"/>
      <c r="AZ22" s="14"/>
      <c r="BA22" s="15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</row>
    <row r="23" spans="1:101" x14ac:dyDescent="0.2">
      <c r="A23" s="20" t="s">
        <v>30</v>
      </c>
      <c r="B23" s="18">
        <f>(innoculationdensity!$D$5*2.5)/1000</f>
        <v>1242.4833333333336</v>
      </c>
      <c r="C23" s="55"/>
      <c r="D23" s="55"/>
      <c r="E23" s="7">
        <v>42899</v>
      </c>
      <c r="F23" s="2">
        <v>1235</v>
      </c>
      <c r="G23" s="55"/>
      <c r="H23" s="55"/>
      <c r="I23" s="7">
        <v>42901</v>
      </c>
      <c r="J23" s="2">
        <v>1517</v>
      </c>
      <c r="K23" s="55"/>
      <c r="L23" s="55"/>
      <c r="M23" s="7">
        <v>42903</v>
      </c>
      <c r="N23" s="2">
        <v>2049</v>
      </c>
      <c r="O23" s="55"/>
      <c r="P23" s="55"/>
      <c r="Q23" s="7">
        <v>42905</v>
      </c>
      <c r="R23" s="4">
        <v>2053</v>
      </c>
      <c r="S23" s="55"/>
      <c r="T23" s="55"/>
      <c r="U23" s="7">
        <v>42907</v>
      </c>
      <c r="V23" s="2">
        <v>2610</v>
      </c>
      <c r="W23" s="55"/>
      <c r="X23" s="55"/>
      <c r="Y23" s="7">
        <v>42909</v>
      </c>
      <c r="Z23" s="2">
        <v>2526</v>
      </c>
      <c r="AA23" s="55"/>
      <c r="AB23" s="55"/>
      <c r="AC23" s="7">
        <v>42911</v>
      </c>
      <c r="AD23" s="2">
        <v>2492</v>
      </c>
      <c r="AE23" s="55"/>
      <c r="AF23" s="55"/>
      <c r="AG23" s="7">
        <v>42913</v>
      </c>
      <c r="AH23" s="2">
        <v>2622</v>
      </c>
      <c r="AI23" s="55"/>
      <c r="AJ23" s="55"/>
      <c r="AK23" s="7">
        <v>42915</v>
      </c>
      <c r="AL23" s="2">
        <v>2542</v>
      </c>
      <c r="AM23" s="55"/>
      <c r="AN23" s="55"/>
      <c r="AO23" s="7">
        <v>42917</v>
      </c>
      <c r="AP23" s="2">
        <v>2425</v>
      </c>
      <c r="AQ23" s="55"/>
      <c r="AR23" s="55"/>
      <c r="AS23" s="7">
        <v>42919</v>
      </c>
      <c r="AT23" s="14"/>
      <c r="AU23" s="14"/>
      <c r="AV23" s="14"/>
      <c r="AW23" s="15"/>
      <c r="AX23" s="14"/>
      <c r="AY23" s="14"/>
      <c r="AZ23" s="14"/>
      <c r="BA23" s="15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</row>
    <row r="24" spans="1:101" x14ac:dyDescent="0.2">
      <c r="A24" s="20" t="s">
        <v>31</v>
      </c>
      <c r="B24" s="18">
        <f>(innoculationdensity!$D$5*2.5)/1000</f>
        <v>1242.4833333333336</v>
      </c>
      <c r="C24" s="55"/>
      <c r="D24" s="55"/>
      <c r="E24" s="7">
        <v>42899</v>
      </c>
      <c r="F24" s="2">
        <v>1175</v>
      </c>
      <c r="G24" s="55"/>
      <c r="H24" s="55"/>
      <c r="I24" s="7">
        <v>42901</v>
      </c>
      <c r="J24" s="2">
        <v>1514</v>
      </c>
      <c r="K24" s="55"/>
      <c r="L24" s="55"/>
      <c r="M24" s="7">
        <v>42903</v>
      </c>
      <c r="N24" s="2">
        <v>1997</v>
      </c>
      <c r="O24" s="55"/>
      <c r="P24" s="55"/>
      <c r="Q24" s="7">
        <v>42905</v>
      </c>
      <c r="R24" s="4">
        <v>2061</v>
      </c>
      <c r="S24" s="55"/>
      <c r="T24" s="55"/>
      <c r="U24" s="7">
        <v>42907</v>
      </c>
      <c r="V24" s="2">
        <v>2599</v>
      </c>
      <c r="W24" s="55"/>
      <c r="X24" s="55"/>
      <c r="Y24" s="7">
        <v>42909</v>
      </c>
      <c r="Z24" s="2">
        <v>2508</v>
      </c>
      <c r="AA24" s="55"/>
      <c r="AB24" s="55"/>
      <c r="AC24" s="7">
        <v>42911</v>
      </c>
      <c r="AD24" s="2">
        <v>2563</v>
      </c>
      <c r="AE24" s="55"/>
      <c r="AF24" s="55"/>
      <c r="AG24" s="7">
        <v>42913</v>
      </c>
      <c r="AH24" s="2">
        <v>2631</v>
      </c>
      <c r="AI24" s="55"/>
      <c r="AJ24" s="55"/>
      <c r="AK24" s="7">
        <v>42915</v>
      </c>
      <c r="AL24" s="2">
        <v>2536</v>
      </c>
      <c r="AM24" s="55"/>
      <c r="AN24" s="55"/>
      <c r="AO24" s="7">
        <v>42917</v>
      </c>
      <c r="AP24" s="2">
        <v>2455</v>
      </c>
      <c r="AQ24" s="55"/>
      <c r="AR24" s="55"/>
      <c r="AS24" s="7">
        <v>42919</v>
      </c>
      <c r="AT24" s="14"/>
      <c r="AU24" s="14"/>
      <c r="AV24" s="14"/>
      <c r="AW24" s="15"/>
      <c r="AX24" s="14"/>
      <c r="AY24" s="14"/>
      <c r="AZ24" s="14"/>
      <c r="BA24" s="15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</row>
    <row r="25" spans="1:101" x14ac:dyDescent="0.2">
      <c r="A25" s="20" t="s">
        <v>32</v>
      </c>
      <c r="B25" s="18">
        <f>(innoculationdensity!$D$5*2.5)/1000</f>
        <v>1242.4833333333336</v>
      </c>
      <c r="C25" s="55"/>
      <c r="D25" s="55"/>
      <c r="E25" s="7">
        <v>42899</v>
      </c>
      <c r="F25" s="2">
        <v>1180</v>
      </c>
      <c r="G25" s="55"/>
      <c r="H25" s="55"/>
      <c r="I25" s="7">
        <v>42901</v>
      </c>
      <c r="J25" s="2">
        <v>1505</v>
      </c>
      <c r="K25" s="55"/>
      <c r="L25" s="55"/>
      <c r="M25" s="7">
        <v>42903</v>
      </c>
      <c r="N25" s="2">
        <v>2005</v>
      </c>
      <c r="O25" s="55"/>
      <c r="P25" s="55"/>
      <c r="Q25" s="7">
        <v>42905</v>
      </c>
      <c r="R25" s="4">
        <v>2063</v>
      </c>
      <c r="S25" s="55"/>
      <c r="T25" s="55"/>
      <c r="U25" s="7">
        <v>42907</v>
      </c>
      <c r="V25" s="2">
        <v>2500</v>
      </c>
      <c r="W25" s="55"/>
      <c r="X25" s="55"/>
      <c r="Y25" s="7">
        <v>42909</v>
      </c>
      <c r="Z25" s="2">
        <v>2511</v>
      </c>
      <c r="AA25" s="55"/>
      <c r="AB25" s="55"/>
      <c r="AC25" s="7">
        <v>42911</v>
      </c>
      <c r="AD25" s="2">
        <v>2597</v>
      </c>
      <c r="AE25" s="55"/>
      <c r="AF25" s="55"/>
      <c r="AG25" s="7">
        <v>42913</v>
      </c>
      <c r="AH25" s="2">
        <v>2650</v>
      </c>
      <c r="AI25" s="55"/>
      <c r="AJ25" s="55"/>
      <c r="AK25" s="7">
        <v>42915</v>
      </c>
      <c r="AL25" s="2">
        <v>2450</v>
      </c>
      <c r="AM25" s="55"/>
      <c r="AN25" s="55"/>
      <c r="AO25" s="7">
        <v>42917</v>
      </c>
      <c r="AP25" s="2">
        <v>2411</v>
      </c>
      <c r="AQ25" s="55"/>
      <c r="AR25" s="55"/>
      <c r="AS25" s="7">
        <v>42919</v>
      </c>
      <c r="AT25" s="14"/>
      <c r="AU25" s="14"/>
      <c r="AV25" s="14"/>
      <c r="AW25" s="15"/>
      <c r="AX25" s="14"/>
      <c r="AY25" s="14"/>
      <c r="AZ25" s="14"/>
      <c r="BA25" s="15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</row>
    <row r="26" spans="1:101" x14ac:dyDescent="0.2">
      <c r="A26" s="20" t="s">
        <v>33</v>
      </c>
      <c r="B26" s="18">
        <f>(innoculationdensity!$D$5*2.5)/1000</f>
        <v>1242.4833333333336</v>
      </c>
      <c r="C26" s="55"/>
      <c r="D26" s="55"/>
      <c r="E26" s="7">
        <v>42899</v>
      </c>
      <c r="F26" s="2">
        <v>1180</v>
      </c>
      <c r="G26" s="55"/>
      <c r="H26" s="55"/>
      <c r="I26" s="7">
        <v>42901</v>
      </c>
      <c r="J26" s="2">
        <v>1555</v>
      </c>
      <c r="K26" s="55"/>
      <c r="L26" s="55"/>
      <c r="M26" s="7">
        <v>42903</v>
      </c>
      <c r="N26" s="2">
        <v>2161</v>
      </c>
      <c r="O26" s="55"/>
      <c r="P26" s="55"/>
      <c r="Q26" s="7">
        <v>42905</v>
      </c>
      <c r="R26" s="4">
        <v>1965</v>
      </c>
      <c r="S26" s="55"/>
      <c r="T26" s="55"/>
      <c r="U26" s="7">
        <v>42907</v>
      </c>
      <c r="V26" s="2">
        <v>2462</v>
      </c>
      <c r="W26" s="55"/>
      <c r="X26" s="55"/>
      <c r="Y26" s="7">
        <v>42909</v>
      </c>
      <c r="Z26" s="2">
        <v>2454</v>
      </c>
      <c r="AA26" s="55"/>
      <c r="AB26" s="55"/>
      <c r="AC26" s="7">
        <v>42911</v>
      </c>
      <c r="AD26" s="2">
        <v>2434</v>
      </c>
      <c r="AE26" s="55"/>
      <c r="AF26" s="55"/>
      <c r="AG26" s="7">
        <v>42913</v>
      </c>
      <c r="AH26" s="2">
        <v>2480</v>
      </c>
      <c r="AI26" s="55"/>
      <c r="AJ26" s="55"/>
      <c r="AK26" s="7">
        <v>42915</v>
      </c>
      <c r="AL26" s="2">
        <v>2318</v>
      </c>
      <c r="AM26" s="55"/>
      <c r="AN26" s="55"/>
      <c r="AO26" s="7">
        <v>42917</v>
      </c>
      <c r="AP26" s="2">
        <v>2311</v>
      </c>
      <c r="AQ26" s="55"/>
      <c r="AR26" s="55"/>
      <c r="AS26" s="7">
        <v>42919</v>
      </c>
      <c r="AT26" s="14"/>
      <c r="AU26" s="14"/>
      <c r="AV26" s="14"/>
      <c r="AW26" s="15"/>
      <c r="AX26" s="14"/>
      <c r="AY26" s="14"/>
      <c r="AZ26" s="14"/>
      <c r="BA26" s="15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</row>
    <row r="27" spans="1:101" x14ac:dyDescent="0.2">
      <c r="A27" s="20" t="s">
        <v>34</v>
      </c>
      <c r="B27" s="18">
        <f>(innoculationdensity!$D$5*2.5)/1000</f>
        <v>1242.4833333333336</v>
      </c>
      <c r="C27" s="55"/>
      <c r="D27" s="55"/>
      <c r="E27" s="7">
        <v>42899</v>
      </c>
      <c r="F27" s="2">
        <v>1168</v>
      </c>
      <c r="G27" s="55"/>
      <c r="H27" s="55"/>
      <c r="I27" s="7">
        <v>42901</v>
      </c>
      <c r="J27" s="2">
        <v>1427</v>
      </c>
      <c r="K27" s="55"/>
      <c r="L27" s="55"/>
      <c r="M27" s="7">
        <v>42903</v>
      </c>
      <c r="N27" s="2">
        <v>2155</v>
      </c>
      <c r="O27" s="55"/>
      <c r="P27" s="55"/>
      <c r="Q27" s="7">
        <v>42905</v>
      </c>
      <c r="R27" s="4">
        <v>2067</v>
      </c>
      <c r="S27" s="55"/>
      <c r="T27" s="55"/>
      <c r="U27" s="7">
        <v>42907</v>
      </c>
      <c r="V27" s="2">
        <v>2420</v>
      </c>
      <c r="W27" s="55"/>
      <c r="X27" s="55"/>
      <c r="Y27" s="7">
        <v>42909</v>
      </c>
      <c r="Z27" s="2">
        <v>2366</v>
      </c>
      <c r="AA27" s="55"/>
      <c r="AB27" s="55"/>
      <c r="AC27" s="7">
        <v>42911</v>
      </c>
      <c r="AD27" s="2">
        <v>2473</v>
      </c>
      <c r="AE27" s="55"/>
      <c r="AF27" s="55"/>
      <c r="AG27" s="7">
        <v>42913</v>
      </c>
      <c r="AH27" s="2">
        <v>2507</v>
      </c>
      <c r="AI27" s="55"/>
      <c r="AJ27" s="55"/>
      <c r="AK27" s="7">
        <v>42915</v>
      </c>
      <c r="AL27" s="2">
        <v>2435</v>
      </c>
      <c r="AM27" s="55"/>
      <c r="AN27" s="55"/>
      <c r="AO27" s="7">
        <v>42917</v>
      </c>
      <c r="AP27" s="2">
        <v>2366</v>
      </c>
      <c r="AQ27" s="55"/>
      <c r="AR27" s="55"/>
      <c r="AS27" s="7">
        <v>42919</v>
      </c>
      <c r="AT27" s="14"/>
      <c r="AU27" s="14"/>
      <c r="AV27" s="14"/>
      <c r="AW27" s="15"/>
      <c r="AX27" s="14"/>
      <c r="AY27" s="14"/>
      <c r="AZ27" s="14"/>
      <c r="BA27" s="15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</row>
    <row r="28" spans="1:101" x14ac:dyDescent="0.2">
      <c r="A28" s="20" t="s">
        <v>35</v>
      </c>
      <c r="B28" s="18">
        <f>(innoculationdensity!$D$5*2.5)/1000</f>
        <v>1242.4833333333336</v>
      </c>
      <c r="C28" s="55"/>
      <c r="D28" s="55"/>
      <c r="E28" s="7">
        <v>42899</v>
      </c>
      <c r="F28" s="2">
        <v>1209</v>
      </c>
      <c r="G28" s="55"/>
      <c r="H28" s="55"/>
      <c r="I28" s="7">
        <v>42901</v>
      </c>
      <c r="J28" s="2">
        <v>1511</v>
      </c>
      <c r="K28" s="55"/>
      <c r="L28" s="55"/>
      <c r="M28" s="7">
        <v>42903</v>
      </c>
      <c r="N28" s="2">
        <v>2203</v>
      </c>
      <c r="O28" s="55"/>
      <c r="P28" s="55"/>
      <c r="Q28" s="7">
        <v>42905</v>
      </c>
      <c r="R28" s="4">
        <v>1932</v>
      </c>
      <c r="S28" s="55"/>
      <c r="T28" s="55"/>
      <c r="U28" s="7">
        <v>42907</v>
      </c>
      <c r="V28" s="2">
        <v>2462</v>
      </c>
      <c r="W28" s="55"/>
      <c r="X28" s="55"/>
      <c r="Y28" s="7">
        <v>42909</v>
      </c>
      <c r="Z28" s="2">
        <v>2316</v>
      </c>
      <c r="AA28" s="55"/>
      <c r="AB28" s="55"/>
      <c r="AC28" s="7">
        <v>42911</v>
      </c>
      <c r="AD28" s="2">
        <v>2484</v>
      </c>
      <c r="AE28" s="55"/>
      <c r="AF28" s="55"/>
      <c r="AG28" s="7">
        <v>42913</v>
      </c>
      <c r="AH28" s="2">
        <v>2509</v>
      </c>
      <c r="AI28" s="55"/>
      <c r="AJ28" s="55"/>
      <c r="AK28" s="7">
        <v>42915</v>
      </c>
      <c r="AL28" s="2">
        <v>2297</v>
      </c>
      <c r="AM28" s="55"/>
      <c r="AN28" s="55"/>
      <c r="AO28" s="7">
        <v>42917</v>
      </c>
      <c r="AP28" s="2">
        <v>2291</v>
      </c>
      <c r="AQ28" s="55"/>
      <c r="AR28" s="55"/>
      <c r="AS28" s="7">
        <v>42919</v>
      </c>
      <c r="AT28" s="14"/>
      <c r="AU28" s="14"/>
      <c r="AV28" s="14"/>
      <c r="AW28" s="15"/>
      <c r="AX28" s="14"/>
      <c r="AY28" s="14"/>
      <c r="AZ28" s="14"/>
      <c r="BA28" s="15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</row>
    <row r="29" spans="1:101" x14ac:dyDescent="0.2">
      <c r="A29" s="20" t="s">
        <v>36</v>
      </c>
      <c r="B29" s="18">
        <f>(innoculationdensity!$D$5*2.5)/1000</f>
        <v>1242.4833333333336</v>
      </c>
      <c r="C29" s="56">
        <f t="shared" ref="C29" si="32">AVERAGE(B29:B37)</f>
        <v>1242.4833333333336</v>
      </c>
      <c r="D29" s="56">
        <f t="shared" ref="D29:D47" si="33">(STDEV(B29:B37))</f>
        <v>0</v>
      </c>
      <c r="E29" s="7">
        <v>42899</v>
      </c>
      <c r="F29" s="2">
        <v>1269</v>
      </c>
      <c r="G29" s="56">
        <f>AVERAGE(F29:F37)</f>
        <v>1160.8888888888889</v>
      </c>
      <c r="H29" s="56">
        <f t="shared" ref="H29" si="34">(STDEV(F29:F37))</f>
        <v>67.233630804167575</v>
      </c>
      <c r="I29" s="7">
        <v>42901</v>
      </c>
      <c r="J29" s="2">
        <v>2043</v>
      </c>
      <c r="K29" s="56">
        <f t="shared" ref="K29" si="35">AVERAGE(J29:J37)</f>
        <v>2271.2222222222222</v>
      </c>
      <c r="L29" s="56">
        <f t="shared" ref="L29" si="36">(STDEV(J29:J37))</f>
        <v>130.56586247731238</v>
      </c>
      <c r="M29" s="7">
        <v>42903</v>
      </c>
      <c r="N29" s="2">
        <v>3955</v>
      </c>
      <c r="O29" s="56">
        <f t="shared" ref="O29" si="37">AVERAGE(N29:N37)</f>
        <v>4064.8888888888887</v>
      </c>
      <c r="P29" s="56">
        <f t="shared" ref="P29" si="38">(STDEV(N29:N37))</f>
        <v>541.25697326788497</v>
      </c>
      <c r="Q29" s="7">
        <v>42905</v>
      </c>
      <c r="R29" s="4">
        <v>5829</v>
      </c>
      <c r="S29" s="54">
        <f>AVERAGE(R29:R37)</f>
        <v>5795.5555555555557</v>
      </c>
      <c r="T29" s="56">
        <f t="shared" ref="T29" si="39">(STDEV(R29:R37))</f>
        <v>113.89151758483938</v>
      </c>
      <c r="U29" s="7">
        <v>42907</v>
      </c>
      <c r="V29" s="2">
        <v>12341</v>
      </c>
      <c r="W29" s="54">
        <f t="shared" ref="W29" si="40">AVERAGE(V29:V37)</f>
        <v>12170.333333333334</v>
      </c>
      <c r="X29" s="56">
        <f t="shared" ref="X29" si="41">(STDEV(V29:V37))</f>
        <v>382.6391903608411</v>
      </c>
      <c r="Y29" s="7">
        <v>42909</v>
      </c>
      <c r="Z29" s="2">
        <v>18207</v>
      </c>
      <c r="AA29" s="54">
        <f>AVERAGE(Z29:Z37)</f>
        <v>17290.444444444445</v>
      </c>
      <c r="AB29" s="56">
        <f t="shared" ref="AB29" si="42">(STDEV(Z29:Z37))</f>
        <v>964.47927804477877</v>
      </c>
      <c r="AC29" s="7">
        <v>42911</v>
      </c>
      <c r="AD29" s="2">
        <v>30077</v>
      </c>
      <c r="AE29" s="54">
        <f t="shared" ref="AE29" si="43">AVERAGE(AD29:AD37)</f>
        <v>29701.777777777777</v>
      </c>
      <c r="AF29" s="56">
        <f t="shared" ref="AF29:AF74" si="44">(STDEV(AD29:AD37))</f>
        <v>1462.127540416514</v>
      </c>
      <c r="AG29" s="7">
        <v>42913</v>
      </c>
      <c r="AH29" s="2">
        <f>2747*20</f>
        <v>54940</v>
      </c>
      <c r="AI29" s="54">
        <f t="shared" ref="AI29" si="45">AVERAGE(AH29:AH37)</f>
        <v>59297.777777777781</v>
      </c>
      <c r="AJ29" s="56">
        <f t="shared" ref="AJ29" si="46">(STDEV(AH29:AH37))</f>
        <v>7458.2936684234055</v>
      </c>
      <c r="AK29" s="7">
        <v>42915</v>
      </c>
      <c r="AL29" s="2">
        <f>4998*20</f>
        <v>99960</v>
      </c>
      <c r="AM29" s="54">
        <f t="shared" ref="AM29" si="47">AVERAGE(AL29:AL37)</f>
        <v>116611.11111111111</v>
      </c>
      <c r="AN29" s="56">
        <f t="shared" ref="AN29" si="48">(STDEV(AL29:AL37))</f>
        <v>25040.898768037674</v>
      </c>
      <c r="AO29" s="7">
        <v>42917</v>
      </c>
      <c r="AP29" s="2">
        <f>20*11343</f>
        <v>226860</v>
      </c>
      <c r="AQ29" s="54">
        <f t="shared" ref="AQ29" si="49">AVERAGE(AP29:AP37)</f>
        <v>268284.44444444444</v>
      </c>
      <c r="AR29" s="56">
        <f t="shared" ref="AR29" si="50">(STDEV(AP29:AP37))</f>
        <v>43312.316698345414</v>
      </c>
      <c r="AS29" s="7">
        <v>42919</v>
      </c>
      <c r="AT29" s="2">
        <f>20*18091</f>
        <v>361820</v>
      </c>
      <c r="AU29" s="54">
        <f t="shared" ref="AU29" si="51">AVERAGE(AT29:AT37)</f>
        <v>394435.55555555556</v>
      </c>
      <c r="AV29" s="56">
        <f>(STDEV(AT29:AT37))</f>
        <v>16955.228626526325</v>
      </c>
      <c r="AW29" s="7">
        <v>42921</v>
      </c>
      <c r="AX29" s="2">
        <f>20*18953</f>
        <v>379060</v>
      </c>
      <c r="AY29" s="57">
        <f>AVERAGE(AX29:AX37)</f>
        <v>413868.88888888888</v>
      </c>
      <c r="AZ29" s="56">
        <f>(STDEV(AX29:AX37))</f>
        <v>26360.785479782484</v>
      </c>
      <c r="BA29" s="7">
        <v>42923</v>
      </c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</row>
    <row r="30" spans="1:101" x14ac:dyDescent="0.2">
      <c r="A30" s="20" t="s">
        <v>37</v>
      </c>
      <c r="B30" s="18">
        <f>(innoculationdensity!$D$5*2.5)/1000</f>
        <v>1242.4833333333336</v>
      </c>
      <c r="C30" s="55"/>
      <c r="D30" s="55"/>
      <c r="E30" s="7">
        <v>42899</v>
      </c>
      <c r="F30" s="2">
        <v>1233</v>
      </c>
      <c r="G30" s="55"/>
      <c r="H30" s="55"/>
      <c r="I30" s="7">
        <v>42901</v>
      </c>
      <c r="J30" s="2">
        <v>2128</v>
      </c>
      <c r="K30" s="55"/>
      <c r="L30" s="55"/>
      <c r="M30" s="7">
        <v>42903</v>
      </c>
      <c r="N30" s="2">
        <v>3946</v>
      </c>
      <c r="O30" s="55"/>
      <c r="P30" s="55"/>
      <c r="Q30" s="7">
        <v>42905</v>
      </c>
      <c r="R30" s="4">
        <v>5854</v>
      </c>
      <c r="S30" s="55"/>
      <c r="T30" s="55"/>
      <c r="U30" s="7">
        <v>42907</v>
      </c>
      <c r="V30" s="2">
        <v>11990</v>
      </c>
      <c r="W30" s="55"/>
      <c r="X30" s="55"/>
      <c r="Y30" s="7">
        <v>42909</v>
      </c>
      <c r="Z30" s="2">
        <v>18138</v>
      </c>
      <c r="AA30" s="55"/>
      <c r="AB30" s="55"/>
      <c r="AC30" s="7">
        <v>42911</v>
      </c>
      <c r="AD30" s="2">
        <v>30165</v>
      </c>
      <c r="AE30" s="55"/>
      <c r="AF30" s="55"/>
      <c r="AG30" s="7">
        <v>42913</v>
      </c>
      <c r="AH30" s="2">
        <f>2762*20</f>
        <v>55240</v>
      </c>
      <c r="AI30" s="55"/>
      <c r="AJ30" s="55"/>
      <c r="AK30" s="7">
        <v>42915</v>
      </c>
      <c r="AL30" s="2">
        <f>4764*20</f>
        <v>95280</v>
      </c>
      <c r="AM30" s="55"/>
      <c r="AN30" s="55"/>
      <c r="AO30" s="7">
        <v>42917</v>
      </c>
      <c r="AP30" s="2">
        <f>20*10990</f>
        <v>219800</v>
      </c>
      <c r="AQ30" s="55"/>
      <c r="AR30" s="55"/>
      <c r="AS30" s="7">
        <v>42919</v>
      </c>
      <c r="AT30" s="2">
        <f>20*19015</f>
        <v>380300</v>
      </c>
      <c r="AU30" s="55"/>
      <c r="AV30" s="55"/>
      <c r="AW30" s="7">
        <v>42921</v>
      </c>
      <c r="AX30" s="2">
        <f>20*19025</f>
        <v>380500</v>
      </c>
      <c r="AY30" s="58"/>
      <c r="AZ30" s="55"/>
      <c r="BA30" s="7">
        <v>42923</v>
      </c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</row>
    <row r="31" spans="1:101" x14ac:dyDescent="0.2">
      <c r="A31" s="20" t="s">
        <v>38</v>
      </c>
      <c r="B31" s="18">
        <f>(innoculationdensity!$D$5*2.5)/1000</f>
        <v>1242.4833333333336</v>
      </c>
      <c r="C31" s="55"/>
      <c r="D31" s="55"/>
      <c r="E31" s="7">
        <v>42899</v>
      </c>
      <c r="F31" s="2">
        <v>1227</v>
      </c>
      <c r="G31" s="55"/>
      <c r="H31" s="55"/>
      <c r="I31" s="7">
        <v>42901</v>
      </c>
      <c r="J31" s="2">
        <v>2177</v>
      </c>
      <c r="K31" s="55"/>
      <c r="L31" s="55"/>
      <c r="M31" s="7">
        <v>42903</v>
      </c>
      <c r="N31" s="2">
        <v>3982</v>
      </c>
      <c r="O31" s="55"/>
      <c r="P31" s="55"/>
      <c r="Q31" s="7">
        <v>42905</v>
      </c>
      <c r="R31" s="4">
        <v>5913</v>
      </c>
      <c r="S31" s="55"/>
      <c r="T31" s="55"/>
      <c r="U31" s="7">
        <v>42907</v>
      </c>
      <c r="V31" s="2">
        <v>12344</v>
      </c>
      <c r="W31" s="55"/>
      <c r="X31" s="55"/>
      <c r="Y31" s="7">
        <v>42909</v>
      </c>
      <c r="Z31" s="2">
        <v>18028</v>
      </c>
      <c r="AA31" s="55"/>
      <c r="AB31" s="55"/>
      <c r="AC31" s="7">
        <v>42911</v>
      </c>
      <c r="AD31" s="2">
        <v>29565</v>
      </c>
      <c r="AE31" s="55"/>
      <c r="AF31" s="55"/>
      <c r="AG31" s="7">
        <v>42913</v>
      </c>
      <c r="AH31" s="2">
        <f>2727*20</f>
        <v>54540</v>
      </c>
      <c r="AI31" s="55"/>
      <c r="AJ31" s="55"/>
      <c r="AK31" s="7">
        <v>42915</v>
      </c>
      <c r="AL31" s="2">
        <f>4812*20</f>
        <v>96240</v>
      </c>
      <c r="AM31" s="55"/>
      <c r="AN31" s="55"/>
      <c r="AO31" s="7">
        <v>42917</v>
      </c>
      <c r="AP31" s="2">
        <f>20*10940</f>
        <v>218800</v>
      </c>
      <c r="AQ31" s="55"/>
      <c r="AR31" s="55"/>
      <c r="AS31" s="7">
        <v>42919</v>
      </c>
      <c r="AT31" s="2">
        <f>20*19016</f>
        <v>380320</v>
      </c>
      <c r="AU31" s="55"/>
      <c r="AV31" s="55"/>
      <c r="AW31" s="7">
        <v>42921</v>
      </c>
      <c r="AX31" s="2">
        <f>20*19117</f>
        <v>382340</v>
      </c>
      <c r="AY31" s="58"/>
      <c r="AZ31" s="55"/>
      <c r="BA31" s="7">
        <v>42923</v>
      </c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</row>
    <row r="32" spans="1:101" x14ac:dyDescent="0.2">
      <c r="A32" s="20" t="s">
        <v>39</v>
      </c>
      <c r="B32" s="18">
        <f>(innoculationdensity!$D$5*2.5)/1000</f>
        <v>1242.4833333333336</v>
      </c>
      <c r="C32" s="55"/>
      <c r="D32" s="55"/>
      <c r="E32" s="7">
        <v>42899</v>
      </c>
      <c r="F32" s="2">
        <v>1149</v>
      </c>
      <c r="G32" s="55"/>
      <c r="H32" s="55"/>
      <c r="I32" s="7">
        <v>42901</v>
      </c>
      <c r="J32" s="2">
        <v>2341</v>
      </c>
      <c r="K32" s="55"/>
      <c r="L32" s="55"/>
      <c r="M32" s="7">
        <v>42903</v>
      </c>
      <c r="N32" s="2">
        <v>3505</v>
      </c>
      <c r="O32" s="55"/>
      <c r="P32" s="55"/>
      <c r="Q32" s="7">
        <v>42905</v>
      </c>
      <c r="R32" s="4">
        <v>5615</v>
      </c>
      <c r="S32" s="55"/>
      <c r="T32" s="55"/>
      <c r="U32" s="7">
        <v>42907</v>
      </c>
      <c r="V32" s="2">
        <v>12806</v>
      </c>
      <c r="W32" s="55"/>
      <c r="X32" s="55"/>
      <c r="Y32" s="7">
        <v>42909</v>
      </c>
      <c r="Z32" s="2">
        <v>16192</v>
      </c>
      <c r="AA32" s="55"/>
      <c r="AB32" s="55"/>
      <c r="AC32" s="7">
        <v>42911</v>
      </c>
      <c r="AD32" s="2">
        <v>27657</v>
      </c>
      <c r="AE32" s="55"/>
      <c r="AF32" s="55"/>
      <c r="AG32" s="7">
        <v>42913</v>
      </c>
      <c r="AH32" s="2">
        <f>2676*20</f>
        <v>53520</v>
      </c>
      <c r="AI32" s="55"/>
      <c r="AJ32" s="55"/>
      <c r="AK32" s="7">
        <v>42915</v>
      </c>
      <c r="AL32" s="2">
        <f>5272*20</f>
        <v>105440</v>
      </c>
      <c r="AM32" s="55"/>
      <c r="AN32" s="55"/>
      <c r="AO32" s="7">
        <v>42917</v>
      </c>
      <c r="AP32" s="2">
        <f>13188*20</f>
        <v>263760</v>
      </c>
      <c r="AQ32" s="55"/>
      <c r="AR32" s="55"/>
      <c r="AS32" s="7">
        <v>42919</v>
      </c>
      <c r="AT32" s="2">
        <f>20*20631</f>
        <v>412620</v>
      </c>
      <c r="AU32" s="55"/>
      <c r="AV32" s="55"/>
      <c r="AW32" s="7">
        <v>42921</v>
      </c>
      <c r="AX32" s="2">
        <f>20*21527</f>
        <v>430540</v>
      </c>
      <c r="AY32" s="58"/>
      <c r="AZ32" s="55"/>
      <c r="BA32" s="7">
        <v>42923</v>
      </c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</row>
    <row r="33" spans="1:101" x14ac:dyDescent="0.2">
      <c r="A33" s="20" t="s">
        <v>40</v>
      </c>
      <c r="B33" s="18">
        <f>(innoculationdensity!$D$5*2.5)/1000</f>
        <v>1242.4833333333336</v>
      </c>
      <c r="C33" s="55"/>
      <c r="D33" s="55"/>
      <c r="E33" s="7">
        <v>42899</v>
      </c>
      <c r="F33" s="2">
        <v>1062</v>
      </c>
      <c r="G33" s="55"/>
      <c r="H33" s="55"/>
      <c r="I33" s="7">
        <v>42901</v>
      </c>
      <c r="J33" s="2">
        <v>2365</v>
      </c>
      <c r="K33" s="55"/>
      <c r="L33" s="55"/>
      <c r="M33" s="7">
        <v>42903</v>
      </c>
      <c r="N33" s="2">
        <v>3504</v>
      </c>
      <c r="O33" s="55"/>
      <c r="P33" s="55"/>
      <c r="Q33" s="7">
        <v>42905</v>
      </c>
      <c r="R33" s="4">
        <v>5717</v>
      </c>
      <c r="S33" s="55"/>
      <c r="T33" s="55"/>
      <c r="U33" s="7">
        <v>42907</v>
      </c>
      <c r="V33" s="2">
        <v>12181</v>
      </c>
      <c r="W33" s="55"/>
      <c r="X33" s="55"/>
      <c r="Y33" s="7">
        <v>42909</v>
      </c>
      <c r="Z33" s="2">
        <v>15957</v>
      </c>
      <c r="AA33" s="55"/>
      <c r="AB33" s="55"/>
      <c r="AC33" s="7">
        <v>42911</v>
      </c>
      <c r="AD33" s="2">
        <v>28065</v>
      </c>
      <c r="AE33" s="55"/>
      <c r="AF33" s="55"/>
      <c r="AG33" s="7">
        <v>42913</v>
      </c>
      <c r="AH33" s="2">
        <f>2703*20</f>
        <v>54060</v>
      </c>
      <c r="AI33" s="55"/>
      <c r="AJ33" s="55"/>
      <c r="AK33" s="7">
        <v>42915</v>
      </c>
      <c r="AL33" s="2">
        <f>5078*20</f>
        <v>101560</v>
      </c>
      <c r="AM33" s="55"/>
      <c r="AN33" s="55"/>
      <c r="AO33" s="7">
        <v>42917</v>
      </c>
      <c r="AP33" s="2">
        <f>13223*20</f>
        <v>264460</v>
      </c>
      <c r="AQ33" s="55"/>
      <c r="AR33" s="55"/>
      <c r="AS33" s="7">
        <v>42919</v>
      </c>
      <c r="AT33" s="2">
        <f>20*20655</f>
        <v>413100</v>
      </c>
      <c r="AU33" s="55"/>
      <c r="AV33" s="55"/>
      <c r="AW33" s="7">
        <v>42921</v>
      </c>
      <c r="AX33" s="2">
        <f>20*20854</f>
        <v>417080</v>
      </c>
      <c r="AY33" s="58"/>
      <c r="AZ33" s="55"/>
      <c r="BA33" s="7">
        <v>42923</v>
      </c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</row>
    <row r="34" spans="1:101" x14ac:dyDescent="0.2">
      <c r="A34" s="20" t="s">
        <v>41</v>
      </c>
      <c r="B34" s="18">
        <f>(innoculationdensity!$D$5*2.5)/1000</f>
        <v>1242.4833333333336</v>
      </c>
      <c r="C34" s="55"/>
      <c r="D34" s="55"/>
      <c r="E34" s="7">
        <v>42899</v>
      </c>
      <c r="F34" s="2">
        <v>1140</v>
      </c>
      <c r="G34" s="55"/>
      <c r="H34" s="55"/>
      <c r="I34" s="7">
        <v>42901</v>
      </c>
      <c r="J34" s="2">
        <v>2322</v>
      </c>
      <c r="K34" s="55"/>
      <c r="L34" s="55"/>
      <c r="M34" s="7">
        <v>42903</v>
      </c>
      <c r="N34" s="2">
        <v>3488</v>
      </c>
      <c r="O34" s="55"/>
      <c r="P34" s="55"/>
      <c r="Q34" s="7">
        <v>42905</v>
      </c>
      <c r="R34" s="4">
        <v>5633</v>
      </c>
      <c r="S34" s="55"/>
      <c r="T34" s="55"/>
      <c r="U34" s="7">
        <v>42907</v>
      </c>
      <c r="V34" s="2">
        <v>11772</v>
      </c>
      <c r="W34" s="55"/>
      <c r="X34" s="55"/>
      <c r="Y34" s="7">
        <v>42909</v>
      </c>
      <c r="Z34" s="2">
        <v>15953</v>
      </c>
      <c r="AA34" s="55"/>
      <c r="AB34" s="55"/>
      <c r="AC34" s="7">
        <v>42911</v>
      </c>
      <c r="AD34" s="2">
        <v>28103</v>
      </c>
      <c r="AE34" s="55"/>
      <c r="AF34" s="55"/>
      <c r="AG34" s="7">
        <v>42913</v>
      </c>
      <c r="AH34" s="2">
        <f>2687*20</f>
        <v>53740</v>
      </c>
      <c r="AI34" s="55"/>
      <c r="AJ34" s="55"/>
      <c r="AK34" s="7">
        <v>42915</v>
      </c>
      <c r="AL34" s="2">
        <f>5087*20</f>
        <v>101740</v>
      </c>
      <c r="AM34" s="55"/>
      <c r="AN34" s="55"/>
      <c r="AO34" s="7">
        <v>42917</v>
      </c>
      <c r="AP34" s="2">
        <f>12989*20</f>
        <v>259780</v>
      </c>
      <c r="AQ34" s="55"/>
      <c r="AR34" s="55"/>
      <c r="AS34" s="7">
        <v>42919</v>
      </c>
      <c r="AT34" s="2">
        <f>20*20055</f>
        <v>401100</v>
      </c>
      <c r="AU34" s="55"/>
      <c r="AV34" s="55"/>
      <c r="AW34" s="7">
        <v>42921</v>
      </c>
      <c r="AX34" s="2">
        <f>20*21134</f>
        <v>422680</v>
      </c>
      <c r="AY34" s="58"/>
      <c r="AZ34" s="55"/>
      <c r="BA34" s="7">
        <v>42923</v>
      </c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</row>
    <row r="35" spans="1:101" x14ac:dyDescent="0.2">
      <c r="A35" s="20" t="s">
        <v>42</v>
      </c>
      <c r="B35" s="18">
        <f>(innoculationdensity!$D$5*2.5)/1000</f>
        <v>1242.4833333333336</v>
      </c>
      <c r="C35" s="55"/>
      <c r="D35" s="55"/>
      <c r="E35" s="7">
        <v>42899</v>
      </c>
      <c r="F35" s="2">
        <v>1113</v>
      </c>
      <c r="G35" s="55"/>
      <c r="H35" s="55"/>
      <c r="I35" s="7">
        <v>42901</v>
      </c>
      <c r="J35" s="2">
        <v>2444</v>
      </c>
      <c r="K35" s="55"/>
      <c r="L35" s="55"/>
      <c r="M35" s="7">
        <v>42903</v>
      </c>
      <c r="N35" s="2">
        <v>4717</v>
      </c>
      <c r="O35" s="55"/>
      <c r="P35" s="55"/>
      <c r="Q35" s="7">
        <v>42905</v>
      </c>
      <c r="R35" s="4">
        <v>5883</v>
      </c>
      <c r="S35" s="55"/>
      <c r="T35" s="55"/>
      <c r="U35" s="7">
        <v>42907</v>
      </c>
      <c r="V35" s="2">
        <v>12526</v>
      </c>
      <c r="W35" s="55"/>
      <c r="X35" s="55"/>
      <c r="Y35" s="7">
        <v>42909</v>
      </c>
      <c r="Z35" s="2">
        <v>17788</v>
      </c>
      <c r="AA35" s="55"/>
      <c r="AB35" s="55"/>
      <c r="AC35" s="7">
        <v>42911</v>
      </c>
      <c r="AD35" s="2">
        <v>31683</v>
      </c>
      <c r="AE35" s="55"/>
      <c r="AF35" s="55"/>
      <c r="AG35" s="7">
        <v>42913</v>
      </c>
      <c r="AH35" s="2">
        <f>3476*20</f>
        <v>69520</v>
      </c>
      <c r="AI35" s="55"/>
      <c r="AJ35" s="55"/>
      <c r="AK35" s="7">
        <v>42915</v>
      </c>
      <c r="AL35" s="2">
        <f>7487*20</f>
        <v>149740</v>
      </c>
      <c r="AM35" s="55"/>
      <c r="AN35" s="55"/>
      <c r="AO35" s="7">
        <v>42917</v>
      </c>
      <c r="AP35" s="2">
        <f>15930*20</f>
        <v>318600</v>
      </c>
      <c r="AQ35" s="55"/>
      <c r="AR35" s="55"/>
      <c r="AS35" s="7">
        <v>42919</v>
      </c>
      <c r="AT35" s="2">
        <f>20*20151</f>
        <v>403020</v>
      </c>
      <c r="AU35" s="55"/>
      <c r="AV35" s="55"/>
      <c r="AW35" s="7">
        <v>42921</v>
      </c>
      <c r="AX35" s="2">
        <f>20*22293</f>
        <v>445860</v>
      </c>
      <c r="AY35" s="58"/>
      <c r="AZ35" s="55"/>
      <c r="BA35" s="7">
        <v>42923</v>
      </c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</row>
    <row r="36" spans="1:101" x14ac:dyDescent="0.2">
      <c r="A36" s="20" t="s">
        <v>43</v>
      </c>
      <c r="B36" s="18">
        <f>(innoculationdensity!$D$5*2.5)/1000</f>
        <v>1242.4833333333336</v>
      </c>
      <c r="C36" s="55"/>
      <c r="D36" s="55"/>
      <c r="E36" s="7">
        <v>42899</v>
      </c>
      <c r="F36" s="2">
        <v>1124</v>
      </c>
      <c r="G36" s="55"/>
      <c r="H36" s="55"/>
      <c r="I36" s="7">
        <v>42901</v>
      </c>
      <c r="J36" s="2">
        <v>2364</v>
      </c>
      <c r="K36" s="55"/>
      <c r="L36" s="55"/>
      <c r="M36" s="7">
        <v>42903</v>
      </c>
      <c r="N36" s="2">
        <v>4785</v>
      </c>
      <c r="O36" s="55"/>
      <c r="P36" s="55"/>
      <c r="Q36" s="7">
        <v>42905</v>
      </c>
      <c r="R36" s="4">
        <v>5809</v>
      </c>
      <c r="S36" s="55"/>
      <c r="T36" s="55"/>
      <c r="U36" s="7">
        <v>42907</v>
      </c>
      <c r="V36" s="2">
        <v>12005</v>
      </c>
      <c r="W36" s="55"/>
      <c r="X36" s="55"/>
      <c r="Y36" s="7">
        <v>42909</v>
      </c>
      <c r="Z36" s="2">
        <v>17780</v>
      </c>
      <c r="AA36" s="55"/>
      <c r="AB36" s="55"/>
      <c r="AC36" s="7">
        <v>42911</v>
      </c>
      <c r="AD36" s="2">
        <v>30918</v>
      </c>
      <c r="AE36" s="55"/>
      <c r="AF36" s="55"/>
      <c r="AG36" s="7">
        <v>42913</v>
      </c>
      <c r="AH36" s="2">
        <f>3441*20</f>
        <v>68820</v>
      </c>
      <c r="AI36" s="55"/>
      <c r="AJ36" s="55"/>
      <c r="AK36" s="7">
        <v>42915</v>
      </c>
      <c r="AL36" s="2">
        <f>7478*20</f>
        <v>149560</v>
      </c>
      <c r="AM36" s="55"/>
      <c r="AN36" s="55"/>
      <c r="AO36" s="7">
        <v>42917</v>
      </c>
      <c r="AP36" s="2">
        <f>15512*20</f>
        <v>310240</v>
      </c>
      <c r="AQ36" s="55"/>
      <c r="AR36" s="55"/>
      <c r="AS36" s="7">
        <v>42919</v>
      </c>
      <c r="AT36" s="2">
        <f>20*19983</f>
        <v>399660</v>
      </c>
      <c r="AU36" s="55"/>
      <c r="AV36" s="55"/>
      <c r="AW36" s="7">
        <v>42921</v>
      </c>
      <c r="AX36" s="2">
        <f>20*22003</f>
        <v>440060</v>
      </c>
      <c r="AY36" s="58"/>
      <c r="AZ36" s="55"/>
      <c r="BA36" s="7">
        <v>42923</v>
      </c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</row>
    <row r="37" spans="1:101" x14ac:dyDescent="0.2">
      <c r="A37" s="20" t="s">
        <v>44</v>
      </c>
      <c r="B37" s="18">
        <f>(innoculationdensity!$D$5*2.5)/1000</f>
        <v>1242.4833333333336</v>
      </c>
      <c r="C37" s="55"/>
      <c r="D37" s="55"/>
      <c r="E37" s="7">
        <v>42899</v>
      </c>
      <c r="F37" s="2">
        <v>1131</v>
      </c>
      <c r="G37" s="55"/>
      <c r="H37" s="55"/>
      <c r="I37" s="7">
        <v>42901</v>
      </c>
      <c r="J37" s="2">
        <v>2257</v>
      </c>
      <c r="K37" s="55"/>
      <c r="L37" s="55"/>
      <c r="M37" s="7">
        <v>42903</v>
      </c>
      <c r="N37" s="2">
        <v>4702</v>
      </c>
      <c r="O37" s="55"/>
      <c r="P37" s="55"/>
      <c r="Q37" s="7">
        <v>42905</v>
      </c>
      <c r="R37" s="4">
        <v>5907</v>
      </c>
      <c r="S37" s="55"/>
      <c r="T37" s="55"/>
      <c r="U37" s="7">
        <v>42907</v>
      </c>
      <c r="V37" s="2">
        <v>11568</v>
      </c>
      <c r="W37" s="55"/>
      <c r="X37" s="55"/>
      <c r="Y37" s="7">
        <v>42909</v>
      </c>
      <c r="Z37" s="2">
        <v>17571</v>
      </c>
      <c r="AA37" s="55"/>
      <c r="AB37" s="55"/>
      <c r="AC37" s="7">
        <v>42911</v>
      </c>
      <c r="AD37" s="2">
        <v>31083</v>
      </c>
      <c r="AE37" s="55"/>
      <c r="AF37" s="55"/>
      <c r="AG37" s="7">
        <v>42913</v>
      </c>
      <c r="AH37" s="2">
        <f>3465*20</f>
        <v>69300</v>
      </c>
      <c r="AI37" s="55"/>
      <c r="AJ37" s="55"/>
      <c r="AK37" s="7">
        <v>42915</v>
      </c>
      <c r="AL37" s="2">
        <f>7499*20</f>
        <v>149980</v>
      </c>
      <c r="AM37" s="55"/>
      <c r="AN37" s="55"/>
      <c r="AO37" s="7">
        <v>42917</v>
      </c>
      <c r="AP37" s="2">
        <f>16613*20</f>
        <v>332260</v>
      </c>
      <c r="AQ37" s="55"/>
      <c r="AR37" s="55"/>
      <c r="AS37" s="7">
        <v>42919</v>
      </c>
      <c r="AT37" s="2">
        <f>20*19899</f>
        <v>397980</v>
      </c>
      <c r="AU37" s="55"/>
      <c r="AV37" s="55"/>
      <c r="AW37" s="7">
        <v>42921</v>
      </c>
      <c r="AX37" s="2">
        <f>20*21335</f>
        <v>426700</v>
      </c>
      <c r="AY37" s="58"/>
      <c r="AZ37" s="55"/>
      <c r="BA37" s="7">
        <v>42923</v>
      </c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</row>
    <row r="38" spans="1:101" x14ac:dyDescent="0.2">
      <c r="A38" s="20" t="s">
        <v>51</v>
      </c>
      <c r="B38" s="18">
        <f>(innoculationdensity!$D$8*1.5)/1000</f>
        <v>2069.56</v>
      </c>
      <c r="C38" s="56">
        <f t="shared" ref="C38" si="52">AVERAGE(B38:B46)</f>
        <v>2069.56</v>
      </c>
      <c r="D38" s="56">
        <f t="shared" si="33"/>
        <v>0</v>
      </c>
      <c r="E38" s="7">
        <v>42903</v>
      </c>
      <c r="F38" s="2">
        <v>2457</v>
      </c>
      <c r="G38" s="56">
        <f t="shared" ref="G38" si="53">AVERAGE(F38:F46)</f>
        <v>2410.1111111111113</v>
      </c>
      <c r="H38" s="56">
        <f t="shared" ref="H38" si="54">(STDEV(F38:F46))</f>
        <v>59.33684446540034</v>
      </c>
      <c r="I38" s="7">
        <v>42905</v>
      </c>
      <c r="J38" s="2">
        <v>2301</v>
      </c>
      <c r="K38" s="56">
        <f t="shared" ref="K38:K47" si="55">AVERAGE(J38:J46)</f>
        <v>2241.5555555555557</v>
      </c>
      <c r="L38" s="56">
        <f t="shared" ref="L38" si="56">(STDEV(J38:J46))</f>
        <v>83.360828797330086</v>
      </c>
      <c r="M38" s="7">
        <v>42907</v>
      </c>
      <c r="N38" s="2">
        <v>2792</v>
      </c>
      <c r="O38" s="56">
        <f t="shared" ref="O38:O47" si="57">AVERAGE(N38:N46)</f>
        <v>2601.5555555555557</v>
      </c>
      <c r="P38" s="56">
        <f t="shared" ref="P38" si="58">(STDEV(N38:N46))</f>
        <v>173.23186132400062</v>
      </c>
      <c r="Q38" s="7">
        <v>42909</v>
      </c>
      <c r="R38" s="4">
        <v>2635</v>
      </c>
      <c r="S38" s="54">
        <f t="shared" ref="S38" si="59">AVERAGE(R38:R46)</f>
        <v>2483</v>
      </c>
      <c r="T38" s="56">
        <f t="shared" ref="T38" si="60">(STDEV(R38:R46))</f>
        <v>74.207479407402062</v>
      </c>
      <c r="U38" s="7">
        <v>42911</v>
      </c>
      <c r="V38" s="2">
        <v>2751</v>
      </c>
      <c r="W38" s="54">
        <f t="shared" ref="W38" si="61">AVERAGE(V38:V46)</f>
        <v>2616.3333333333335</v>
      </c>
      <c r="X38" s="56">
        <f t="shared" ref="X38" si="62">(STDEV(V38:V46))</f>
        <v>107.73114684249862</v>
      </c>
      <c r="Y38" s="7">
        <v>42913</v>
      </c>
      <c r="Z38" s="2">
        <v>2699</v>
      </c>
      <c r="AA38" s="54">
        <f t="shared" ref="AA38" si="63">AVERAGE(Z38:Z46)</f>
        <v>2566.4444444444443</v>
      </c>
      <c r="AB38" s="56">
        <f t="shared" ref="AB38" si="64">(STDEV(Z38:Z46))</f>
        <v>91.845129308950163</v>
      </c>
      <c r="AC38" s="7">
        <v>42915</v>
      </c>
      <c r="AD38" s="2">
        <v>2580</v>
      </c>
      <c r="AE38" s="54">
        <f t="shared" ref="AE38" si="65">AVERAGE(AD38:AD46)</f>
        <v>2587.8888888888887</v>
      </c>
      <c r="AF38" s="56">
        <f t="shared" si="44"/>
        <v>60.606196969543568</v>
      </c>
      <c r="AG38" s="7">
        <v>42917</v>
      </c>
      <c r="AH38" s="2">
        <v>2579</v>
      </c>
      <c r="AI38" s="54">
        <f t="shared" ref="AI38" si="66">AVERAGE(AH38:AH46)</f>
        <v>2450.3333333333335</v>
      </c>
      <c r="AJ38" s="56">
        <f t="shared" ref="AJ38" si="67">(STDEV(AH38:AH46))</f>
        <v>91.651513899116793</v>
      </c>
      <c r="AK38" s="7">
        <v>42919</v>
      </c>
      <c r="AL38" s="2">
        <v>3110</v>
      </c>
      <c r="AM38" s="54">
        <f t="shared" ref="AM38" si="68">AVERAGE(AL38:AL46)</f>
        <v>2713.3333333333335</v>
      </c>
      <c r="AN38" s="56">
        <f t="shared" ref="AN38" si="69">(STDEV(AL38:AL46))</f>
        <v>275.25079473091444</v>
      </c>
      <c r="AO38" s="7">
        <v>42921</v>
      </c>
      <c r="AP38" s="14"/>
      <c r="AQ38" s="14"/>
      <c r="AR38" s="14"/>
      <c r="AS38" s="15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</row>
    <row r="39" spans="1:101" x14ac:dyDescent="0.2">
      <c r="A39" s="20" t="s">
        <v>52</v>
      </c>
      <c r="B39" s="18">
        <f>(innoculationdensity!$D$8*1.5)/1000</f>
        <v>2069.56</v>
      </c>
      <c r="C39" s="55"/>
      <c r="D39" s="55"/>
      <c r="E39" s="7">
        <v>42903</v>
      </c>
      <c r="F39" s="2">
        <v>2443</v>
      </c>
      <c r="G39" s="55"/>
      <c r="H39" s="55"/>
      <c r="I39" s="7">
        <v>42905</v>
      </c>
      <c r="J39" s="2">
        <v>2377</v>
      </c>
      <c r="K39" s="55"/>
      <c r="L39" s="55"/>
      <c r="M39" s="7">
        <v>42907</v>
      </c>
      <c r="N39" s="2">
        <v>2806</v>
      </c>
      <c r="O39" s="55"/>
      <c r="P39" s="55"/>
      <c r="Q39" s="7">
        <v>42909</v>
      </c>
      <c r="R39" s="4">
        <v>2531</v>
      </c>
      <c r="S39" s="55"/>
      <c r="T39" s="55"/>
      <c r="U39" s="7">
        <v>42911</v>
      </c>
      <c r="V39" s="2">
        <v>2691</v>
      </c>
      <c r="W39" s="55"/>
      <c r="X39" s="55"/>
      <c r="Y39" s="7">
        <v>42913</v>
      </c>
      <c r="Z39" s="2">
        <v>2504</v>
      </c>
      <c r="AA39" s="55"/>
      <c r="AB39" s="55"/>
      <c r="AC39" s="7">
        <v>42915</v>
      </c>
      <c r="AD39" s="2">
        <v>2593</v>
      </c>
      <c r="AE39" s="55"/>
      <c r="AF39" s="55"/>
      <c r="AG39" s="7">
        <v>42917</v>
      </c>
      <c r="AH39" s="2">
        <v>2540</v>
      </c>
      <c r="AI39" s="55"/>
      <c r="AJ39" s="55"/>
      <c r="AK39" s="7">
        <v>42919</v>
      </c>
      <c r="AL39" s="2">
        <v>3095</v>
      </c>
      <c r="AM39" s="55"/>
      <c r="AN39" s="55"/>
      <c r="AO39" s="7">
        <v>42921</v>
      </c>
      <c r="AP39" s="14"/>
      <c r="AQ39" s="14"/>
      <c r="AR39" s="14"/>
      <c r="AS39" s="15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</row>
    <row r="40" spans="1:101" x14ac:dyDescent="0.2">
      <c r="A40" s="20" t="s">
        <v>53</v>
      </c>
      <c r="B40" s="18">
        <f>(innoculationdensity!$D$8*1.5)/1000</f>
        <v>2069.56</v>
      </c>
      <c r="C40" s="55"/>
      <c r="D40" s="55"/>
      <c r="E40" s="7">
        <v>42903</v>
      </c>
      <c r="F40" s="2">
        <v>2434</v>
      </c>
      <c r="G40" s="55"/>
      <c r="H40" s="55"/>
      <c r="I40" s="7">
        <v>42905</v>
      </c>
      <c r="J40" s="2">
        <v>2336</v>
      </c>
      <c r="K40" s="55"/>
      <c r="L40" s="55"/>
      <c r="M40" s="7">
        <v>42907</v>
      </c>
      <c r="N40" s="2">
        <v>2777</v>
      </c>
      <c r="O40" s="55"/>
      <c r="P40" s="55"/>
      <c r="Q40" s="7">
        <v>42909</v>
      </c>
      <c r="R40" s="4">
        <v>2492</v>
      </c>
      <c r="S40" s="55"/>
      <c r="T40" s="55"/>
      <c r="U40" s="7">
        <v>42911</v>
      </c>
      <c r="V40" s="2">
        <v>2660</v>
      </c>
      <c r="W40" s="55"/>
      <c r="X40" s="55"/>
      <c r="Y40" s="7">
        <v>42913</v>
      </c>
      <c r="Z40" s="2">
        <v>2612</v>
      </c>
      <c r="AA40" s="55"/>
      <c r="AB40" s="55"/>
      <c r="AC40" s="7">
        <v>42915</v>
      </c>
      <c r="AD40" s="2">
        <v>2572</v>
      </c>
      <c r="AE40" s="55"/>
      <c r="AF40" s="55"/>
      <c r="AG40" s="7">
        <v>42917</v>
      </c>
      <c r="AH40" s="2">
        <v>2525</v>
      </c>
      <c r="AI40" s="55"/>
      <c r="AJ40" s="55"/>
      <c r="AK40" s="7">
        <v>42919</v>
      </c>
      <c r="AL40" s="2">
        <v>2993</v>
      </c>
      <c r="AM40" s="55"/>
      <c r="AN40" s="55"/>
      <c r="AO40" s="7">
        <v>42921</v>
      </c>
      <c r="AP40" s="14"/>
      <c r="AQ40" s="14"/>
      <c r="AR40" s="14"/>
      <c r="AS40" s="15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</row>
    <row r="41" spans="1:101" x14ac:dyDescent="0.2">
      <c r="A41" s="20" t="s">
        <v>54</v>
      </c>
      <c r="B41" s="18">
        <f>(innoculationdensity!$D$8*1.5)/1000</f>
        <v>2069.56</v>
      </c>
      <c r="C41" s="55"/>
      <c r="D41" s="55"/>
      <c r="E41" s="7">
        <v>42903</v>
      </c>
      <c r="F41" s="2">
        <v>2434</v>
      </c>
      <c r="G41" s="55"/>
      <c r="H41" s="55"/>
      <c r="I41" s="7">
        <v>42905</v>
      </c>
      <c r="J41" s="2">
        <v>2159</v>
      </c>
      <c r="K41" s="55"/>
      <c r="L41" s="55"/>
      <c r="M41" s="7">
        <v>42907</v>
      </c>
      <c r="N41" s="2">
        <v>2689</v>
      </c>
      <c r="O41" s="55"/>
      <c r="P41" s="55"/>
      <c r="Q41" s="7">
        <v>42909</v>
      </c>
      <c r="R41" s="4">
        <v>2426</v>
      </c>
      <c r="S41" s="55"/>
      <c r="T41" s="55"/>
      <c r="U41" s="7">
        <v>42911</v>
      </c>
      <c r="V41" s="2">
        <v>2420</v>
      </c>
      <c r="W41" s="55"/>
      <c r="X41" s="55"/>
      <c r="Y41" s="7">
        <v>42913</v>
      </c>
      <c r="Z41" s="2">
        <v>2487</v>
      </c>
      <c r="AA41" s="55"/>
      <c r="AB41" s="55"/>
      <c r="AC41" s="7">
        <v>42915</v>
      </c>
      <c r="AD41" s="2">
        <v>2499</v>
      </c>
      <c r="AE41" s="55"/>
      <c r="AF41" s="55"/>
      <c r="AG41" s="7">
        <v>42917</v>
      </c>
      <c r="AH41" s="2">
        <v>2326</v>
      </c>
      <c r="AI41" s="55"/>
      <c r="AJ41" s="55"/>
      <c r="AK41" s="7">
        <v>42919</v>
      </c>
      <c r="AL41" s="2">
        <v>2495</v>
      </c>
      <c r="AM41" s="55"/>
      <c r="AN41" s="55"/>
      <c r="AO41" s="7">
        <v>42921</v>
      </c>
      <c r="AP41" s="14"/>
      <c r="AQ41" s="14"/>
      <c r="AR41" s="14"/>
      <c r="AS41" s="15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</row>
    <row r="42" spans="1:101" x14ac:dyDescent="0.2">
      <c r="A42" s="20" t="s">
        <v>55</v>
      </c>
      <c r="B42" s="18">
        <f>(innoculationdensity!$D$8*1.5)/1000</f>
        <v>2069.56</v>
      </c>
      <c r="C42" s="55"/>
      <c r="D42" s="55"/>
      <c r="E42" s="7">
        <v>42903</v>
      </c>
      <c r="F42" s="2">
        <v>2452</v>
      </c>
      <c r="G42" s="55"/>
      <c r="H42" s="55"/>
      <c r="I42" s="7">
        <v>42905</v>
      </c>
      <c r="J42" s="2">
        <v>2153</v>
      </c>
      <c r="K42" s="55"/>
      <c r="L42" s="55"/>
      <c r="M42" s="7">
        <v>42907</v>
      </c>
      <c r="N42" s="2">
        <v>2600</v>
      </c>
      <c r="O42" s="55"/>
      <c r="P42" s="55"/>
      <c r="Q42" s="7">
        <v>42909</v>
      </c>
      <c r="R42" s="4">
        <v>2388</v>
      </c>
      <c r="S42" s="55"/>
      <c r="T42" s="55"/>
      <c r="U42" s="7">
        <v>42911</v>
      </c>
      <c r="V42" s="2">
        <v>2538</v>
      </c>
      <c r="W42" s="55"/>
      <c r="X42" s="55"/>
      <c r="Y42" s="7">
        <v>42913</v>
      </c>
      <c r="Z42" s="2">
        <v>2528</v>
      </c>
      <c r="AA42" s="55"/>
      <c r="AB42" s="55"/>
      <c r="AC42" s="7">
        <v>42915</v>
      </c>
      <c r="AD42" s="2">
        <v>2531</v>
      </c>
      <c r="AE42" s="55"/>
      <c r="AF42" s="55"/>
      <c r="AG42" s="7">
        <v>42917</v>
      </c>
      <c r="AH42" s="2">
        <v>2377</v>
      </c>
      <c r="AI42" s="55"/>
      <c r="AJ42" s="55"/>
      <c r="AK42" s="7">
        <v>42919</v>
      </c>
      <c r="AL42" s="2">
        <v>2464</v>
      </c>
      <c r="AM42" s="55"/>
      <c r="AN42" s="55"/>
      <c r="AO42" s="7">
        <v>42921</v>
      </c>
      <c r="AP42" s="14"/>
      <c r="AQ42" s="14"/>
      <c r="AR42" s="14"/>
      <c r="AS42" s="15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</row>
    <row r="43" spans="1:101" x14ac:dyDescent="0.2">
      <c r="A43" s="20" t="s">
        <v>56</v>
      </c>
      <c r="B43" s="18">
        <f>(innoculationdensity!$D$8*1.5)/1000</f>
        <v>2069.56</v>
      </c>
      <c r="C43" s="55"/>
      <c r="D43" s="55"/>
      <c r="E43" s="7">
        <v>42903</v>
      </c>
      <c r="F43" s="2">
        <v>2468</v>
      </c>
      <c r="G43" s="55"/>
      <c r="H43" s="55"/>
      <c r="I43" s="7">
        <v>42905</v>
      </c>
      <c r="J43" s="2">
        <v>2176</v>
      </c>
      <c r="K43" s="55"/>
      <c r="L43" s="55"/>
      <c r="M43" s="7">
        <v>42907</v>
      </c>
      <c r="N43" s="2">
        <v>2540</v>
      </c>
      <c r="O43" s="55"/>
      <c r="P43" s="55"/>
      <c r="Q43" s="7">
        <v>42909</v>
      </c>
      <c r="R43" s="4">
        <v>2472</v>
      </c>
      <c r="S43" s="55"/>
      <c r="T43" s="55"/>
      <c r="U43" s="7">
        <v>42911</v>
      </c>
      <c r="V43" s="2">
        <v>2503</v>
      </c>
      <c r="W43" s="55"/>
      <c r="X43" s="55"/>
      <c r="Y43" s="7">
        <v>42913</v>
      </c>
      <c r="Z43" s="2">
        <v>2412</v>
      </c>
      <c r="AA43" s="55"/>
      <c r="AB43" s="55"/>
      <c r="AC43" s="7">
        <v>42915</v>
      </c>
      <c r="AD43" s="2">
        <v>2555</v>
      </c>
      <c r="AE43" s="55"/>
      <c r="AF43" s="55"/>
      <c r="AG43" s="7">
        <v>42917</v>
      </c>
      <c r="AH43" s="2">
        <v>2343</v>
      </c>
      <c r="AI43" s="55"/>
      <c r="AJ43" s="55"/>
      <c r="AK43" s="7">
        <v>42919</v>
      </c>
      <c r="AL43" s="2">
        <v>2492</v>
      </c>
      <c r="AM43" s="55"/>
      <c r="AN43" s="55"/>
      <c r="AO43" s="7">
        <v>42921</v>
      </c>
      <c r="AP43" s="14"/>
      <c r="AQ43" s="14"/>
      <c r="AR43" s="14"/>
      <c r="AS43" s="15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</row>
    <row r="44" spans="1:101" x14ac:dyDescent="0.2">
      <c r="A44" s="20" t="s">
        <v>57</v>
      </c>
      <c r="B44" s="18">
        <f>(innoculationdensity!$D$8*1.5)/1000</f>
        <v>2069.56</v>
      </c>
      <c r="C44" s="55"/>
      <c r="D44" s="55"/>
      <c r="E44" s="7">
        <v>42903</v>
      </c>
      <c r="F44" s="2">
        <v>2362</v>
      </c>
      <c r="G44" s="55"/>
      <c r="H44" s="55"/>
      <c r="I44" s="7">
        <v>42905</v>
      </c>
      <c r="J44" s="2">
        <v>2257</v>
      </c>
      <c r="K44" s="55"/>
      <c r="L44" s="55"/>
      <c r="M44" s="7">
        <v>42907</v>
      </c>
      <c r="N44" s="2">
        <v>2412</v>
      </c>
      <c r="O44" s="55"/>
      <c r="P44" s="55"/>
      <c r="Q44" s="7">
        <v>42909</v>
      </c>
      <c r="R44" s="4">
        <v>2411</v>
      </c>
      <c r="S44" s="55"/>
      <c r="T44" s="55"/>
      <c r="U44" s="7">
        <v>42911</v>
      </c>
      <c r="V44" s="2">
        <v>2648</v>
      </c>
      <c r="W44" s="55"/>
      <c r="X44" s="55"/>
      <c r="Y44" s="7">
        <v>42913</v>
      </c>
      <c r="Z44" s="2">
        <v>2584</v>
      </c>
      <c r="AA44" s="55"/>
      <c r="AB44" s="55"/>
      <c r="AC44" s="7">
        <v>42915</v>
      </c>
      <c r="AD44" s="2">
        <v>2694</v>
      </c>
      <c r="AE44" s="55"/>
      <c r="AF44" s="55"/>
      <c r="AG44" s="7">
        <v>42917</v>
      </c>
      <c r="AH44" s="2">
        <v>2399</v>
      </c>
      <c r="AI44" s="55"/>
      <c r="AJ44" s="55"/>
      <c r="AK44" s="7">
        <v>42919</v>
      </c>
      <c r="AL44" s="2">
        <v>2584</v>
      </c>
      <c r="AM44" s="55"/>
      <c r="AN44" s="55"/>
      <c r="AO44" s="7">
        <v>42921</v>
      </c>
      <c r="AP44" s="14"/>
      <c r="AQ44" s="14"/>
      <c r="AR44" s="14"/>
      <c r="AS44" s="15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</row>
    <row r="45" spans="1:101" x14ac:dyDescent="0.2">
      <c r="A45" s="20" t="s">
        <v>58</v>
      </c>
      <c r="B45" s="18">
        <f>(innoculationdensity!$D$8*1.5)/1000</f>
        <v>2069.56</v>
      </c>
      <c r="C45" s="55"/>
      <c r="D45" s="55"/>
      <c r="E45" s="7">
        <v>42903</v>
      </c>
      <c r="F45" s="2">
        <v>2309</v>
      </c>
      <c r="G45" s="55"/>
      <c r="H45" s="55"/>
      <c r="I45" s="7">
        <v>42905</v>
      </c>
      <c r="J45" s="2">
        <v>2248</v>
      </c>
      <c r="K45" s="55"/>
      <c r="L45" s="55"/>
      <c r="M45" s="7">
        <v>42907</v>
      </c>
      <c r="N45" s="2">
        <v>2369</v>
      </c>
      <c r="O45" s="55"/>
      <c r="P45" s="55"/>
      <c r="Q45" s="7">
        <v>42909</v>
      </c>
      <c r="R45" s="4">
        <v>2478</v>
      </c>
      <c r="S45" s="55"/>
      <c r="T45" s="55"/>
      <c r="U45" s="7">
        <v>42911</v>
      </c>
      <c r="V45" s="2">
        <v>2709</v>
      </c>
      <c r="W45" s="55"/>
      <c r="X45" s="55"/>
      <c r="Y45" s="7">
        <v>42913</v>
      </c>
      <c r="Z45" s="2">
        <v>2670</v>
      </c>
      <c r="AA45" s="55"/>
      <c r="AB45" s="55"/>
      <c r="AC45" s="7">
        <v>42915</v>
      </c>
      <c r="AD45" s="2">
        <v>2607</v>
      </c>
      <c r="AE45" s="55"/>
      <c r="AF45" s="55"/>
      <c r="AG45" s="7">
        <v>42917</v>
      </c>
      <c r="AH45" s="2">
        <v>2478</v>
      </c>
      <c r="AI45" s="55"/>
      <c r="AJ45" s="55"/>
      <c r="AK45" s="7">
        <v>42919</v>
      </c>
      <c r="AL45" s="2">
        <v>2695</v>
      </c>
      <c r="AM45" s="55"/>
      <c r="AN45" s="55"/>
      <c r="AO45" s="7">
        <v>42921</v>
      </c>
      <c r="AP45" s="14"/>
      <c r="AQ45" s="14"/>
      <c r="AR45" s="14"/>
      <c r="AS45" s="15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</row>
    <row r="46" spans="1:101" x14ac:dyDescent="0.2">
      <c r="A46" s="20" t="s">
        <v>59</v>
      </c>
      <c r="B46" s="18">
        <f>(innoculationdensity!$D$8*1.5)/1000</f>
        <v>2069.56</v>
      </c>
      <c r="C46" s="55"/>
      <c r="D46" s="55"/>
      <c r="E46" s="7">
        <v>42903</v>
      </c>
      <c r="F46" s="2">
        <v>2332</v>
      </c>
      <c r="G46" s="55"/>
      <c r="H46" s="55"/>
      <c r="I46" s="7">
        <v>42905</v>
      </c>
      <c r="J46" s="2">
        <v>2167</v>
      </c>
      <c r="K46" s="55"/>
      <c r="L46" s="55"/>
      <c r="M46" s="7">
        <v>42907</v>
      </c>
      <c r="N46" s="2">
        <v>2429</v>
      </c>
      <c r="O46" s="55"/>
      <c r="P46" s="55"/>
      <c r="Q46" s="7">
        <v>42909</v>
      </c>
      <c r="R46" s="4">
        <v>2514</v>
      </c>
      <c r="S46" s="55"/>
      <c r="T46" s="55"/>
      <c r="U46" s="7">
        <v>42911</v>
      </c>
      <c r="V46" s="2">
        <v>2627</v>
      </c>
      <c r="W46" s="55"/>
      <c r="X46" s="55"/>
      <c r="Y46" s="7">
        <v>42913</v>
      </c>
      <c r="Z46" s="2">
        <v>2602</v>
      </c>
      <c r="AA46" s="55"/>
      <c r="AB46" s="55"/>
      <c r="AC46" s="7">
        <v>42915</v>
      </c>
      <c r="AD46" s="2">
        <v>2660</v>
      </c>
      <c r="AE46" s="55"/>
      <c r="AF46" s="55"/>
      <c r="AG46" s="7">
        <v>42917</v>
      </c>
      <c r="AH46" s="2">
        <v>2486</v>
      </c>
      <c r="AI46" s="55"/>
      <c r="AJ46" s="55"/>
      <c r="AK46" s="7">
        <v>42919</v>
      </c>
      <c r="AL46" s="2">
        <v>2492</v>
      </c>
      <c r="AM46" s="55"/>
      <c r="AN46" s="55"/>
      <c r="AO46" s="7">
        <v>42921</v>
      </c>
      <c r="AP46" s="14"/>
      <c r="AQ46" s="14"/>
      <c r="AR46" s="14"/>
      <c r="AS46" s="15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</row>
    <row r="47" spans="1:101" x14ac:dyDescent="0.2">
      <c r="A47" s="20" t="s">
        <v>60</v>
      </c>
      <c r="B47" s="18">
        <f>(innoculationdensity!$D$8*1.5)/1000</f>
        <v>2069.56</v>
      </c>
      <c r="C47" s="56">
        <f t="shared" ref="C47" si="70">AVERAGE(B47:B55)</f>
        <v>2069.56</v>
      </c>
      <c r="D47" s="56">
        <f t="shared" si="33"/>
        <v>0</v>
      </c>
      <c r="E47" s="7">
        <v>42903</v>
      </c>
      <c r="F47" s="2">
        <v>2355</v>
      </c>
      <c r="G47" s="56">
        <f t="shared" ref="G47" si="71">AVERAGE(F47:F55)</f>
        <v>2482.5555555555557</v>
      </c>
      <c r="H47" s="56">
        <f t="shared" ref="H47" si="72">(STDEV(F47:F55))</f>
        <v>172.76075300188342</v>
      </c>
      <c r="I47" s="7">
        <v>42905</v>
      </c>
      <c r="J47" s="2">
        <v>2459</v>
      </c>
      <c r="K47" s="56">
        <f t="shared" si="55"/>
        <v>2386.8888888888887</v>
      </c>
      <c r="L47" s="56">
        <f t="shared" ref="L47" si="73">(STDEV(J47:J55))</f>
        <v>92.210959821005616</v>
      </c>
      <c r="M47" s="7">
        <v>42907</v>
      </c>
      <c r="N47" s="2">
        <v>3200</v>
      </c>
      <c r="O47" s="56">
        <f t="shared" si="57"/>
        <v>3148.6666666666665</v>
      </c>
      <c r="P47" s="56">
        <f t="shared" ref="P47" si="74">(STDEV(N47:N55))</f>
        <v>52.713850172416734</v>
      </c>
      <c r="Q47" s="7">
        <v>42909</v>
      </c>
      <c r="R47" s="4">
        <v>3823</v>
      </c>
      <c r="S47" s="54">
        <f t="shared" ref="S47" si="75">AVERAGE(R47:R55)</f>
        <v>3782.7777777777778</v>
      </c>
      <c r="T47" s="56">
        <f t="shared" ref="T47" si="76">(STDEV(R47:R55))</f>
        <v>176.33262444722033</v>
      </c>
      <c r="U47" s="7">
        <v>42911</v>
      </c>
      <c r="V47" s="2">
        <v>5660</v>
      </c>
      <c r="W47" s="54">
        <f t="shared" ref="W47" si="77">AVERAGE(V47:V55)</f>
        <v>5400.7777777777774</v>
      </c>
      <c r="X47" s="56">
        <f t="shared" ref="X47" si="78">(STDEV(V47:V55))</f>
        <v>336.23755656446895</v>
      </c>
      <c r="Y47" s="7">
        <v>42913</v>
      </c>
      <c r="Z47" s="2">
        <v>9308</v>
      </c>
      <c r="AA47" s="54">
        <f t="shared" ref="AA47" si="79">AVERAGE(Z47:Z55)</f>
        <v>8468.4444444444453</v>
      </c>
      <c r="AB47" s="56">
        <f t="shared" ref="AB47" si="80">(STDEV(Z47:Z55))</f>
        <v>839.22674396004425</v>
      </c>
      <c r="AC47" s="7">
        <v>42915</v>
      </c>
      <c r="AD47" s="2">
        <v>18617</v>
      </c>
      <c r="AE47" s="54">
        <f t="shared" ref="AE47" si="81">AVERAGE(AD47:AD55)</f>
        <v>16045.777777777777</v>
      </c>
      <c r="AF47" s="56">
        <f t="shared" si="44"/>
        <v>1957.9323773931565</v>
      </c>
      <c r="AG47" s="7">
        <v>42917</v>
      </c>
      <c r="AH47" s="2">
        <v>26053</v>
      </c>
      <c r="AI47" s="54">
        <f t="shared" ref="AI47" si="82">AVERAGE(AH47:AH55)</f>
        <v>23957.555555555555</v>
      </c>
      <c r="AJ47" s="56">
        <f t="shared" ref="AJ47" si="83">(STDEV(AH47:AH55))</f>
        <v>2348.4417233088366</v>
      </c>
      <c r="AK47" s="7">
        <v>42919</v>
      </c>
      <c r="AL47" s="2">
        <v>49083</v>
      </c>
      <c r="AM47" s="54">
        <f t="shared" ref="AM47" si="84">AVERAGE(AL47:AL55)</f>
        <v>41712.666666666664</v>
      </c>
      <c r="AN47" s="56">
        <f t="shared" ref="AN47" si="85">(STDEV(AL47:AL55))</f>
        <v>3899.5243620216042</v>
      </c>
      <c r="AO47" s="7">
        <v>42921</v>
      </c>
      <c r="AP47" s="2">
        <f>4985*20</f>
        <v>99700</v>
      </c>
      <c r="AQ47" s="54">
        <f t="shared" ref="AQ47" si="86">AVERAGE(AP47:AP55)</f>
        <v>85288.888888888891</v>
      </c>
      <c r="AR47" s="56">
        <f>(STDEV(AP47:AP55))</f>
        <v>11994.565899235815</v>
      </c>
      <c r="AS47" s="7">
        <v>42923</v>
      </c>
      <c r="AT47" s="2">
        <f>9233*20</f>
        <v>184660</v>
      </c>
      <c r="AU47" s="54">
        <f t="shared" ref="AU47" si="87">AVERAGE(AT47:AT55)</f>
        <v>156113.33333333334</v>
      </c>
      <c r="AV47" s="56">
        <f>(STDEV(AT47:AT55))</f>
        <v>21734.50712576662</v>
      </c>
      <c r="AW47" s="7">
        <v>42925</v>
      </c>
      <c r="AX47" s="2">
        <f>17935*20</f>
        <v>358700</v>
      </c>
      <c r="AY47" s="57">
        <f>AVERAGE(AX47:AX55)</f>
        <v>302860</v>
      </c>
      <c r="AZ47" s="56">
        <f>(STDEV(AX47:AX55))</f>
        <v>39525.195761691051</v>
      </c>
      <c r="BA47" s="7">
        <v>42927</v>
      </c>
      <c r="BB47" s="2">
        <f>27242*20</f>
        <v>544840</v>
      </c>
      <c r="BC47" s="57">
        <f>AVERAGE(BB47:BB55)</f>
        <v>459697.77777777775</v>
      </c>
      <c r="BD47" s="56">
        <f>(STDEV(BB47:BB55))</f>
        <v>66169.109442733607</v>
      </c>
      <c r="BE47" s="7">
        <v>42929</v>
      </c>
      <c r="BF47" s="2">
        <f>40554*20</f>
        <v>811080</v>
      </c>
      <c r="BG47" s="57">
        <f>AVERAGE(BF47:BF55)</f>
        <v>737862.22222222225</v>
      </c>
      <c r="BH47" s="56">
        <f>(STDEV(BF47:BF55))</f>
        <v>61120.312862782732</v>
      </c>
      <c r="BI47" s="7">
        <v>42931</v>
      </c>
      <c r="BJ47" s="2">
        <f>52982*20</f>
        <v>1059640</v>
      </c>
      <c r="BK47" s="57">
        <f>AVERAGE(BJ47:BJ55)</f>
        <v>995651.11111111112</v>
      </c>
      <c r="BL47" s="56">
        <f>(STDEV(BJ47:BJ55))</f>
        <v>63753.868205083141</v>
      </c>
      <c r="BM47" s="7">
        <v>42933</v>
      </c>
      <c r="BN47" s="2">
        <f>68818*20</f>
        <v>1376360</v>
      </c>
      <c r="BO47" s="57">
        <f>AVERAGE(BN47:BN55)</f>
        <v>1237535.5555555555</v>
      </c>
      <c r="BP47" s="56">
        <f>(STDEV(BN47:BN55))</f>
        <v>102615.54842117144</v>
      </c>
      <c r="BQ47" s="7">
        <v>42935</v>
      </c>
      <c r="BR47" s="2">
        <f>64929*20</f>
        <v>1298580</v>
      </c>
      <c r="BS47" s="57">
        <f>AVERAGE(BR47:BR55)</f>
        <v>1195582.2222222222</v>
      </c>
      <c r="BT47" s="56">
        <f>(STDEV(BR47:BR55))</f>
        <v>85353.202309254018</v>
      </c>
      <c r="BU47" s="7">
        <v>42937</v>
      </c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</row>
    <row r="48" spans="1:101" x14ac:dyDescent="0.2">
      <c r="A48" s="20" t="s">
        <v>61</v>
      </c>
      <c r="B48" s="18">
        <f>(innoculationdensity!$D$8*1.5)/1000</f>
        <v>2069.56</v>
      </c>
      <c r="C48" s="55"/>
      <c r="D48" s="55"/>
      <c r="E48" s="7">
        <v>42903</v>
      </c>
      <c r="F48" s="2">
        <v>2310</v>
      </c>
      <c r="G48" s="55"/>
      <c r="H48" s="55"/>
      <c r="I48" s="7">
        <v>42905</v>
      </c>
      <c r="J48" s="2">
        <v>2371</v>
      </c>
      <c r="K48" s="55"/>
      <c r="L48" s="55"/>
      <c r="M48" s="7">
        <v>42907</v>
      </c>
      <c r="N48" s="2">
        <v>3149</v>
      </c>
      <c r="O48" s="55"/>
      <c r="P48" s="55"/>
      <c r="Q48" s="7">
        <v>42909</v>
      </c>
      <c r="R48" s="4">
        <v>3827</v>
      </c>
      <c r="S48" s="55"/>
      <c r="T48" s="55"/>
      <c r="U48" s="7">
        <v>42911</v>
      </c>
      <c r="V48" s="2">
        <v>5686</v>
      </c>
      <c r="W48" s="55"/>
      <c r="X48" s="55"/>
      <c r="Y48" s="7">
        <v>42913</v>
      </c>
      <c r="Z48" s="2">
        <v>9391</v>
      </c>
      <c r="AA48" s="55"/>
      <c r="AB48" s="55"/>
      <c r="AC48" s="7">
        <v>42915</v>
      </c>
      <c r="AD48" s="2">
        <v>18446</v>
      </c>
      <c r="AE48" s="55"/>
      <c r="AF48" s="55"/>
      <c r="AG48" s="7">
        <v>42917</v>
      </c>
      <c r="AH48" s="2">
        <v>26784</v>
      </c>
      <c r="AI48" s="55"/>
      <c r="AJ48" s="55"/>
      <c r="AK48" s="7">
        <v>42919</v>
      </c>
      <c r="AL48" s="2">
        <v>47146</v>
      </c>
      <c r="AM48" s="55"/>
      <c r="AN48" s="55"/>
      <c r="AO48" s="7">
        <v>42921</v>
      </c>
      <c r="AP48" s="2">
        <f>5003*20</f>
        <v>100060</v>
      </c>
      <c r="AQ48" s="55"/>
      <c r="AR48" s="55"/>
      <c r="AS48" s="7">
        <v>42923</v>
      </c>
      <c r="AT48" s="2">
        <f>8966*20</f>
        <v>179320</v>
      </c>
      <c r="AU48" s="55"/>
      <c r="AV48" s="55"/>
      <c r="AW48" s="7">
        <v>42925</v>
      </c>
      <c r="AX48" s="2">
        <f>17250*20</f>
        <v>345000</v>
      </c>
      <c r="AY48" s="58"/>
      <c r="AZ48" s="55"/>
      <c r="BA48" s="7">
        <v>42927</v>
      </c>
      <c r="BB48" s="2">
        <f>26681*20</f>
        <v>533620</v>
      </c>
      <c r="BC48" s="58"/>
      <c r="BD48" s="55"/>
      <c r="BE48" s="7">
        <v>42929</v>
      </c>
      <c r="BF48" s="2">
        <f>40512*20</f>
        <v>810240</v>
      </c>
      <c r="BG48" s="58"/>
      <c r="BH48" s="55"/>
      <c r="BI48" s="7">
        <v>42931</v>
      </c>
      <c r="BJ48" s="2">
        <f>52603*20</f>
        <v>1052060</v>
      </c>
      <c r="BK48" s="58"/>
      <c r="BL48" s="55"/>
      <c r="BM48" s="7">
        <v>42933</v>
      </c>
      <c r="BN48" s="2">
        <f>68623*20</f>
        <v>1372460</v>
      </c>
      <c r="BO48" s="58"/>
      <c r="BP48" s="55"/>
      <c r="BQ48" s="7">
        <v>42935</v>
      </c>
      <c r="BR48" s="2">
        <f>64937*20</f>
        <v>1298740</v>
      </c>
      <c r="BS48" s="58"/>
      <c r="BT48" s="55"/>
      <c r="BU48" s="7">
        <v>42937</v>
      </c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</row>
    <row r="49" spans="1:101" x14ac:dyDescent="0.2">
      <c r="A49" s="20" t="s">
        <v>62</v>
      </c>
      <c r="B49" s="18">
        <f>(innoculationdensity!$D$8*1.5)/1000</f>
        <v>2069.56</v>
      </c>
      <c r="C49" s="55"/>
      <c r="D49" s="55"/>
      <c r="E49" s="7">
        <v>42903</v>
      </c>
      <c r="F49" s="2">
        <v>2249</v>
      </c>
      <c r="G49" s="55"/>
      <c r="H49" s="55"/>
      <c r="I49" s="7">
        <v>42905</v>
      </c>
      <c r="J49" s="2">
        <v>2337</v>
      </c>
      <c r="K49" s="55"/>
      <c r="L49" s="55"/>
      <c r="M49" s="7">
        <v>42907</v>
      </c>
      <c r="N49" s="2">
        <v>3137</v>
      </c>
      <c r="O49" s="55"/>
      <c r="P49" s="55"/>
      <c r="Q49" s="7">
        <v>42909</v>
      </c>
      <c r="R49" s="4">
        <v>3849</v>
      </c>
      <c r="S49" s="55"/>
      <c r="T49" s="55"/>
      <c r="U49" s="7">
        <v>42911</v>
      </c>
      <c r="V49" s="2">
        <v>5716</v>
      </c>
      <c r="W49" s="55"/>
      <c r="X49" s="55"/>
      <c r="Y49" s="7">
        <v>42913</v>
      </c>
      <c r="Z49" s="2">
        <v>9317</v>
      </c>
      <c r="AA49" s="55"/>
      <c r="AB49" s="55"/>
      <c r="AC49" s="7">
        <v>42915</v>
      </c>
      <c r="AD49" s="2">
        <v>18273</v>
      </c>
      <c r="AE49" s="55"/>
      <c r="AF49" s="55"/>
      <c r="AG49" s="7">
        <v>42917</v>
      </c>
      <c r="AH49" s="2">
        <v>26822</v>
      </c>
      <c r="AI49" s="55"/>
      <c r="AJ49" s="55"/>
      <c r="AK49" s="7">
        <v>42919</v>
      </c>
      <c r="AL49" s="2">
        <v>41117</v>
      </c>
      <c r="AM49" s="55"/>
      <c r="AN49" s="55"/>
      <c r="AO49" s="7">
        <v>42921</v>
      </c>
      <c r="AP49" s="2">
        <f>5049*20</f>
        <v>100980</v>
      </c>
      <c r="AQ49" s="55"/>
      <c r="AR49" s="55"/>
      <c r="AS49" s="7">
        <v>42923</v>
      </c>
      <c r="AT49" s="2">
        <f>9218*20</f>
        <v>184360</v>
      </c>
      <c r="AU49" s="55"/>
      <c r="AV49" s="55"/>
      <c r="AW49" s="7">
        <v>42925</v>
      </c>
      <c r="AX49" s="2">
        <f>17492*20</f>
        <v>349840</v>
      </c>
      <c r="AY49" s="58"/>
      <c r="AZ49" s="55"/>
      <c r="BA49" s="7">
        <v>42927</v>
      </c>
      <c r="BB49" s="2">
        <f>26193*20</f>
        <v>523860</v>
      </c>
      <c r="BC49" s="58"/>
      <c r="BD49" s="55"/>
      <c r="BE49" s="7">
        <v>42929</v>
      </c>
      <c r="BF49" s="2">
        <f>40309*20</f>
        <v>806180</v>
      </c>
      <c r="BG49" s="58"/>
      <c r="BH49" s="55"/>
      <c r="BI49" s="7">
        <v>42931</v>
      </c>
      <c r="BJ49" s="2">
        <f>51875*20</f>
        <v>1037500</v>
      </c>
      <c r="BK49" s="58"/>
      <c r="BL49" s="55"/>
      <c r="BM49" s="7">
        <v>42933</v>
      </c>
      <c r="BN49" s="2">
        <f>68229*20</f>
        <v>1364580</v>
      </c>
      <c r="BO49" s="58"/>
      <c r="BP49" s="55"/>
      <c r="BQ49" s="7">
        <v>42935</v>
      </c>
      <c r="BR49" s="2">
        <f>64201*20</f>
        <v>1284020</v>
      </c>
      <c r="BS49" s="58"/>
      <c r="BT49" s="55"/>
      <c r="BU49" s="7">
        <v>42937</v>
      </c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</row>
    <row r="50" spans="1:101" x14ac:dyDescent="0.2">
      <c r="A50" s="20" t="s">
        <v>63</v>
      </c>
      <c r="B50" s="18">
        <f>(innoculationdensity!$D$8*1.5)/1000</f>
        <v>2069.56</v>
      </c>
      <c r="C50" s="55"/>
      <c r="D50" s="55"/>
      <c r="E50" s="7">
        <v>42903</v>
      </c>
      <c r="F50" s="2">
        <v>2702</v>
      </c>
      <c r="G50" s="55"/>
      <c r="H50" s="55"/>
      <c r="I50" s="7">
        <v>42905</v>
      </c>
      <c r="J50" s="2">
        <v>2286</v>
      </c>
      <c r="K50" s="55"/>
      <c r="L50" s="55"/>
      <c r="M50" s="7">
        <v>42907</v>
      </c>
      <c r="N50" s="2">
        <v>3181</v>
      </c>
      <c r="O50" s="55"/>
      <c r="P50" s="55"/>
      <c r="Q50" s="7">
        <v>42909</v>
      </c>
      <c r="R50" s="4">
        <v>3584</v>
      </c>
      <c r="S50" s="55"/>
      <c r="T50" s="55"/>
      <c r="U50" s="7">
        <v>42911</v>
      </c>
      <c r="V50" s="2">
        <v>5029</v>
      </c>
      <c r="W50" s="55"/>
      <c r="X50" s="55"/>
      <c r="Y50" s="7">
        <v>42913</v>
      </c>
      <c r="Z50" s="2">
        <v>7402</v>
      </c>
      <c r="AA50" s="55"/>
      <c r="AB50" s="55"/>
      <c r="AC50" s="7">
        <v>42915</v>
      </c>
      <c r="AD50" s="2">
        <v>13869</v>
      </c>
      <c r="AE50" s="55"/>
      <c r="AF50" s="55"/>
      <c r="AG50" s="7">
        <v>42917</v>
      </c>
      <c r="AH50" s="2">
        <v>21199</v>
      </c>
      <c r="AI50" s="55"/>
      <c r="AJ50" s="55"/>
      <c r="AK50" s="7">
        <v>42919</v>
      </c>
      <c r="AL50" s="2">
        <v>38905</v>
      </c>
      <c r="AM50" s="55"/>
      <c r="AN50" s="55"/>
      <c r="AO50" s="7">
        <v>42921</v>
      </c>
      <c r="AP50" s="2">
        <f>3620*20</f>
        <v>72400</v>
      </c>
      <c r="AQ50" s="55"/>
      <c r="AR50" s="55"/>
      <c r="AS50" s="7">
        <v>42923</v>
      </c>
      <c r="AT50" s="2">
        <f>6982*20</f>
        <v>139640</v>
      </c>
      <c r="AU50" s="55"/>
      <c r="AV50" s="55"/>
      <c r="AW50" s="7">
        <v>42925</v>
      </c>
      <c r="AX50" s="2">
        <f>13378*20</f>
        <v>267560</v>
      </c>
      <c r="AY50" s="58"/>
      <c r="AZ50" s="55"/>
      <c r="BA50" s="7">
        <v>42927</v>
      </c>
      <c r="BB50" s="2">
        <f>19222*20</f>
        <v>384440</v>
      </c>
      <c r="BC50" s="58"/>
      <c r="BD50" s="55"/>
      <c r="BE50" s="7">
        <v>42929</v>
      </c>
      <c r="BF50" s="2">
        <f>34361*20</f>
        <v>687220</v>
      </c>
      <c r="BG50" s="58"/>
      <c r="BH50" s="55"/>
      <c r="BI50" s="7">
        <v>42931</v>
      </c>
      <c r="BJ50" s="2">
        <f>46043*20</f>
        <v>920860</v>
      </c>
      <c r="BK50" s="58"/>
      <c r="BL50" s="55"/>
      <c r="BM50" s="7">
        <v>42933</v>
      </c>
      <c r="BN50" s="2">
        <f>59732*20</f>
        <v>1194640</v>
      </c>
      <c r="BO50" s="58"/>
      <c r="BP50" s="55"/>
      <c r="BQ50" s="7">
        <v>42935</v>
      </c>
      <c r="BR50" s="2">
        <f>60198*20</f>
        <v>1203960</v>
      </c>
      <c r="BS50" s="58"/>
      <c r="BT50" s="55"/>
      <c r="BU50" s="7">
        <v>42937</v>
      </c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</row>
    <row r="51" spans="1:101" x14ac:dyDescent="0.2">
      <c r="A51" s="20" t="s">
        <v>64</v>
      </c>
      <c r="B51" s="18">
        <f>(innoculationdensity!$D$8*1.5)/1000</f>
        <v>2069.56</v>
      </c>
      <c r="C51" s="55"/>
      <c r="D51" s="55"/>
      <c r="E51" s="7">
        <v>42903</v>
      </c>
      <c r="F51" s="2">
        <v>2684</v>
      </c>
      <c r="G51" s="55"/>
      <c r="H51" s="55"/>
      <c r="I51" s="7">
        <v>42905</v>
      </c>
      <c r="J51" s="2">
        <v>2285</v>
      </c>
      <c r="K51" s="55"/>
      <c r="L51" s="55"/>
      <c r="M51" s="7">
        <v>42907</v>
      </c>
      <c r="N51" s="2">
        <v>3035</v>
      </c>
      <c r="O51" s="55"/>
      <c r="P51" s="55"/>
      <c r="Q51" s="7">
        <v>42909</v>
      </c>
      <c r="R51" s="4">
        <v>3539</v>
      </c>
      <c r="S51" s="55"/>
      <c r="T51" s="55"/>
      <c r="U51" s="7">
        <v>42911</v>
      </c>
      <c r="V51" s="2">
        <v>4999</v>
      </c>
      <c r="W51" s="55"/>
      <c r="X51" s="55"/>
      <c r="Y51" s="7">
        <v>42913</v>
      </c>
      <c r="Z51" s="2">
        <v>7399</v>
      </c>
      <c r="AA51" s="55"/>
      <c r="AB51" s="55"/>
      <c r="AC51" s="7">
        <v>42915</v>
      </c>
      <c r="AD51" s="2">
        <v>14022</v>
      </c>
      <c r="AE51" s="55"/>
      <c r="AF51" s="55"/>
      <c r="AG51" s="7">
        <v>42917</v>
      </c>
      <c r="AH51" s="2">
        <v>21375</v>
      </c>
      <c r="AI51" s="55"/>
      <c r="AJ51" s="55"/>
      <c r="AK51" s="7">
        <v>42919</v>
      </c>
      <c r="AL51" s="2">
        <v>38041</v>
      </c>
      <c r="AM51" s="55"/>
      <c r="AN51" s="55"/>
      <c r="AO51" s="7">
        <v>42921</v>
      </c>
      <c r="AP51" s="2">
        <f>3717*20</f>
        <v>74340</v>
      </c>
      <c r="AQ51" s="55"/>
      <c r="AR51" s="55"/>
      <c r="AS51" s="7">
        <v>42923</v>
      </c>
      <c r="AT51" s="2">
        <f>6541*20</f>
        <v>130820</v>
      </c>
      <c r="AU51" s="55"/>
      <c r="AV51" s="55"/>
      <c r="AW51" s="7">
        <v>42925</v>
      </c>
      <c r="AX51" s="2">
        <f>12985*20</f>
        <v>259700</v>
      </c>
      <c r="AY51" s="58"/>
      <c r="AZ51" s="55"/>
      <c r="BA51" s="7">
        <v>42927</v>
      </c>
      <c r="BB51" s="2">
        <f>19062*20</f>
        <v>381240</v>
      </c>
      <c r="BC51" s="58"/>
      <c r="BD51" s="55"/>
      <c r="BE51" s="7">
        <v>42929</v>
      </c>
      <c r="BF51" s="2">
        <f>33486*20</f>
        <v>669720</v>
      </c>
      <c r="BG51" s="58"/>
      <c r="BH51" s="55"/>
      <c r="BI51" s="7">
        <v>42931</v>
      </c>
      <c r="BJ51" s="2">
        <f>45685*20</f>
        <v>913700</v>
      </c>
      <c r="BK51" s="58"/>
      <c r="BL51" s="55"/>
      <c r="BM51" s="7">
        <v>42933</v>
      </c>
      <c r="BN51" s="2">
        <f>59666*20</f>
        <v>1193320</v>
      </c>
      <c r="BO51" s="58"/>
      <c r="BP51" s="55"/>
      <c r="BQ51" s="7">
        <v>42935</v>
      </c>
      <c r="BR51" s="2">
        <f>59526*20</f>
        <v>1190520</v>
      </c>
      <c r="BS51" s="58"/>
      <c r="BT51" s="55"/>
      <c r="BU51" s="7">
        <v>42937</v>
      </c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</row>
    <row r="52" spans="1:101" x14ac:dyDescent="0.2">
      <c r="A52" s="20" t="s">
        <v>65</v>
      </c>
      <c r="B52" s="18">
        <f>(innoculationdensity!$D$8*1.5)/1000</f>
        <v>2069.56</v>
      </c>
      <c r="C52" s="55"/>
      <c r="D52" s="55"/>
      <c r="E52" s="7">
        <v>42903</v>
      </c>
      <c r="F52" s="2">
        <v>2697</v>
      </c>
      <c r="G52" s="55"/>
      <c r="H52" s="55"/>
      <c r="I52" s="7">
        <v>42905</v>
      </c>
      <c r="J52" s="2">
        <v>2327</v>
      </c>
      <c r="K52" s="55"/>
      <c r="L52" s="55"/>
      <c r="M52" s="7">
        <v>42907</v>
      </c>
      <c r="N52" s="2">
        <v>3134</v>
      </c>
      <c r="O52" s="55"/>
      <c r="P52" s="55"/>
      <c r="Q52" s="7">
        <v>42909</v>
      </c>
      <c r="R52" s="4">
        <v>3559</v>
      </c>
      <c r="S52" s="55"/>
      <c r="T52" s="55"/>
      <c r="U52" s="7">
        <v>42911</v>
      </c>
      <c r="V52" s="2">
        <v>4875</v>
      </c>
      <c r="W52" s="55"/>
      <c r="X52" s="55"/>
      <c r="Y52" s="7">
        <v>42913</v>
      </c>
      <c r="Z52" s="2">
        <v>7477</v>
      </c>
      <c r="AA52" s="55"/>
      <c r="AB52" s="55"/>
      <c r="AC52" s="7">
        <v>42915</v>
      </c>
      <c r="AD52" s="2">
        <v>14008</v>
      </c>
      <c r="AE52" s="55"/>
      <c r="AF52" s="55"/>
      <c r="AG52" s="7">
        <v>42917</v>
      </c>
      <c r="AH52" s="2">
        <v>20936</v>
      </c>
      <c r="AI52" s="55"/>
      <c r="AJ52" s="55"/>
      <c r="AK52" s="7">
        <v>42919</v>
      </c>
      <c r="AL52" s="2">
        <v>37886</v>
      </c>
      <c r="AM52" s="55"/>
      <c r="AN52" s="55"/>
      <c r="AO52" s="7">
        <v>42921</v>
      </c>
      <c r="AP52" s="2">
        <f>3610*20</f>
        <v>72200</v>
      </c>
      <c r="AQ52" s="55"/>
      <c r="AR52" s="55"/>
      <c r="AS52" s="7">
        <v>42923</v>
      </c>
      <c r="AT52" s="2">
        <f>6520*20</f>
        <v>130400</v>
      </c>
      <c r="AU52" s="55"/>
      <c r="AV52" s="55"/>
      <c r="AW52" s="7">
        <v>42925</v>
      </c>
      <c r="AX52" s="2">
        <f>12832*20</f>
        <v>256640</v>
      </c>
      <c r="AY52" s="58"/>
      <c r="AZ52" s="55"/>
      <c r="BA52" s="7">
        <v>42927</v>
      </c>
      <c r="BB52" s="2">
        <f>19009*20</f>
        <v>380180</v>
      </c>
      <c r="BC52" s="58"/>
      <c r="BD52" s="55"/>
      <c r="BE52" s="7">
        <v>42929</v>
      </c>
      <c r="BF52" s="2">
        <f>32599*20</f>
        <v>651980</v>
      </c>
      <c r="BG52" s="58"/>
      <c r="BH52" s="55"/>
      <c r="BI52" s="7">
        <v>42931</v>
      </c>
      <c r="BJ52" s="2">
        <f>45148*20</f>
        <v>902960</v>
      </c>
      <c r="BK52" s="58"/>
      <c r="BL52" s="55"/>
      <c r="BM52" s="7">
        <v>42933</v>
      </c>
      <c r="BN52" s="2">
        <f>59965*20</f>
        <v>1199300</v>
      </c>
      <c r="BO52" s="58"/>
      <c r="BP52" s="55"/>
      <c r="BQ52" s="7">
        <v>42935</v>
      </c>
      <c r="BR52" s="2">
        <f>59612*20</f>
        <v>1192240</v>
      </c>
      <c r="BS52" s="58"/>
      <c r="BT52" s="55"/>
      <c r="BU52" s="7">
        <v>42937</v>
      </c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</row>
    <row r="53" spans="1:101" x14ac:dyDescent="0.2">
      <c r="A53" s="20" t="s">
        <v>66</v>
      </c>
      <c r="B53" s="18">
        <f>(innoculationdensity!$D$8*1.5)/1000</f>
        <v>2069.56</v>
      </c>
      <c r="C53" s="55"/>
      <c r="D53" s="55"/>
      <c r="E53" s="7">
        <v>42903</v>
      </c>
      <c r="F53" s="2">
        <v>2451</v>
      </c>
      <c r="G53" s="55"/>
      <c r="H53" s="55"/>
      <c r="I53" s="7">
        <v>42905</v>
      </c>
      <c r="J53" s="2">
        <v>2565</v>
      </c>
      <c r="K53" s="55"/>
      <c r="L53" s="55"/>
      <c r="M53" s="7">
        <v>42907</v>
      </c>
      <c r="N53" s="2">
        <v>3220</v>
      </c>
      <c r="O53" s="55"/>
      <c r="P53" s="55"/>
      <c r="Q53" s="7">
        <v>42909</v>
      </c>
      <c r="R53" s="4">
        <v>3927</v>
      </c>
      <c r="S53" s="55"/>
      <c r="T53" s="55"/>
      <c r="U53" s="7">
        <v>42911</v>
      </c>
      <c r="V53" s="2">
        <v>5486</v>
      </c>
      <c r="W53" s="55"/>
      <c r="X53" s="55"/>
      <c r="Y53" s="7">
        <v>42913</v>
      </c>
      <c r="Z53" s="2">
        <v>8631</v>
      </c>
      <c r="AA53" s="55"/>
      <c r="AB53" s="55"/>
      <c r="AC53" s="7">
        <v>42915</v>
      </c>
      <c r="AD53" s="2">
        <v>15757</v>
      </c>
      <c r="AE53" s="55"/>
      <c r="AF53" s="55"/>
      <c r="AG53" s="7">
        <v>42917</v>
      </c>
      <c r="AH53" s="2">
        <v>24239</v>
      </c>
      <c r="AI53" s="55"/>
      <c r="AJ53" s="55"/>
      <c r="AK53" s="7">
        <v>42919</v>
      </c>
      <c r="AL53" s="2">
        <v>40712</v>
      </c>
      <c r="AM53" s="55"/>
      <c r="AN53" s="55"/>
      <c r="AO53" s="7">
        <v>42921</v>
      </c>
      <c r="AP53" s="2">
        <f>4159*20</f>
        <v>83180</v>
      </c>
      <c r="AQ53" s="55"/>
      <c r="AR53" s="55"/>
      <c r="AS53" s="7">
        <v>42923</v>
      </c>
      <c r="AT53" s="2">
        <f>7669*20</f>
        <v>153380</v>
      </c>
      <c r="AU53" s="55"/>
      <c r="AV53" s="55"/>
      <c r="AW53" s="7">
        <v>42925</v>
      </c>
      <c r="AX53" s="2">
        <f>14934*20</f>
        <v>298680</v>
      </c>
      <c r="AY53" s="58"/>
      <c r="AZ53" s="55"/>
      <c r="BA53" s="7">
        <v>42927</v>
      </c>
      <c r="BB53" s="2">
        <f>23225*20</f>
        <v>464500</v>
      </c>
      <c r="BC53" s="58"/>
      <c r="BD53" s="55"/>
      <c r="BE53" s="7">
        <v>42929</v>
      </c>
      <c r="BF53" s="2">
        <f>36636*20</f>
        <v>732720</v>
      </c>
      <c r="BG53" s="58"/>
      <c r="BH53" s="55"/>
      <c r="BI53" s="7">
        <v>42931</v>
      </c>
      <c r="BJ53" s="2">
        <f>51428*20</f>
        <v>1028560</v>
      </c>
      <c r="BK53" s="58"/>
      <c r="BL53" s="55"/>
      <c r="BM53" s="7">
        <v>42933</v>
      </c>
      <c r="BN53" s="2">
        <f>57636*20</f>
        <v>1152720</v>
      </c>
      <c r="BO53" s="58"/>
      <c r="BP53" s="55"/>
      <c r="BQ53" s="7">
        <v>42935</v>
      </c>
      <c r="BR53" s="2">
        <f>54971*20</f>
        <v>1099420</v>
      </c>
      <c r="BS53" s="58"/>
      <c r="BT53" s="55"/>
      <c r="BU53" s="7">
        <v>42937</v>
      </c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</row>
    <row r="54" spans="1:101" x14ac:dyDescent="0.2">
      <c r="A54" s="20" t="s">
        <v>67</v>
      </c>
      <c r="B54" s="18">
        <f>(innoculationdensity!$D$8*1.5)/1000</f>
        <v>2069.56</v>
      </c>
      <c r="C54" s="55"/>
      <c r="D54" s="55"/>
      <c r="E54" s="7">
        <v>42903</v>
      </c>
      <c r="F54" s="2">
        <v>2448</v>
      </c>
      <c r="G54" s="55"/>
      <c r="H54" s="55"/>
      <c r="I54" s="7">
        <v>42905</v>
      </c>
      <c r="J54" s="2">
        <v>2402</v>
      </c>
      <c r="K54" s="55"/>
      <c r="L54" s="55"/>
      <c r="M54" s="7">
        <v>42907</v>
      </c>
      <c r="N54" s="2">
        <v>3135</v>
      </c>
      <c r="O54" s="55"/>
      <c r="P54" s="55"/>
      <c r="Q54" s="7">
        <v>42909</v>
      </c>
      <c r="R54" s="4">
        <v>4000</v>
      </c>
      <c r="S54" s="55"/>
      <c r="T54" s="55"/>
      <c r="U54" s="7">
        <v>42911</v>
      </c>
      <c r="V54" s="2">
        <v>5506</v>
      </c>
      <c r="W54" s="55"/>
      <c r="X54" s="55"/>
      <c r="Y54" s="7">
        <v>42913</v>
      </c>
      <c r="Z54" s="2">
        <v>8697</v>
      </c>
      <c r="AA54" s="55"/>
      <c r="AB54" s="55"/>
      <c r="AC54" s="7">
        <v>42915</v>
      </c>
      <c r="AD54" s="2">
        <v>15851</v>
      </c>
      <c r="AE54" s="55"/>
      <c r="AF54" s="55"/>
      <c r="AG54" s="7">
        <v>42917</v>
      </c>
      <c r="AH54" s="2">
        <v>24155</v>
      </c>
      <c r="AI54" s="55"/>
      <c r="AJ54" s="55"/>
      <c r="AK54" s="7">
        <v>42919</v>
      </c>
      <c r="AL54" s="2">
        <v>41399</v>
      </c>
      <c r="AM54" s="55"/>
      <c r="AN54" s="55"/>
      <c r="AO54" s="7">
        <v>42921</v>
      </c>
      <c r="AP54" s="2">
        <f>4109*20</f>
        <v>82180</v>
      </c>
      <c r="AQ54" s="55"/>
      <c r="AR54" s="55"/>
      <c r="AS54" s="7">
        <v>42923</v>
      </c>
      <c r="AT54" s="2">
        <f>7573*20</f>
        <v>151460</v>
      </c>
      <c r="AU54" s="55"/>
      <c r="AV54" s="55"/>
      <c r="AW54" s="7">
        <v>42925</v>
      </c>
      <c r="AX54" s="2">
        <f>14817*20</f>
        <v>296340</v>
      </c>
      <c r="AY54" s="58"/>
      <c r="AZ54" s="55"/>
      <c r="BA54" s="7">
        <v>42927</v>
      </c>
      <c r="BB54" s="2">
        <f>23262*20</f>
        <v>465240</v>
      </c>
      <c r="BC54" s="58"/>
      <c r="BD54" s="55"/>
      <c r="BE54" s="7">
        <v>42929</v>
      </c>
      <c r="BF54" s="2">
        <f>36807*20</f>
        <v>736140</v>
      </c>
      <c r="BG54" s="58"/>
      <c r="BH54" s="55"/>
      <c r="BI54" s="7">
        <v>42931</v>
      </c>
      <c r="BJ54" s="2">
        <f>51337*20</f>
        <v>1026740</v>
      </c>
      <c r="BK54" s="58"/>
      <c r="BL54" s="55"/>
      <c r="BM54" s="7">
        <v>42933</v>
      </c>
      <c r="BN54" s="2">
        <f>57157*20</f>
        <v>1143140</v>
      </c>
      <c r="BO54" s="58"/>
      <c r="BP54" s="55"/>
      <c r="BQ54" s="7">
        <v>42935</v>
      </c>
      <c r="BR54" s="2">
        <f>55285*20</f>
        <v>1105700</v>
      </c>
      <c r="BS54" s="58"/>
      <c r="BT54" s="55"/>
      <c r="BU54" s="7">
        <v>42937</v>
      </c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</row>
    <row r="55" spans="1:101" x14ac:dyDescent="0.2">
      <c r="A55" s="20" t="s">
        <v>68</v>
      </c>
      <c r="B55" s="18">
        <f>(innoculationdensity!$D$8*1.5)/1000</f>
        <v>2069.56</v>
      </c>
      <c r="C55" s="55"/>
      <c r="D55" s="55"/>
      <c r="E55" s="7">
        <v>42903</v>
      </c>
      <c r="F55" s="2">
        <v>2447</v>
      </c>
      <c r="G55" s="55"/>
      <c r="H55" s="55"/>
      <c r="I55" s="7">
        <v>42905</v>
      </c>
      <c r="J55" s="2">
        <v>2450</v>
      </c>
      <c r="K55" s="55"/>
      <c r="L55" s="55"/>
      <c r="M55" s="7">
        <v>42907</v>
      </c>
      <c r="N55" s="2">
        <v>3147</v>
      </c>
      <c r="O55" s="55"/>
      <c r="P55" s="55"/>
      <c r="Q55" s="7">
        <v>42909</v>
      </c>
      <c r="R55" s="4">
        <v>3937</v>
      </c>
      <c r="S55" s="55"/>
      <c r="T55" s="55"/>
      <c r="U55" s="7">
        <v>42911</v>
      </c>
      <c r="V55" s="2">
        <v>5650</v>
      </c>
      <c r="W55" s="55"/>
      <c r="X55" s="55"/>
      <c r="Y55" s="7">
        <v>42913</v>
      </c>
      <c r="Z55" s="2">
        <v>8594</v>
      </c>
      <c r="AA55" s="55"/>
      <c r="AB55" s="55"/>
      <c r="AC55" s="7">
        <v>42915</v>
      </c>
      <c r="AD55" s="2">
        <v>15569</v>
      </c>
      <c r="AE55" s="55"/>
      <c r="AF55" s="55"/>
      <c r="AG55" s="7">
        <v>42917</v>
      </c>
      <c r="AH55" s="2">
        <v>24055</v>
      </c>
      <c r="AI55" s="55"/>
      <c r="AJ55" s="55"/>
      <c r="AK55" s="7">
        <v>42919</v>
      </c>
      <c r="AL55" s="2">
        <v>41125</v>
      </c>
      <c r="AM55" s="55"/>
      <c r="AN55" s="55"/>
      <c r="AO55" s="7">
        <v>42921</v>
      </c>
      <c r="AP55" s="2">
        <f>4128*20</f>
        <v>82560</v>
      </c>
      <c r="AQ55" s="55"/>
      <c r="AR55" s="55"/>
      <c r="AS55" s="7">
        <v>42923</v>
      </c>
      <c r="AT55" s="2">
        <f>7549*20</f>
        <v>150980</v>
      </c>
      <c r="AU55" s="55"/>
      <c r="AV55" s="55"/>
      <c r="AW55" s="7">
        <v>42925</v>
      </c>
      <c r="AX55" s="2">
        <f>14664*20</f>
        <v>293280</v>
      </c>
      <c r="AY55" s="58"/>
      <c r="AZ55" s="55"/>
      <c r="BA55" s="7">
        <v>42927</v>
      </c>
      <c r="BB55" s="2">
        <f>22968*20</f>
        <v>459360</v>
      </c>
      <c r="BC55" s="58"/>
      <c r="BD55" s="55"/>
      <c r="BE55" s="7">
        <v>42929</v>
      </c>
      <c r="BF55" s="2">
        <f>36774*20</f>
        <v>735480</v>
      </c>
      <c r="BG55" s="58"/>
      <c r="BH55" s="55"/>
      <c r="BI55" s="7">
        <v>42931</v>
      </c>
      <c r="BJ55" s="2">
        <f>50942*20</f>
        <v>1018840</v>
      </c>
      <c r="BK55" s="58"/>
      <c r="BL55" s="55"/>
      <c r="BM55" s="7">
        <v>42933</v>
      </c>
      <c r="BN55" s="2">
        <f>57065*20</f>
        <v>1141300</v>
      </c>
      <c r="BO55" s="58"/>
      <c r="BP55" s="55"/>
      <c r="BQ55" s="7">
        <v>42935</v>
      </c>
      <c r="BR55" s="2">
        <f>54353*20</f>
        <v>1087060</v>
      </c>
      <c r="BS55" s="58"/>
      <c r="BT55" s="55"/>
      <c r="BU55" s="7">
        <v>42937</v>
      </c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</row>
    <row r="56" spans="1:101" x14ac:dyDescent="0.2">
      <c r="A56" s="20" t="s">
        <v>69</v>
      </c>
      <c r="B56" s="18">
        <f>(innoculationdensity!$D$11*2)/1000</f>
        <v>1406.8133333333335</v>
      </c>
      <c r="C56" s="56">
        <f t="shared" ref="C56" si="88">AVERAGE(B56:B64)</f>
        <v>1406.8133333333335</v>
      </c>
      <c r="D56" s="56">
        <f t="shared" ref="D56" si="89">(STDEV(B56:B64))</f>
        <v>0</v>
      </c>
      <c r="E56" s="7">
        <v>42905</v>
      </c>
      <c r="F56" s="2">
        <v>1055</v>
      </c>
      <c r="G56" s="56">
        <f t="shared" ref="G56:G65" si="90">AVERAGE(F56:F64)</f>
        <v>1301.6666666666667</v>
      </c>
      <c r="H56" s="56">
        <f t="shared" ref="H56" si="91">(STDEV(F56:F64))</f>
        <v>174.4190356583822</v>
      </c>
      <c r="I56" s="7">
        <v>42907</v>
      </c>
      <c r="J56" s="2">
        <v>1154</v>
      </c>
      <c r="K56" s="56">
        <f t="shared" ref="K56:K65" si="92">AVERAGE(J56:J64)</f>
        <v>1237.7777777777778</v>
      </c>
      <c r="L56" s="56">
        <f t="shared" ref="L56" si="93">(STDEV(J56:J64))</f>
        <v>68.532433521978803</v>
      </c>
      <c r="M56" s="7">
        <v>42909</v>
      </c>
      <c r="N56" s="2">
        <v>1062</v>
      </c>
      <c r="O56" s="56">
        <f t="shared" ref="O56" si="94">AVERAGE(N56:N64)</f>
        <v>1075.8888888888889</v>
      </c>
      <c r="P56" s="56">
        <f t="shared" ref="P56" si="95">(STDEV(N56:N64))</f>
        <v>92.391077010234653</v>
      </c>
      <c r="Q56" s="7">
        <v>42911</v>
      </c>
      <c r="R56" s="4">
        <v>1077</v>
      </c>
      <c r="S56" s="54">
        <f t="shared" ref="S56:S65" si="96">AVERAGE(R56:R64)</f>
        <v>1061.2222222222222</v>
      </c>
      <c r="T56" s="56">
        <f t="shared" ref="T56" si="97">(STDEV(R56:R64))</f>
        <v>45.945015447210857</v>
      </c>
      <c r="U56" s="7">
        <v>46565</v>
      </c>
      <c r="V56" s="2">
        <v>1104</v>
      </c>
      <c r="W56" s="54">
        <f t="shared" ref="W56" si="98">AVERAGE(V56:V64)</f>
        <v>1026.1111111111111</v>
      </c>
      <c r="X56" s="56">
        <f t="shared" ref="X56" si="99">(STDEV(V56:V64))</f>
        <v>96.872912163881551</v>
      </c>
      <c r="Y56" s="7">
        <v>42915</v>
      </c>
      <c r="Z56" s="2">
        <v>1237</v>
      </c>
      <c r="AA56" s="54">
        <f t="shared" ref="AA56" si="100">AVERAGE(Z56:Z64)</f>
        <v>1066.3333333333333</v>
      </c>
      <c r="AB56" s="56">
        <f t="shared" ref="AB56" si="101">(STDEV(Z56:Z64))</f>
        <v>141.45493982183868</v>
      </c>
      <c r="AC56" s="7">
        <v>42917</v>
      </c>
      <c r="AD56" s="2">
        <v>989</v>
      </c>
      <c r="AE56" s="54">
        <f t="shared" ref="AE56" si="102">AVERAGE(AD56:AD64)</f>
        <v>951.66666666666663</v>
      </c>
      <c r="AF56" s="56">
        <f t="shared" si="44"/>
        <v>42.026777178365705</v>
      </c>
      <c r="AG56" s="7">
        <v>42919</v>
      </c>
      <c r="AH56" s="2">
        <v>944</v>
      </c>
      <c r="AI56" s="54">
        <f t="shared" ref="AI56" si="103">AVERAGE(AH56:AH64)</f>
        <v>951.55555555555554</v>
      </c>
      <c r="AJ56" s="56">
        <f t="shared" ref="AJ56" si="104">(STDEV(AH56:AH64))</f>
        <v>60.920257532103207</v>
      </c>
      <c r="AK56" s="7">
        <v>42921</v>
      </c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</row>
    <row r="57" spans="1:101" x14ac:dyDescent="0.2">
      <c r="A57" s="20" t="s">
        <v>70</v>
      </c>
      <c r="B57" s="18">
        <f>(innoculationdensity!$D$11*2)/1000</f>
        <v>1406.8133333333335</v>
      </c>
      <c r="C57" s="55"/>
      <c r="D57" s="55"/>
      <c r="E57" s="7">
        <v>42905</v>
      </c>
      <c r="F57" s="2">
        <v>1099</v>
      </c>
      <c r="G57" s="55"/>
      <c r="H57" s="55"/>
      <c r="I57" s="7">
        <v>42907</v>
      </c>
      <c r="J57" s="2">
        <v>1198</v>
      </c>
      <c r="K57" s="55"/>
      <c r="L57" s="55"/>
      <c r="M57" s="7">
        <v>42909</v>
      </c>
      <c r="N57" s="2">
        <v>1107</v>
      </c>
      <c r="O57" s="55"/>
      <c r="P57" s="55"/>
      <c r="Q57" s="7">
        <v>42911</v>
      </c>
      <c r="R57" s="4">
        <v>1115</v>
      </c>
      <c r="S57" s="55"/>
      <c r="T57" s="55"/>
      <c r="U57" s="7">
        <v>46565</v>
      </c>
      <c r="V57" s="2">
        <v>1084</v>
      </c>
      <c r="W57" s="55"/>
      <c r="X57" s="55"/>
      <c r="Y57" s="7">
        <v>42915</v>
      </c>
      <c r="Z57" s="2">
        <v>1252</v>
      </c>
      <c r="AA57" s="55"/>
      <c r="AB57" s="55"/>
      <c r="AC57" s="7">
        <v>42917</v>
      </c>
      <c r="AD57" s="2">
        <v>1008</v>
      </c>
      <c r="AE57" s="55"/>
      <c r="AF57" s="55"/>
      <c r="AG57" s="7">
        <v>42919</v>
      </c>
      <c r="AH57" s="2">
        <v>967</v>
      </c>
      <c r="AI57" s="55"/>
      <c r="AJ57" s="55"/>
      <c r="AK57" s="7">
        <v>42921</v>
      </c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</row>
    <row r="58" spans="1:101" x14ac:dyDescent="0.2">
      <c r="A58" s="20" t="s">
        <v>71</v>
      </c>
      <c r="B58" s="18">
        <f>(innoculationdensity!$D$11*2)/1000</f>
        <v>1406.8133333333335</v>
      </c>
      <c r="C58" s="55"/>
      <c r="D58" s="55"/>
      <c r="E58" s="7">
        <v>42905</v>
      </c>
      <c r="F58" s="2">
        <v>1118</v>
      </c>
      <c r="G58" s="55"/>
      <c r="H58" s="55"/>
      <c r="I58" s="7">
        <v>42907</v>
      </c>
      <c r="J58" s="2">
        <v>1218</v>
      </c>
      <c r="K58" s="55"/>
      <c r="L58" s="55"/>
      <c r="M58" s="7">
        <v>42909</v>
      </c>
      <c r="N58" s="2">
        <v>1283</v>
      </c>
      <c r="O58" s="55"/>
      <c r="P58" s="55"/>
      <c r="Q58" s="7">
        <v>42911</v>
      </c>
      <c r="R58" s="4">
        <v>1153</v>
      </c>
      <c r="S58" s="55"/>
      <c r="T58" s="55"/>
      <c r="U58" s="7">
        <v>46565</v>
      </c>
      <c r="V58" s="2">
        <v>1103</v>
      </c>
      <c r="W58" s="55"/>
      <c r="X58" s="55"/>
      <c r="Y58" s="7">
        <v>42915</v>
      </c>
      <c r="Z58" s="2">
        <v>1172</v>
      </c>
      <c r="AA58" s="55"/>
      <c r="AB58" s="55"/>
      <c r="AC58" s="7">
        <v>42917</v>
      </c>
      <c r="AD58" s="2">
        <v>1003</v>
      </c>
      <c r="AE58" s="55"/>
      <c r="AF58" s="55"/>
      <c r="AG58" s="7">
        <v>42919</v>
      </c>
      <c r="AH58" s="2">
        <v>1028</v>
      </c>
      <c r="AI58" s="55"/>
      <c r="AJ58" s="55"/>
      <c r="AK58" s="7">
        <v>42921</v>
      </c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</row>
    <row r="59" spans="1:101" x14ac:dyDescent="0.2">
      <c r="A59" s="20" t="s">
        <v>72</v>
      </c>
      <c r="B59" s="18">
        <f>(innoculationdensity!$D$11*2)/1000</f>
        <v>1406.8133333333335</v>
      </c>
      <c r="C59" s="55"/>
      <c r="D59" s="55"/>
      <c r="E59" s="7">
        <v>42905</v>
      </c>
      <c r="F59" s="2">
        <v>1337</v>
      </c>
      <c r="G59" s="55"/>
      <c r="H59" s="55"/>
      <c r="I59" s="7">
        <v>42907</v>
      </c>
      <c r="J59" s="2">
        <v>1384</v>
      </c>
      <c r="K59" s="55"/>
      <c r="L59" s="55"/>
      <c r="M59" s="7">
        <v>42909</v>
      </c>
      <c r="N59" s="2">
        <v>1027</v>
      </c>
      <c r="O59" s="55"/>
      <c r="P59" s="55"/>
      <c r="Q59" s="7">
        <v>42911</v>
      </c>
      <c r="R59" s="4">
        <v>1029</v>
      </c>
      <c r="S59" s="55"/>
      <c r="T59" s="55"/>
      <c r="U59" s="7">
        <v>46565</v>
      </c>
      <c r="V59" s="2">
        <v>903</v>
      </c>
      <c r="W59" s="55"/>
      <c r="X59" s="55"/>
      <c r="Y59" s="7">
        <v>42915</v>
      </c>
      <c r="Z59" s="2">
        <v>1097</v>
      </c>
      <c r="AA59" s="55"/>
      <c r="AB59" s="55"/>
      <c r="AC59" s="7">
        <v>42917</v>
      </c>
      <c r="AD59" s="2">
        <v>933</v>
      </c>
      <c r="AE59" s="55"/>
      <c r="AF59" s="55"/>
      <c r="AG59" s="7">
        <v>42919</v>
      </c>
      <c r="AH59" s="2">
        <v>996</v>
      </c>
      <c r="AI59" s="55"/>
      <c r="AJ59" s="55"/>
      <c r="AK59" s="7">
        <v>42921</v>
      </c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</row>
    <row r="60" spans="1:101" x14ac:dyDescent="0.2">
      <c r="A60" s="20" t="s">
        <v>73</v>
      </c>
      <c r="B60" s="18">
        <f>(innoculationdensity!$D$11*2)/1000</f>
        <v>1406.8133333333335</v>
      </c>
      <c r="C60" s="55"/>
      <c r="D60" s="55"/>
      <c r="E60" s="7">
        <v>42905</v>
      </c>
      <c r="F60" s="2">
        <v>1354</v>
      </c>
      <c r="G60" s="55"/>
      <c r="H60" s="55"/>
      <c r="I60" s="7">
        <v>42907</v>
      </c>
      <c r="J60" s="2">
        <v>1301</v>
      </c>
      <c r="K60" s="55"/>
      <c r="L60" s="55"/>
      <c r="M60" s="7">
        <v>42909</v>
      </c>
      <c r="N60" s="2">
        <v>980</v>
      </c>
      <c r="O60" s="55"/>
      <c r="P60" s="55"/>
      <c r="Q60" s="7">
        <v>42911</v>
      </c>
      <c r="R60" s="4">
        <v>1026</v>
      </c>
      <c r="S60" s="55"/>
      <c r="T60" s="55"/>
      <c r="U60" s="7">
        <v>46565</v>
      </c>
      <c r="V60" s="2">
        <v>894</v>
      </c>
      <c r="W60" s="55"/>
      <c r="X60" s="55"/>
      <c r="Y60" s="7">
        <v>42915</v>
      </c>
      <c r="Z60" s="2">
        <v>1038</v>
      </c>
      <c r="AA60" s="55"/>
      <c r="AB60" s="55"/>
      <c r="AC60" s="7">
        <v>42917</v>
      </c>
      <c r="AD60" s="2">
        <v>935</v>
      </c>
      <c r="AE60" s="55"/>
      <c r="AF60" s="55"/>
      <c r="AG60" s="7">
        <v>42919</v>
      </c>
      <c r="AH60" s="2">
        <v>995</v>
      </c>
      <c r="AI60" s="55"/>
      <c r="AJ60" s="55"/>
      <c r="AK60" s="7">
        <v>42921</v>
      </c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</row>
    <row r="61" spans="1:101" x14ac:dyDescent="0.2">
      <c r="A61" s="20" t="s">
        <v>74</v>
      </c>
      <c r="B61" s="18">
        <f>(innoculationdensity!$D$11*2)/1000</f>
        <v>1406.8133333333335</v>
      </c>
      <c r="C61" s="55"/>
      <c r="D61" s="55"/>
      <c r="E61" s="7">
        <v>42905</v>
      </c>
      <c r="F61" s="2">
        <v>1292</v>
      </c>
      <c r="G61" s="55"/>
      <c r="H61" s="55"/>
      <c r="I61" s="7">
        <v>42907</v>
      </c>
      <c r="J61" s="2">
        <v>1260</v>
      </c>
      <c r="K61" s="55"/>
      <c r="L61" s="55"/>
      <c r="M61" s="7">
        <v>42909</v>
      </c>
      <c r="N61" s="2">
        <v>965</v>
      </c>
      <c r="O61" s="55"/>
      <c r="P61" s="55"/>
      <c r="Q61" s="7">
        <v>42911</v>
      </c>
      <c r="R61" s="4">
        <v>1018</v>
      </c>
      <c r="S61" s="55"/>
      <c r="T61" s="55"/>
      <c r="U61" s="7">
        <v>46565</v>
      </c>
      <c r="V61" s="2">
        <v>898</v>
      </c>
      <c r="W61" s="55"/>
      <c r="X61" s="55"/>
      <c r="Y61" s="7">
        <v>42915</v>
      </c>
      <c r="Z61" s="2">
        <v>1089</v>
      </c>
      <c r="AA61" s="55"/>
      <c r="AB61" s="55"/>
      <c r="AC61" s="7">
        <v>42917</v>
      </c>
      <c r="AD61" s="2">
        <v>959</v>
      </c>
      <c r="AE61" s="55"/>
      <c r="AF61" s="55"/>
      <c r="AG61" s="7">
        <v>42919</v>
      </c>
      <c r="AH61" s="2">
        <v>994</v>
      </c>
      <c r="AI61" s="55"/>
      <c r="AJ61" s="55"/>
      <c r="AK61" s="7">
        <v>42921</v>
      </c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</row>
    <row r="62" spans="1:101" x14ac:dyDescent="0.2">
      <c r="A62" s="20" t="s">
        <v>75</v>
      </c>
      <c r="B62" s="18">
        <f>(innoculationdensity!$D$11*2)/1000</f>
        <v>1406.8133333333335</v>
      </c>
      <c r="C62" s="55"/>
      <c r="D62" s="55"/>
      <c r="E62" s="7">
        <v>42905</v>
      </c>
      <c r="F62" s="2">
        <v>1509</v>
      </c>
      <c r="G62" s="55"/>
      <c r="H62" s="55"/>
      <c r="I62" s="7">
        <v>42907</v>
      </c>
      <c r="J62" s="2">
        <v>1211</v>
      </c>
      <c r="K62" s="55"/>
      <c r="L62" s="55"/>
      <c r="M62" s="7">
        <v>42909</v>
      </c>
      <c r="N62" s="2">
        <v>1083</v>
      </c>
      <c r="O62" s="55"/>
      <c r="P62" s="55"/>
      <c r="Q62" s="7">
        <v>42911</v>
      </c>
      <c r="R62" s="4">
        <v>1058</v>
      </c>
      <c r="S62" s="55"/>
      <c r="T62" s="55"/>
      <c r="U62" s="7">
        <v>46565</v>
      </c>
      <c r="V62" s="2">
        <v>1082</v>
      </c>
      <c r="W62" s="55"/>
      <c r="X62" s="55"/>
      <c r="Y62" s="7">
        <v>42915</v>
      </c>
      <c r="Z62" s="2">
        <v>857</v>
      </c>
      <c r="AA62" s="55"/>
      <c r="AB62" s="55"/>
      <c r="AC62" s="7">
        <v>42917</v>
      </c>
      <c r="AD62" s="2">
        <v>893</v>
      </c>
      <c r="AE62" s="55"/>
      <c r="AF62" s="55"/>
      <c r="AG62" s="7">
        <v>42919</v>
      </c>
      <c r="AH62" s="2">
        <v>839</v>
      </c>
      <c r="AI62" s="55"/>
      <c r="AJ62" s="55"/>
      <c r="AK62" s="7">
        <v>42921</v>
      </c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</row>
    <row r="63" spans="1:101" x14ac:dyDescent="0.2">
      <c r="A63" s="20" t="s">
        <v>76</v>
      </c>
      <c r="B63" s="18">
        <f>(innoculationdensity!$D$11*2)/1000</f>
        <v>1406.8133333333335</v>
      </c>
      <c r="C63" s="55"/>
      <c r="D63" s="55"/>
      <c r="E63" s="7">
        <v>42905</v>
      </c>
      <c r="F63" s="2">
        <v>1486</v>
      </c>
      <c r="G63" s="55"/>
      <c r="H63" s="55"/>
      <c r="I63" s="7">
        <v>42907</v>
      </c>
      <c r="J63" s="2">
        <v>1200</v>
      </c>
      <c r="K63" s="55"/>
      <c r="L63" s="55"/>
      <c r="M63" s="7">
        <v>42909</v>
      </c>
      <c r="N63" s="2">
        <v>1086</v>
      </c>
      <c r="O63" s="55"/>
      <c r="P63" s="55"/>
      <c r="Q63" s="7">
        <v>42911</v>
      </c>
      <c r="R63" s="4">
        <v>1042</v>
      </c>
      <c r="S63" s="55"/>
      <c r="T63" s="55"/>
      <c r="U63" s="7">
        <v>46565</v>
      </c>
      <c r="V63" s="2">
        <v>1106</v>
      </c>
      <c r="W63" s="55"/>
      <c r="X63" s="55"/>
      <c r="Y63" s="7">
        <v>42915</v>
      </c>
      <c r="Z63" s="2">
        <v>946</v>
      </c>
      <c r="AA63" s="55"/>
      <c r="AB63" s="55"/>
      <c r="AC63" s="7">
        <v>42917</v>
      </c>
      <c r="AD63" s="2">
        <v>946</v>
      </c>
      <c r="AE63" s="55"/>
      <c r="AF63" s="55"/>
      <c r="AG63" s="7">
        <v>42919</v>
      </c>
      <c r="AH63" s="2">
        <v>899</v>
      </c>
      <c r="AI63" s="55"/>
      <c r="AJ63" s="55"/>
      <c r="AK63" s="7">
        <v>42921</v>
      </c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</row>
    <row r="64" spans="1:101" x14ac:dyDescent="0.2">
      <c r="A64" s="20" t="s">
        <v>77</v>
      </c>
      <c r="B64" s="18">
        <f>(innoculationdensity!$D$11*2)/1000</f>
        <v>1406.8133333333335</v>
      </c>
      <c r="C64" s="55"/>
      <c r="D64" s="55"/>
      <c r="E64" s="7">
        <v>42905</v>
      </c>
      <c r="F64" s="2">
        <v>1465</v>
      </c>
      <c r="G64" s="55"/>
      <c r="H64" s="55"/>
      <c r="I64" s="7">
        <v>42907</v>
      </c>
      <c r="J64" s="2">
        <v>1214</v>
      </c>
      <c r="K64" s="55"/>
      <c r="L64" s="55"/>
      <c r="M64" s="7">
        <v>42909</v>
      </c>
      <c r="N64" s="2">
        <v>1090</v>
      </c>
      <c r="O64" s="55"/>
      <c r="P64" s="55"/>
      <c r="Q64" s="7">
        <v>42911</v>
      </c>
      <c r="R64" s="4">
        <v>1033</v>
      </c>
      <c r="S64" s="55"/>
      <c r="T64" s="55"/>
      <c r="U64" s="7">
        <v>46565</v>
      </c>
      <c r="V64" s="2">
        <v>1061</v>
      </c>
      <c r="W64" s="55"/>
      <c r="X64" s="55"/>
      <c r="Y64" s="7">
        <v>42915</v>
      </c>
      <c r="Z64" s="2">
        <v>909</v>
      </c>
      <c r="AA64" s="55"/>
      <c r="AB64" s="55"/>
      <c r="AC64" s="7">
        <v>42917</v>
      </c>
      <c r="AD64" s="2">
        <v>899</v>
      </c>
      <c r="AE64" s="55"/>
      <c r="AF64" s="55"/>
      <c r="AG64" s="7">
        <v>42919</v>
      </c>
      <c r="AH64" s="2">
        <v>902</v>
      </c>
      <c r="AI64" s="55"/>
      <c r="AJ64" s="55"/>
      <c r="AK64" s="7">
        <v>42921</v>
      </c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</row>
    <row r="65" spans="1:101" x14ac:dyDescent="0.2">
      <c r="A65" s="20" t="s">
        <v>78</v>
      </c>
      <c r="B65" s="18">
        <f>(innoculationdensity!$D$11*2)/1000</f>
        <v>1406.8133333333335</v>
      </c>
      <c r="C65" s="56">
        <f t="shared" ref="C65" si="105">AVERAGE(B65:B73)</f>
        <v>1406.8133333333335</v>
      </c>
      <c r="D65" s="56">
        <f t="shared" ref="D65:D74" si="106">(STDEV(B65:B73))</f>
        <v>0</v>
      </c>
      <c r="E65" s="7">
        <v>42905</v>
      </c>
      <c r="F65" s="2">
        <v>1228</v>
      </c>
      <c r="G65" s="56">
        <f t="shared" si="90"/>
        <v>1189.1111111111111</v>
      </c>
      <c r="H65" s="56">
        <f t="shared" ref="H65" si="107">(STDEV(F65:F73))</f>
        <v>75.451051093481198</v>
      </c>
      <c r="I65" s="7">
        <v>42907</v>
      </c>
      <c r="J65" s="2">
        <v>1135</v>
      </c>
      <c r="K65" s="56">
        <f t="shared" si="92"/>
        <v>1165.3333333333333</v>
      </c>
      <c r="L65" s="56">
        <f t="shared" ref="L65" si="108">(STDEV(J65:J73))</f>
        <v>143.92706486272832</v>
      </c>
      <c r="M65" s="7">
        <v>42909</v>
      </c>
      <c r="N65" s="2">
        <v>1173</v>
      </c>
      <c r="O65" s="56">
        <f t="shared" ref="O65" si="109">AVERAGE(N65:N73)</f>
        <v>1242.3333333333333</v>
      </c>
      <c r="P65" s="56">
        <f t="shared" ref="P65" si="110">(STDEV(N65:N73))</f>
        <v>37.46331538985838</v>
      </c>
      <c r="Q65" s="7">
        <v>42911</v>
      </c>
      <c r="R65" s="4">
        <v>1688</v>
      </c>
      <c r="S65" s="54">
        <f t="shared" si="96"/>
        <v>1870.8888888888889</v>
      </c>
      <c r="T65" s="56">
        <f t="shared" ref="T65" si="111">(STDEV(R65:R73))</f>
        <v>195.40883068866441</v>
      </c>
      <c r="U65" s="7">
        <v>46565</v>
      </c>
      <c r="V65" s="2">
        <v>3018</v>
      </c>
      <c r="W65" s="54">
        <f t="shared" ref="W65" si="112">AVERAGE(V65:V73)</f>
        <v>3248.2222222222222</v>
      </c>
      <c r="X65" s="56">
        <f t="shared" ref="X65" si="113">(STDEV(V65:V73))</f>
        <v>491.18804387367169</v>
      </c>
      <c r="Y65" s="7">
        <v>42915</v>
      </c>
      <c r="Z65" s="2">
        <v>7388</v>
      </c>
      <c r="AA65" s="54">
        <f t="shared" ref="AA65" si="114">AVERAGE(Z65:Z73)</f>
        <v>8636.5555555555547</v>
      </c>
      <c r="AB65" s="56">
        <f t="shared" ref="AB65" si="115">(STDEV(Z65:Z73))</f>
        <v>1761.6620072470701</v>
      </c>
      <c r="AC65" s="7">
        <v>42917</v>
      </c>
      <c r="AD65" s="2">
        <v>15490</v>
      </c>
      <c r="AE65" s="54">
        <f t="shared" ref="AE65" si="116">AVERAGE(AD65:AD73)</f>
        <v>21237.111111111109</v>
      </c>
      <c r="AF65" s="56">
        <f t="shared" si="44"/>
        <v>5971.9736780323392</v>
      </c>
      <c r="AG65" s="7">
        <v>42919</v>
      </c>
      <c r="AH65" s="2">
        <v>38938</v>
      </c>
      <c r="AI65" s="54">
        <f t="shared" ref="AI65" si="117">AVERAGE(AH65:AH73)</f>
        <v>50493.333333333336</v>
      </c>
      <c r="AJ65" s="56">
        <f t="shared" ref="AJ65" si="118">(STDEV(AH65:AH73))</f>
        <v>12594.832293444801</v>
      </c>
      <c r="AK65" s="7">
        <v>42921</v>
      </c>
      <c r="AL65" s="2">
        <f>4342*20</f>
        <v>86840</v>
      </c>
      <c r="AM65" s="54">
        <f t="shared" ref="AM65" si="119">AVERAGE(AL65:AL73)</f>
        <v>126882.22222222222</v>
      </c>
      <c r="AN65" s="56">
        <f>(STDEV(AL65:AL73))</f>
        <v>38105.97386820658</v>
      </c>
      <c r="AO65" s="7">
        <v>42923</v>
      </c>
      <c r="AP65" s="2">
        <f>10644*20</f>
        <v>212880</v>
      </c>
      <c r="AQ65" s="54">
        <f t="shared" ref="AQ65" si="120">AVERAGE(AP65:AP73)</f>
        <v>280706.66666666669</v>
      </c>
      <c r="AR65" s="56">
        <f>(STDEV(AP65:AP73))</f>
        <v>63568.250723140089</v>
      </c>
      <c r="AS65" s="7">
        <v>42925</v>
      </c>
      <c r="AT65" s="2">
        <f>18398*20</f>
        <v>367960</v>
      </c>
      <c r="AU65" s="54">
        <f t="shared" ref="AU65" si="121">AVERAGE(AT65:AT73)</f>
        <v>484808.88888888888</v>
      </c>
      <c r="AV65" s="56">
        <f>(STDEV(AT65:AT73))</f>
        <v>97909.499085181276</v>
      </c>
      <c r="AW65" s="7">
        <v>42927</v>
      </c>
      <c r="AX65" s="2">
        <f>24123*20</f>
        <v>482460</v>
      </c>
      <c r="AY65" s="54">
        <f t="shared" ref="AY65" si="122">AVERAGE(AX65:AX73)</f>
        <v>599266.66666666663</v>
      </c>
      <c r="AZ65" s="56">
        <f>(STDEV(AX65:AX73))</f>
        <v>91272.942869176739</v>
      </c>
      <c r="BA65" s="7">
        <v>42929</v>
      </c>
      <c r="BB65" s="2">
        <f>26352*20</f>
        <v>527040</v>
      </c>
      <c r="BC65" s="57">
        <f>AVERAGE(BB65:BB73)</f>
        <v>624855.5555555555</v>
      </c>
      <c r="BD65" s="56">
        <f>(STDEV(BB65:BB73))</f>
        <v>74772.512180464895</v>
      </c>
      <c r="BE65" s="7">
        <v>42931</v>
      </c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</row>
    <row r="66" spans="1:101" x14ac:dyDescent="0.2">
      <c r="A66" s="20" t="s">
        <v>79</v>
      </c>
      <c r="B66" s="18">
        <f>(innoculationdensity!$D$11*2)/1000</f>
        <v>1406.8133333333335</v>
      </c>
      <c r="C66" s="55"/>
      <c r="D66" s="55"/>
      <c r="E66" s="7">
        <v>42905</v>
      </c>
      <c r="F66" s="2">
        <v>1192</v>
      </c>
      <c r="G66" s="55"/>
      <c r="H66" s="55"/>
      <c r="I66" s="7">
        <v>42907</v>
      </c>
      <c r="J66" s="2">
        <v>1163</v>
      </c>
      <c r="K66" s="55"/>
      <c r="L66" s="55"/>
      <c r="M66" s="7">
        <v>42909</v>
      </c>
      <c r="N66" s="2">
        <v>1232</v>
      </c>
      <c r="O66" s="55"/>
      <c r="P66" s="55"/>
      <c r="Q66" s="7">
        <v>42911</v>
      </c>
      <c r="R66" s="4">
        <v>1607</v>
      </c>
      <c r="S66" s="55"/>
      <c r="T66" s="55"/>
      <c r="U66" s="7">
        <v>46565</v>
      </c>
      <c r="V66" s="2">
        <v>2910</v>
      </c>
      <c r="W66" s="55"/>
      <c r="X66" s="55"/>
      <c r="Y66" s="7">
        <v>42915</v>
      </c>
      <c r="Z66" s="2">
        <v>7164</v>
      </c>
      <c r="AA66" s="55"/>
      <c r="AB66" s="55"/>
      <c r="AC66" s="7">
        <v>42917</v>
      </c>
      <c r="AD66" s="2">
        <v>15822</v>
      </c>
      <c r="AE66" s="55"/>
      <c r="AF66" s="55"/>
      <c r="AG66" s="7">
        <v>42919</v>
      </c>
      <c r="AH66" s="2">
        <v>39198</v>
      </c>
      <c r="AI66" s="55"/>
      <c r="AJ66" s="55"/>
      <c r="AK66" s="7">
        <v>42921</v>
      </c>
      <c r="AL66" s="2">
        <f>4150*20</f>
        <v>83000</v>
      </c>
      <c r="AM66" s="55"/>
      <c r="AN66" s="55"/>
      <c r="AO66" s="7">
        <v>42923</v>
      </c>
      <c r="AP66" s="2">
        <f>10610*20</f>
        <v>212200</v>
      </c>
      <c r="AQ66" s="55"/>
      <c r="AR66" s="55"/>
      <c r="AS66" s="7">
        <v>42925</v>
      </c>
      <c r="AT66" s="2">
        <f>18785*20</f>
        <v>375700</v>
      </c>
      <c r="AU66" s="55"/>
      <c r="AV66" s="55"/>
      <c r="AW66" s="7">
        <v>42927</v>
      </c>
      <c r="AX66" s="2">
        <f>24160*20</f>
        <v>483200</v>
      </c>
      <c r="AY66" s="55"/>
      <c r="AZ66" s="55"/>
      <c r="BA66" s="7">
        <v>42929</v>
      </c>
      <c r="BB66" s="2">
        <f>26192*20</f>
        <v>523840</v>
      </c>
      <c r="BC66" s="58"/>
      <c r="BD66" s="55"/>
      <c r="BE66" s="7">
        <v>42931</v>
      </c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</row>
    <row r="67" spans="1:101" x14ac:dyDescent="0.2">
      <c r="A67" s="20" t="s">
        <v>80</v>
      </c>
      <c r="B67" s="18">
        <f>(innoculationdensity!$D$11*2)/1000</f>
        <v>1406.8133333333335</v>
      </c>
      <c r="C67" s="55"/>
      <c r="D67" s="55"/>
      <c r="E67" s="7">
        <v>42905</v>
      </c>
      <c r="F67" s="2">
        <v>1182</v>
      </c>
      <c r="G67" s="55"/>
      <c r="H67" s="55"/>
      <c r="I67" s="7">
        <v>42907</v>
      </c>
      <c r="J67" s="2">
        <v>1037</v>
      </c>
      <c r="K67" s="55"/>
      <c r="L67" s="55"/>
      <c r="M67" s="7">
        <v>42909</v>
      </c>
      <c r="N67" s="2">
        <v>1276</v>
      </c>
      <c r="O67" s="55"/>
      <c r="P67" s="55"/>
      <c r="Q67" s="7">
        <v>42911</v>
      </c>
      <c r="R67" s="4">
        <v>1592</v>
      </c>
      <c r="S67" s="55"/>
      <c r="T67" s="55"/>
      <c r="U67" s="7">
        <v>46565</v>
      </c>
      <c r="V67" s="2">
        <v>2996</v>
      </c>
      <c r="W67" s="55"/>
      <c r="X67" s="55"/>
      <c r="Y67" s="7">
        <v>42915</v>
      </c>
      <c r="Z67" s="2">
        <v>7226</v>
      </c>
      <c r="AA67" s="55"/>
      <c r="AB67" s="55"/>
      <c r="AC67" s="7">
        <v>42917</v>
      </c>
      <c r="AD67" s="2">
        <v>15642</v>
      </c>
      <c r="AE67" s="55"/>
      <c r="AF67" s="55"/>
      <c r="AG67" s="7">
        <v>42919</v>
      </c>
      <c r="AH67" s="2">
        <v>35365</v>
      </c>
      <c r="AI67" s="55"/>
      <c r="AJ67" s="55"/>
      <c r="AK67" s="7">
        <v>42921</v>
      </c>
      <c r="AL67" s="2">
        <f>4093*20</f>
        <v>81860</v>
      </c>
      <c r="AM67" s="55"/>
      <c r="AN67" s="55"/>
      <c r="AO67" s="7">
        <v>42923</v>
      </c>
      <c r="AP67" s="2">
        <f>10694*20</f>
        <v>213880</v>
      </c>
      <c r="AQ67" s="55"/>
      <c r="AR67" s="55"/>
      <c r="AS67" s="7">
        <v>42925</v>
      </c>
      <c r="AT67" s="2">
        <f>18629*20</f>
        <v>372580</v>
      </c>
      <c r="AU67" s="55"/>
      <c r="AV67" s="55"/>
      <c r="AW67" s="7">
        <v>42927</v>
      </c>
      <c r="AX67" s="2">
        <f>23829*20</f>
        <v>476580</v>
      </c>
      <c r="AY67" s="55"/>
      <c r="AZ67" s="55"/>
      <c r="BA67" s="7">
        <v>42929</v>
      </c>
      <c r="BB67" s="2">
        <f>26309*20</f>
        <v>526180</v>
      </c>
      <c r="BC67" s="58"/>
      <c r="BD67" s="55"/>
      <c r="BE67" s="7">
        <v>42931</v>
      </c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</row>
    <row r="68" spans="1:101" x14ac:dyDescent="0.2">
      <c r="A68" s="20" t="s">
        <v>81</v>
      </c>
      <c r="B68" s="18">
        <f>(innoculationdensity!$D$11*2)/1000</f>
        <v>1406.8133333333335</v>
      </c>
      <c r="C68" s="55"/>
      <c r="D68" s="55"/>
      <c r="E68" s="7">
        <v>42905</v>
      </c>
      <c r="F68" s="2">
        <v>1084</v>
      </c>
      <c r="G68" s="55"/>
      <c r="H68" s="55"/>
      <c r="I68" s="7">
        <v>42907</v>
      </c>
      <c r="J68" s="2">
        <v>1086</v>
      </c>
      <c r="K68" s="55"/>
      <c r="L68" s="55"/>
      <c r="M68" s="7">
        <v>42909</v>
      </c>
      <c r="N68" s="2">
        <v>1296</v>
      </c>
      <c r="O68" s="55"/>
      <c r="P68" s="55"/>
      <c r="Q68" s="7">
        <v>42911</v>
      </c>
      <c r="R68" s="4">
        <v>2104</v>
      </c>
      <c r="S68" s="55"/>
      <c r="T68" s="55"/>
      <c r="U68" s="7">
        <v>46565</v>
      </c>
      <c r="V68" s="2">
        <v>3856</v>
      </c>
      <c r="W68" s="55"/>
      <c r="X68" s="55"/>
      <c r="Y68" s="7">
        <v>42915</v>
      </c>
      <c r="Z68" s="2">
        <v>10853</v>
      </c>
      <c r="AA68" s="55"/>
      <c r="AB68" s="55"/>
      <c r="AC68" s="7">
        <v>42917</v>
      </c>
      <c r="AD68" s="2">
        <v>28983</v>
      </c>
      <c r="AE68" s="55"/>
      <c r="AF68" s="55"/>
      <c r="AG68" s="7">
        <v>42919</v>
      </c>
      <c r="AH68" s="2">
        <v>69885</v>
      </c>
      <c r="AI68" s="55"/>
      <c r="AJ68" s="55"/>
      <c r="AK68" s="7">
        <v>42921</v>
      </c>
      <c r="AL68" s="2">
        <f>8371*20</f>
        <v>167420</v>
      </c>
      <c r="AM68" s="55"/>
      <c r="AN68" s="55"/>
      <c r="AO68" s="7">
        <v>42923</v>
      </c>
      <c r="AP68" s="2">
        <f>17858*20</f>
        <v>357160</v>
      </c>
      <c r="AQ68" s="55"/>
      <c r="AR68" s="55"/>
      <c r="AS68" s="7">
        <v>42925</v>
      </c>
      <c r="AT68" s="2">
        <f>29981*20</f>
        <v>599620</v>
      </c>
      <c r="AU68" s="55"/>
      <c r="AV68" s="55"/>
      <c r="AW68" s="7">
        <v>42927</v>
      </c>
      <c r="AX68" s="2">
        <f>34163*20</f>
        <v>683260</v>
      </c>
      <c r="AY68" s="55"/>
      <c r="AZ68" s="55"/>
      <c r="BA68" s="7">
        <v>42929</v>
      </c>
      <c r="BB68" s="2">
        <f>33331*20</f>
        <v>666620</v>
      </c>
      <c r="BC68" s="58"/>
      <c r="BD68" s="55"/>
      <c r="BE68" s="7">
        <v>42931</v>
      </c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</row>
    <row r="69" spans="1:101" x14ac:dyDescent="0.2">
      <c r="A69" s="20" t="s">
        <v>82</v>
      </c>
      <c r="B69" s="18">
        <f>(innoculationdensity!$D$11*2)/1000</f>
        <v>1406.8133333333335</v>
      </c>
      <c r="C69" s="55"/>
      <c r="D69" s="55"/>
      <c r="E69" s="7">
        <v>42905</v>
      </c>
      <c r="F69" s="2">
        <v>1145</v>
      </c>
      <c r="G69" s="55"/>
      <c r="H69" s="55"/>
      <c r="I69" s="7">
        <v>42907</v>
      </c>
      <c r="J69" s="2">
        <v>1036</v>
      </c>
      <c r="K69" s="55"/>
      <c r="L69" s="55"/>
      <c r="M69" s="7">
        <v>42909</v>
      </c>
      <c r="N69" s="2">
        <v>1231</v>
      </c>
      <c r="O69" s="55"/>
      <c r="P69" s="55"/>
      <c r="Q69" s="7">
        <v>42911</v>
      </c>
      <c r="R69" s="4">
        <v>2027</v>
      </c>
      <c r="S69" s="55"/>
      <c r="T69" s="55"/>
      <c r="U69" s="7">
        <v>46565</v>
      </c>
      <c r="V69" s="2">
        <v>3950</v>
      </c>
      <c r="W69" s="55"/>
      <c r="X69" s="55"/>
      <c r="Y69" s="7">
        <v>42915</v>
      </c>
      <c r="Z69" s="2">
        <v>10976</v>
      </c>
      <c r="AA69" s="55"/>
      <c r="AB69" s="55"/>
      <c r="AC69" s="7">
        <v>42917</v>
      </c>
      <c r="AD69" s="2">
        <v>29419</v>
      </c>
      <c r="AE69" s="55"/>
      <c r="AF69" s="55"/>
      <c r="AG69" s="7">
        <v>42919</v>
      </c>
      <c r="AH69" s="2">
        <v>63922</v>
      </c>
      <c r="AI69" s="55"/>
      <c r="AJ69" s="55"/>
      <c r="AK69" s="7">
        <v>42921</v>
      </c>
      <c r="AL69" s="2">
        <f>8517*20</f>
        <v>170340</v>
      </c>
      <c r="AM69" s="55"/>
      <c r="AN69" s="55"/>
      <c r="AO69" s="7">
        <v>42923</v>
      </c>
      <c r="AP69" s="2">
        <f>17901*20</f>
        <v>358020</v>
      </c>
      <c r="AQ69" s="55"/>
      <c r="AR69" s="55"/>
      <c r="AS69" s="7">
        <v>42925</v>
      </c>
      <c r="AT69" s="2">
        <f>29930*20</f>
        <v>598600</v>
      </c>
      <c r="AU69" s="55"/>
      <c r="AV69" s="55"/>
      <c r="AW69" s="7">
        <v>42927</v>
      </c>
      <c r="AX69" s="2">
        <f>34450*20</f>
        <v>689000</v>
      </c>
      <c r="AY69" s="55"/>
      <c r="AZ69" s="55"/>
      <c r="BA69" s="7">
        <v>42929</v>
      </c>
      <c r="BB69" s="2">
        <f>33939*20</f>
        <v>678780</v>
      </c>
      <c r="BC69" s="58"/>
      <c r="BD69" s="55"/>
      <c r="BE69" s="7">
        <v>42931</v>
      </c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</row>
    <row r="70" spans="1:101" x14ac:dyDescent="0.2">
      <c r="A70" s="20" t="s">
        <v>83</v>
      </c>
      <c r="B70" s="18">
        <f>(innoculationdensity!$D$11*2)/1000</f>
        <v>1406.8133333333335</v>
      </c>
      <c r="C70" s="55"/>
      <c r="D70" s="55"/>
      <c r="E70" s="7">
        <v>42905</v>
      </c>
      <c r="F70" s="2">
        <v>1074</v>
      </c>
      <c r="G70" s="55"/>
      <c r="H70" s="55"/>
      <c r="I70" s="7">
        <v>42907</v>
      </c>
      <c r="J70" s="2">
        <v>1003</v>
      </c>
      <c r="K70" s="55"/>
      <c r="L70" s="55"/>
      <c r="M70" s="7">
        <v>42909</v>
      </c>
      <c r="N70" s="2">
        <v>1252</v>
      </c>
      <c r="O70" s="55"/>
      <c r="P70" s="55"/>
      <c r="Q70" s="7">
        <v>42911</v>
      </c>
      <c r="R70" s="4">
        <v>2065</v>
      </c>
      <c r="S70" s="55"/>
      <c r="T70" s="55"/>
      <c r="U70" s="7">
        <v>46565</v>
      </c>
      <c r="V70" s="2">
        <v>3888</v>
      </c>
      <c r="W70" s="55"/>
      <c r="X70" s="55"/>
      <c r="Y70" s="7">
        <v>42915</v>
      </c>
      <c r="Z70" s="2">
        <v>11080</v>
      </c>
      <c r="AA70" s="55"/>
      <c r="AB70" s="55"/>
      <c r="AC70" s="7">
        <v>42917</v>
      </c>
      <c r="AD70" s="2">
        <v>28399</v>
      </c>
      <c r="AE70" s="55"/>
      <c r="AF70" s="55"/>
      <c r="AG70" s="7">
        <v>42919</v>
      </c>
      <c r="AH70" s="2">
        <v>64399</v>
      </c>
      <c r="AI70" s="55"/>
      <c r="AJ70" s="55"/>
      <c r="AK70" s="7">
        <v>42921</v>
      </c>
      <c r="AL70" s="2">
        <f>8848*20</f>
        <v>176960</v>
      </c>
      <c r="AM70" s="55"/>
      <c r="AN70" s="55"/>
      <c r="AO70" s="7">
        <v>42923</v>
      </c>
      <c r="AP70" s="2">
        <f>18038*20</f>
        <v>360760</v>
      </c>
      <c r="AQ70" s="55"/>
      <c r="AR70" s="55"/>
      <c r="AS70" s="7">
        <v>42925</v>
      </c>
      <c r="AT70" s="2">
        <f>29790*20</f>
        <v>595800</v>
      </c>
      <c r="AU70" s="55"/>
      <c r="AV70" s="55"/>
      <c r="AW70" s="7">
        <v>42927</v>
      </c>
      <c r="AX70" s="2">
        <f>33659*20</f>
        <v>673180</v>
      </c>
      <c r="AY70" s="55"/>
      <c r="AZ70" s="55"/>
      <c r="BA70" s="7">
        <v>42929</v>
      </c>
      <c r="BB70" s="2">
        <f>33645*20</f>
        <v>672900</v>
      </c>
      <c r="BC70" s="58"/>
      <c r="BD70" s="55"/>
      <c r="BE70" s="7">
        <v>42931</v>
      </c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</row>
    <row r="71" spans="1:101" x14ac:dyDescent="0.2">
      <c r="A71" s="20" t="s">
        <v>84</v>
      </c>
      <c r="B71" s="18">
        <f>(innoculationdensity!$D$11*2)/1000</f>
        <v>1406.8133333333335</v>
      </c>
      <c r="C71" s="55"/>
      <c r="D71" s="55"/>
      <c r="E71" s="7">
        <v>42905</v>
      </c>
      <c r="F71" s="2">
        <v>1269</v>
      </c>
      <c r="G71" s="55"/>
      <c r="H71" s="55"/>
      <c r="I71" s="7">
        <v>42907</v>
      </c>
      <c r="J71" s="2">
        <v>1398</v>
      </c>
      <c r="K71" s="55"/>
      <c r="L71" s="55"/>
      <c r="M71" s="7">
        <v>42909</v>
      </c>
      <c r="N71" s="2">
        <v>1217</v>
      </c>
      <c r="O71" s="55"/>
      <c r="P71" s="55"/>
      <c r="Q71" s="7">
        <v>42911</v>
      </c>
      <c r="R71" s="4">
        <v>1890</v>
      </c>
      <c r="S71" s="55"/>
      <c r="T71" s="55"/>
      <c r="U71" s="7">
        <v>46565</v>
      </c>
      <c r="V71" s="2">
        <v>2913</v>
      </c>
      <c r="W71" s="55"/>
      <c r="X71" s="55"/>
      <c r="Y71" s="7">
        <v>42915</v>
      </c>
      <c r="Z71" s="2">
        <v>7609</v>
      </c>
      <c r="AA71" s="55"/>
      <c r="AB71" s="55"/>
      <c r="AC71" s="7">
        <v>42917</v>
      </c>
      <c r="AD71" s="2">
        <v>19012</v>
      </c>
      <c r="AE71" s="55"/>
      <c r="AF71" s="55"/>
      <c r="AG71" s="7">
        <v>42919</v>
      </c>
      <c r="AH71" s="2">
        <v>49164</v>
      </c>
      <c r="AI71" s="55"/>
      <c r="AJ71" s="55"/>
      <c r="AK71" s="7">
        <v>42921</v>
      </c>
      <c r="AL71" s="2">
        <f>6325*20</f>
        <v>126500</v>
      </c>
      <c r="AM71" s="55"/>
      <c r="AN71" s="55"/>
      <c r="AO71" s="7">
        <v>42923</v>
      </c>
      <c r="AP71" s="2">
        <f>13707*20</f>
        <v>274140</v>
      </c>
      <c r="AQ71" s="55"/>
      <c r="AR71" s="55"/>
      <c r="AS71" s="7">
        <v>42925</v>
      </c>
      <c r="AT71" s="2">
        <f>24589*20</f>
        <v>491780</v>
      </c>
      <c r="AU71" s="55"/>
      <c r="AV71" s="55"/>
      <c r="AW71" s="7">
        <v>42927</v>
      </c>
      <c r="AX71" s="2">
        <f>31622*20</f>
        <v>632440</v>
      </c>
      <c r="AY71" s="55"/>
      <c r="AZ71" s="55"/>
      <c r="BA71" s="7">
        <v>42929</v>
      </c>
      <c r="BB71" s="2">
        <f>34454*20</f>
        <v>689080</v>
      </c>
      <c r="BC71" s="58"/>
      <c r="BD71" s="55"/>
      <c r="BE71" s="7">
        <v>42931</v>
      </c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</row>
    <row r="72" spans="1:101" x14ac:dyDescent="0.2">
      <c r="A72" s="20" t="s">
        <v>85</v>
      </c>
      <c r="B72" s="18">
        <f>(innoculationdensity!$D$11*2)/1000</f>
        <v>1406.8133333333335</v>
      </c>
      <c r="C72" s="55"/>
      <c r="D72" s="55"/>
      <c r="E72" s="7">
        <v>42905</v>
      </c>
      <c r="F72" s="2">
        <v>1256</v>
      </c>
      <c r="G72" s="55"/>
      <c r="H72" s="55"/>
      <c r="I72" s="7">
        <v>42907</v>
      </c>
      <c r="J72" s="2">
        <v>1312</v>
      </c>
      <c r="K72" s="55"/>
      <c r="L72" s="55"/>
      <c r="M72" s="7">
        <v>42909</v>
      </c>
      <c r="N72" s="2">
        <v>1227</v>
      </c>
      <c r="O72" s="55"/>
      <c r="P72" s="55"/>
      <c r="Q72" s="7">
        <v>42911</v>
      </c>
      <c r="R72" s="4">
        <v>1921</v>
      </c>
      <c r="S72" s="55"/>
      <c r="T72" s="55"/>
      <c r="U72" s="7">
        <v>46565</v>
      </c>
      <c r="V72" s="2">
        <v>2832</v>
      </c>
      <c r="W72" s="55"/>
      <c r="X72" s="55"/>
      <c r="Y72" s="7">
        <v>42915</v>
      </c>
      <c r="Z72" s="2">
        <v>7663</v>
      </c>
      <c r="AA72" s="55"/>
      <c r="AB72" s="55"/>
      <c r="AC72" s="7">
        <v>42917</v>
      </c>
      <c r="AD72" s="2">
        <v>19047</v>
      </c>
      <c r="AE72" s="55"/>
      <c r="AF72" s="55"/>
      <c r="AG72" s="7">
        <v>42919</v>
      </c>
      <c r="AH72" s="2">
        <v>46626</v>
      </c>
      <c r="AI72" s="55"/>
      <c r="AJ72" s="55"/>
      <c r="AK72" s="7">
        <v>42921</v>
      </c>
      <c r="AL72" s="2">
        <f>6334*20</f>
        <v>126680</v>
      </c>
      <c r="AM72" s="55"/>
      <c r="AN72" s="55"/>
      <c r="AO72" s="7">
        <v>42923</v>
      </c>
      <c r="AP72" s="2">
        <f>13500*20</f>
        <v>270000</v>
      </c>
      <c r="AQ72" s="55"/>
      <c r="AR72" s="55"/>
      <c r="AS72" s="7">
        <v>42925</v>
      </c>
      <c r="AT72" s="2">
        <f>24099*20</f>
        <v>481980</v>
      </c>
      <c r="AU72" s="55"/>
      <c r="AV72" s="55"/>
      <c r="AW72" s="7">
        <v>42927</v>
      </c>
      <c r="AX72" s="2">
        <f>31697*20</f>
        <v>633940</v>
      </c>
      <c r="AY72" s="55"/>
      <c r="AZ72" s="55"/>
      <c r="BA72" s="7">
        <v>42929</v>
      </c>
      <c r="BB72" s="2">
        <f>33875*20</f>
        <v>677500</v>
      </c>
      <c r="BC72" s="58"/>
      <c r="BD72" s="55"/>
      <c r="BE72" s="7">
        <v>42931</v>
      </c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</row>
    <row r="73" spans="1:101" x14ac:dyDescent="0.2">
      <c r="A73" s="20" t="s">
        <v>86</v>
      </c>
      <c r="B73" s="18">
        <f>(innoculationdensity!$D$11*2)/1000</f>
        <v>1406.8133333333335</v>
      </c>
      <c r="C73" s="55"/>
      <c r="D73" s="55"/>
      <c r="E73" s="7">
        <v>42905</v>
      </c>
      <c r="F73" s="2">
        <v>1272</v>
      </c>
      <c r="G73" s="55"/>
      <c r="H73" s="55"/>
      <c r="I73" s="7">
        <v>42907</v>
      </c>
      <c r="J73" s="2">
        <v>1318</v>
      </c>
      <c r="K73" s="55"/>
      <c r="L73" s="55"/>
      <c r="M73" s="7">
        <v>42909</v>
      </c>
      <c r="N73" s="2">
        <v>1277</v>
      </c>
      <c r="O73" s="55"/>
      <c r="P73" s="55"/>
      <c r="Q73" s="7">
        <v>42911</v>
      </c>
      <c r="R73" s="4">
        <v>1944</v>
      </c>
      <c r="S73" s="55"/>
      <c r="T73" s="55"/>
      <c r="U73" s="7">
        <v>46565</v>
      </c>
      <c r="V73" s="2">
        <v>2871</v>
      </c>
      <c r="W73" s="55"/>
      <c r="X73" s="55"/>
      <c r="Y73" s="7">
        <v>42915</v>
      </c>
      <c r="Z73" s="2">
        <v>7770</v>
      </c>
      <c r="AA73" s="55"/>
      <c r="AB73" s="55"/>
      <c r="AC73" s="7">
        <v>42917</v>
      </c>
      <c r="AD73" s="2">
        <v>19320</v>
      </c>
      <c r="AE73" s="55"/>
      <c r="AF73" s="55"/>
      <c r="AG73" s="7">
        <v>42919</v>
      </c>
      <c r="AH73" s="2">
        <v>46943</v>
      </c>
      <c r="AI73" s="55"/>
      <c r="AJ73" s="55"/>
      <c r="AK73" s="7">
        <v>42921</v>
      </c>
      <c r="AL73" s="2">
        <f>6117*20</f>
        <v>122340</v>
      </c>
      <c r="AM73" s="55"/>
      <c r="AN73" s="55"/>
      <c r="AO73" s="7">
        <v>42923</v>
      </c>
      <c r="AP73" s="2">
        <f>13366*20</f>
        <v>267320</v>
      </c>
      <c r="AQ73" s="55"/>
      <c r="AR73" s="55"/>
      <c r="AS73" s="7">
        <v>42925</v>
      </c>
      <c r="AT73" s="2">
        <f>23963*20</f>
        <v>479260</v>
      </c>
      <c r="AU73" s="55"/>
      <c r="AV73" s="55"/>
      <c r="AW73" s="7">
        <v>42927</v>
      </c>
      <c r="AX73" s="2">
        <f>31967*20</f>
        <v>639340</v>
      </c>
      <c r="AY73" s="55"/>
      <c r="AZ73" s="55"/>
      <c r="BA73" s="7">
        <v>42929</v>
      </c>
      <c r="BB73" s="2">
        <f>33088*20</f>
        <v>661760</v>
      </c>
      <c r="BC73" s="58"/>
      <c r="BD73" s="55"/>
      <c r="BE73" s="7">
        <v>42931</v>
      </c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</row>
    <row r="74" spans="1:101" x14ac:dyDescent="0.2">
      <c r="A74" s="20" t="s">
        <v>141</v>
      </c>
      <c r="B74" s="18">
        <f>(innoculationdensity!$D$14*2.5)/1000</f>
        <v>1272.4166666666665</v>
      </c>
      <c r="C74" s="56">
        <f t="shared" ref="C74" si="123">AVERAGE(B74:B82)</f>
        <v>1272.4166666666663</v>
      </c>
      <c r="D74" s="56">
        <f t="shared" si="106"/>
        <v>2.4116620165382783E-13</v>
      </c>
      <c r="E74" s="7">
        <v>42921</v>
      </c>
      <c r="F74" s="2">
        <v>1354</v>
      </c>
      <c r="G74" s="56">
        <f t="shared" ref="G74" si="124">AVERAGE(F74:F82)</f>
        <v>1490.5555555555557</v>
      </c>
      <c r="H74" s="56">
        <f t="shared" ref="H74" si="125">(STDEV(F74:F82))</f>
        <v>109.02993982286598</v>
      </c>
      <c r="I74" s="7">
        <v>42923</v>
      </c>
      <c r="J74" s="2">
        <v>1844</v>
      </c>
      <c r="K74" s="56">
        <f t="shared" ref="K74" si="126">AVERAGE(J74:J82)</f>
        <v>2106.8888888888887</v>
      </c>
      <c r="L74" s="56">
        <f t="shared" ref="L74" si="127">(STDEV(J74:J82))</f>
        <v>167.48839097415413</v>
      </c>
      <c r="M74" s="7">
        <v>42925</v>
      </c>
      <c r="N74" s="2">
        <v>2974</v>
      </c>
      <c r="O74" s="56">
        <f t="shared" ref="O74" si="128">AVERAGE(N74:N82)</f>
        <v>2957</v>
      </c>
      <c r="P74" s="56">
        <f t="shared" ref="P74" si="129">(STDEV(N74:N82))</f>
        <v>114.43229439279806</v>
      </c>
      <c r="Q74" s="7">
        <v>42927</v>
      </c>
      <c r="R74" s="4">
        <v>3855</v>
      </c>
      <c r="S74" s="54">
        <f t="shared" ref="S74" si="130">AVERAGE(R74:R82)</f>
        <v>4346.8888888888887</v>
      </c>
      <c r="T74" s="56">
        <f t="shared" ref="T74" si="131">(STDEV(R74:R82))</f>
        <v>379.31564838681663</v>
      </c>
      <c r="U74" s="7">
        <v>42929</v>
      </c>
      <c r="V74" s="2">
        <v>7474</v>
      </c>
      <c r="W74" s="54">
        <f t="shared" ref="W74" si="132">AVERAGE(V74:V82)</f>
        <v>6840.5555555555557</v>
      </c>
      <c r="X74" s="56">
        <f t="shared" ref="X74" si="133">(STDEV(V74:V82))</f>
        <v>405.07903892669856</v>
      </c>
      <c r="Y74" s="7">
        <v>42931</v>
      </c>
      <c r="Z74" s="2">
        <v>10103</v>
      </c>
      <c r="AA74" s="54">
        <f t="shared" ref="AA74" si="134">AVERAGE(Z74:Z82)</f>
        <v>9786.1111111111113</v>
      </c>
      <c r="AB74" s="56">
        <f t="shared" ref="AB74" si="135">(STDEV(Z74:Z82))</f>
        <v>277.02276280318756</v>
      </c>
      <c r="AC74" s="7">
        <v>42933</v>
      </c>
      <c r="AD74" s="2">
        <v>16989</v>
      </c>
      <c r="AE74" s="54">
        <f t="shared" ref="AE74" si="136">AVERAGE(AD74:AD82)</f>
        <v>16214.222222222223</v>
      </c>
      <c r="AF74" s="56">
        <f t="shared" si="44"/>
        <v>997.66549727072572</v>
      </c>
      <c r="AG74" s="7">
        <v>42935</v>
      </c>
      <c r="AH74" s="2">
        <v>26954</v>
      </c>
      <c r="AI74" s="54">
        <f t="shared" ref="AI74" si="137">AVERAGE(AH74:AH82)</f>
        <v>29261.444444444445</v>
      </c>
      <c r="AJ74" s="56">
        <f t="shared" ref="AJ74" si="138">(STDEV(AH74:AH82))</f>
        <v>2866.7061722084072</v>
      </c>
      <c r="AK74" s="7">
        <v>42937</v>
      </c>
      <c r="AL74" s="2">
        <v>61677</v>
      </c>
      <c r="AM74" s="54">
        <f t="shared" ref="AM74" si="139">AVERAGE(AL74:AL82)</f>
        <v>74959.555555555562</v>
      </c>
      <c r="AN74" s="56">
        <f t="shared" ref="AN74" si="140">(STDEV(AL74:AL82))</f>
        <v>15345.539849668949</v>
      </c>
      <c r="AO74" s="7">
        <v>42939</v>
      </c>
      <c r="AP74" s="2">
        <f>7841*20</f>
        <v>156820</v>
      </c>
      <c r="AQ74" s="54">
        <f t="shared" ref="AQ74" si="141">AVERAGE(AP74:AP82)</f>
        <v>191035.55555555556</v>
      </c>
      <c r="AR74" s="56">
        <f t="shared" ref="AR74" si="142">(STDEV(AP74:AP82))</f>
        <v>54282.06589452707</v>
      </c>
      <c r="AS74" s="7">
        <v>42941</v>
      </c>
      <c r="AT74" s="2">
        <f>(21886-682)*20</f>
        <v>424080</v>
      </c>
      <c r="AU74" s="54">
        <f t="shared" ref="AU74" si="143">AVERAGE(AT74:AT82)</f>
        <v>445706.66666666669</v>
      </c>
      <c r="AV74" s="56">
        <f>(STDEV(AT74:AT82))</f>
        <v>111978.56178751359</v>
      </c>
      <c r="AW74" s="7">
        <v>42943</v>
      </c>
      <c r="AX74" s="2">
        <f>(28007-432)*20</f>
        <v>551500</v>
      </c>
      <c r="AY74" s="54">
        <f t="shared" ref="AY74" si="144">AVERAGE(AX74:AX82)</f>
        <v>641257.77777777775</v>
      </c>
      <c r="AZ74" s="56">
        <f t="shared" ref="AZ74" si="145">(STDEV(AX74:AX82))</f>
        <v>90371.862017137042</v>
      </c>
      <c r="BA74" s="7">
        <v>42945</v>
      </c>
      <c r="BB74" s="2">
        <f>35860*20</f>
        <v>717200</v>
      </c>
      <c r="BC74" s="57">
        <f t="shared" ref="BC74" si="146">AVERAGE(BB74:BB82)</f>
        <v>715013.33333333337</v>
      </c>
      <c r="BD74" s="56">
        <f t="shared" ref="BD74" si="147">(STDEV(BB74:BB82))</f>
        <v>52858.993558334041</v>
      </c>
      <c r="BE74" s="7">
        <v>42947</v>
      </c>
      <c r="BF74" s="2">
        <f>48247*20</f>
        <v>964940</v>
      </c>
      <c r="BG74" s="57">
        <f t="shared" ref="BG74" si="148">AVERAGE(BF74:BF82)</f>
        <v>962340</v>
      </c>
      <c r="BH74" s="56">
        <f>(STDEV(BF74:BF82))</f>
        <v>10465.213805747115</v>
      </c>
      <c r="BI74" s="7">
        <v>42949</v>
      </c>
      <c r="BJ74" s="2">
        <f>45999*20</f>
        <v>919980</v>
      </c>
      <c r="BK74" s="57">
        <f t="shared" ref="BK74" si="149">AVERAGE(BJ74:BJ82)</f>
        <v>1010677.7777777778</v>
      </c>
      <c r="BL74" s="56">
        <f>(STDEV(BJ74:BJ82))</f>
        <v>67419.952865931642</v>
      </c>
      <c r="BM74" s="7">
        <v>42951</v>
      </c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</row>
    <row r="75" spans="1:101" x14ac:dyDescent="0.2">
      <c r="A75" s="20" t="s">
        <v>144</v>
      </c>
      <c r="B75" s="18">
        <f>(innoculationdensity!$D$14*2.5)/1000</f>
        <v>1272.4166666666665</v>
      </c>
      <c r="C75" s="55"/>
      <c r="D75" s="55"/>
      <c r="E75" s="7">
        <v>42921</v>
      </c>
      <c r="F75" s="2">
        <v>1384</v>
      </c>
      <c r="G75" s="55"/>
      <c r="H75" s="55"/>
      <c r="I75" s="7">
        <v>42923</v>
      </c>
      <c r="J75" s="2">
        <v>1949</v>
      </c>
      <c r="K75" s="55"/>
      <c r="L75" s="55"/>
      <c r="M75" s="7">
        <v>42925</v>
      </c>
      <c r="N75" s="2">
        <v>2856</v>
      </c>
      <c r="O75" s="55"/>
      <c r="P75" s="55"/>
      <c r="Q75" s="7">
        <v>42927</v>
      </c>
      <c r="R75" s="4">
        <v>3900</v>
      </c>
      <c r="S75" s="55"/>
      <c r="T75" s="55"/>
      <c r="U75" s="7">
        <v>42929</v>
      </c>
      <c r="V75" s="2">
        <v>7291</v>
      </c>
      <c r="W75" s="55"/>
      <c r="X75" s="55"/>
      <c r="Y75" s="7">
        <v>42931</v>
      </c>
      <c r="Z75" s="2">
        <v>9920</v>
      </c>
      <c r="AA75" s="55"/>
      <c r="AB75" s="55"/>
      <c r="AC75" s="7">
        <v>42933</v>
      </c>
      <c r="AD75" s="2">
        <v>16806</v>
      </c>
      <c r="AE75" s="55"/>
      <c r="AF75" s="55"/>
      <c r="AG75" s="7">
        <v>42935</v>
      </c>
      <c r="AH75" s="2">
        <v>26808</v>
      </c>
      <c r="AI75" s="55"/>
      <c r="AJ75" s="55"/>
      <c r="AK75" s="7">
        <v>42937</v>
      </c>
      <c r="AL75" s="2">
        <v>63568</v>
      </c>
      <c r="AM75" s="55"/>
      <c r="AN75" s="55"/>
      <c r="AO75" s="7">
        <v>42939</v>
      </c>
      <c r="AP75" s="2">
        <f>8088*20</f>
        <v>161760</v>
      </c>
      <c r="AQ75" s="55"/>
      <c r="AR75" s="55"/>
      <c r="AS75" s="7">
        <v>42941</v>
      </c>
      <c r="AT75" s="2">
        <f>(21589-682)*20</f>
        <v>418140</v>
      </c>
      <c r="AU75" s="55"/>
      <c r="AV75" s="55"/>
      <c r="AW75" s="7">
        <v>42943</v>
      </c>
      <c r="AX75" s="2">
        <f>(27948-432)*20</f>
        <v>550320</v>
      </c>
      <c r="AY75" s="55"/>
      <c r="AZ75" s="55"/>
      <c r="BA75" s="7">
        <v>42945</v>
      </c>
      <c r="BB75" s="2">
        <f>36063*20</f>
        <v>721260</v>
      </c>
      <c r="BC75" s="58"/>
      <c r="BD75" s="55"/>
      <c r="BE75" s="7">
        <v>42947</v>
      </c>
      <c r="BF75" s="2">
        <f>48779*20</f>
        <v>975580</v>
      </c>
      <c r="BG75" s="58"/>
      <c r="BH75" s="55"/>
      <c r="BI75" s="7">
        <v>42949</v>
      </c>
      <c r="BJ75" s="2">
        <f>46210*20</f>
        <v>924200</v>
      </c>
      <c r="BK75" s="58"/>
      <c r="BL75" s="55"/>
      <c r="BM75" s="7">
        <v>42951</v>
      </c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</row>
    <row r="76" spans="1:101" x14ac:dyDescent="0.2">
      <c r="A76" s="20" t="s">
        <v>145</v>
      </c>
      <c r="B76" s="18">
        <f>(innoculationdensity!$D$14*2.5)/1000</f>
        <v>1272.4166666666665</v>
      </c>
      <c r="C76" s="55"/>
      <c r="D76" s="55"/>
      <c r="E76" s="7">
        <v>42921</v>
      </c>
      <c r="F76" s="2">
        <v>1329</v>
      </c>
      <c r="G76" s="55"/>
      <c r="H76" s="55"/>
      <c r="I76" s="7">
        <v>42923</v>
      </c>
      <c r="J76" s="2">
        <v>1890</v>
      </c>
      <c r="K76" s="55"/>
      <c r="L76" s="55"/>
      <c r="M76" s="7">
        <v>42925</v>
      </c>
      <c r="N76" s="2">
        <v>3103</v>
      </c>
      <c r="O76" s="55"/>
      <c r="P76" s="55"/>
      <c r="Q76" s="7">
        <v>42927</v>
      </c>
      <c r="R76" s="4">
        <v>3907</v>
      </c>
      <c r="S76" s="55"/>
      <c r="T76" s="55"/>
      <c r="U76" s="7">
        <v>42929</v>
      </c>
      <c r="V76" s="2">
        <v>7318</v>
      </c>
      <c r="W76" s="55"/>
      <c r="X76" s="55"/>
      <c r="Y76" s="7">
        <v>42931</v>
      </c>
      <c r="Z76" s="2">
        <v>10187</v>
      </c>
      <c r="AA76" s="55"/>
      <c r="AB76" s="55"/>
      <c r="AC76" s="7">
        <v>42933</v>
      </c>
      <c r="AD76" s="2">
        <v>16936</v>
      </c>
      <c r="AE76" s="55"/>
      <c r="AF76" s="55"/>
      <c r="AG76" s="7">
        <v>42935</v>
      </c>
      <c r="AH76" s="2">
        <v>27055</v>
      </c>
      <c r="AI76" s="55"/>
      <c r="AJ76" s="55"/>
      <c r="AK76" s="7">
        <v>42937</v>
      </c>
      <c r="AL76" s="2">
        <v>65040</v>
      </c>
      <c r="AM76" s="55"/>
      <c r="AN76" s="55"/>
      <c r="AO76" s="7">
        <v>42939</v>
      </c>
      <c r="AP76" s="2">
        <f>7966*20</f>
        <v>159320</v>
      </c>
      <c r="AQ76" s="55"/>
      <c r="AR76" s="55"/>
      <c r="AS76" s="7">
        <v>42941</v>
      </c>
      <c r="AT76" s="2">
        <f>(21344-682)*20</f>
        <v>413240</v>
      </c>
      <c r="AU76" s="55"/>
      <c r="AV76" s="55"/>
      <c r="AW76" s="7">
        <v>42943</v>
      </c>
      <c r="AX76" s="2">
        <f>(27805-432)*20</f>
        <v>547460</v>
      </c>
      <c r="AY76" s="55"/>
      <c r="AZ76" s="55"/>
      <c r="BA76" s="7">
        <v>42945</v>
      </c>
      <c r="BB76" s="2">
        <f>35864*20</f>
        <v>717280</v>
      </c>
      <c r="BC76" s="58"/>
      <c r="BD76" s="55"/>
      <c r="BE76" s="7">
        <v>42947</v>
      </c>
      <c r="BF76" s="2">
        <f>48779*20</f>
        <v>975580</v>
      </c>
      <c r="BG76" s="58"/>
      <c r="BH76" s="55"/>
      <c r="BI76" s="7">
        <v>42949</v>
      </c>
      <c r="BJ76" s="2">
        <f>46774*20</f>
        <v>935480</v>
      </c>
      <c r="BK76" s="58"/>
      <c r="BL76" s="55"/>
      <c r="BM76" s="7">
        <v>42951</v>
      </c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</row>
    <row r="77" spans="1:101" x14ac:dyDescent="0.2">
      <c r="A77" s="20" t="s">
        <v>146</v>
      </c>
      <c r="B77" s="18">
        <f>(innoculationdensity!$D$14*2.5)/1000</f>
        <v>1272.4166666666665</v>
      </c>
      <c r="C77" s="55"/>
      <c r="D77" s="55"/>
      <c r="E77" s="7">
        <v>42921</v>
      </c>
      <c r="F77" s="2">
        <v>1503</v>
      </c>
      <c r="G77" s="55"/>
      <c r="H77" s="55"/>
      <c r="I77" s="7">
        <v>42923</v>
      </c>
      <c r="J77" s="2">
        <v>2179</v>
      </c>
      <c r="K77" s="55"/>
      <c r="L77" s="55"/>
      <c r="M77" s="7">
        <v>42925</v>
      </c>
      <c r="N77" s="2">
        <v>2818</v>
      </c>
      <c r="O77" s="55"/>
      <c r="P77" s="55"/>
      <c r="Q77" s="7">
        <v>42927</v>
      </c>
      <c r="R77" s="4">
        <v>4535</v>
      </c>
      <c r="S77" s="55"/>
      <c r="T77" s="55"/>
      <c r="U77" s="7">
        <v>42929</v>
      </c>
      <c r="V77" s="2">
        <v>6743</v>
      </c>
      <c r="W77" s="55"/>
      <c r="X77" s="55"/>
      <c r="Y77" s="7">
        <v>42931</v>
      </c>
      <c r="Z77" s="2">
        <v>9747</v>
      </c>
      <c r="AA77" s="55"/>
      <c r="AB77" s="55"/>
      <c r="AC77" s="7">
        <v>42933</v>
      </c>
      <c r="AD77" s="2">
        <v>14905</v>
      </c>
      <c r="AE77" s="55"/>
      <c r="AF77" s="55"/>
      <c r="AG77" s="7">
        <v>42935</v>
      </c>
      <c r="AH77" s="2">
        <v>28328</v>
      </c>
      <c r="AI77" s="55"/>
      <c r="AJ77" s="55"/>
      <c r="AK77" s="7">
        <v>42937</v>
      </c>
      <c r="AL77" s="2">
        <v>67213</v>
      </c>
      <c r="AM77" s="55"/>
      <c r="AN77" s="55"/>
      <c r="AO77" s="7">
        <v>42939</v>
      </c>
      <c r="AP77" s="2">
        <f>7818*20</f>
        <v>156360</v>
      </c>
      <c r="AQ77" s="55"/>
      <c r="AR77" s="55"/>
      <c r="AS77" s="7">
        <v>42941</v>
      </c>
      <c r="AT77" s="2">
        <f>(16621-682)*20</f>
        <v>318780</v>
      </c>
      <c r="AU77" s="55"/>
      <c r="AV77" s="55"/>
      <c r="AW77" s="7">
        <v>42943</v>
      </c>
      <c r="AX77" s="2">
        <f>(29685-432)*20</f>
        <v>585060</v>
      </c>
      <c r="AY77" s="55"/>
      <c r="AZ77" s="55"/>
      <c r="BA77" s="7">
        <v>42945</v>
      </c>
      <c r="BB77" s="2">
        <f>32854*20</f>
        <v>657080</v>
      </c>
      <c r="BC77" s="58"/>
      <c r="BD77" s="55"/>
      <c r="BE77" s="7">
        <v>42947</v>
      </c>
      <c r="BF77" s="2">
        <f>47649*20</f>
        <v>952980</v>
      </c>
      <c r="BG77" s="58"/>
      <c r="BH77" s="55"/>
      <c r="BI77" s="7">
        <v>42949</v>
      </c>
      <c r="BJ77" s="2">
        <f>51296*20</f>
        <v>1025920</v>
      </c>
      <c r="BK77" s="58"/>
      <c r="BL77" s="55"/>
      <c r="BM77" s="7">
        <v>42951</v>
      </c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</row>
    <row r="78" spans="1:101" x14ac:dyDescent="0.2">
      <c r="A78" s="20" t="s">
        <v>147</v>
      </c>
      <c r="B78" s="18">
        <f>(innoculationdensity!$D$14*2.5)/1000</f>
        <v>1272.4166666666665</v>
      </c>
      <c r="C78" s="55"/>
      <c r="D78" s="55"/>
      <c r="E78" s="7">
        <v>42921</v>
      </c>
      <c r="F78" s="2">
        <v>1557</v>
      </c>
      <c r="G78" s="55"/>
      <c r="H78" s="55"/>
      <c r="I78" s="7">
        <v>42923</v>
      </c>
      <c r="J78" s="2">
        <v>2207</v>
      </c>
      <c r="K78" s="55"/>
      <c r="L78" s="55"/>
      <c r="M78" s="7">
        <v>42925</v>
      </c>
      <c r="N78" s="2">
        <v>2880</v>
      </c>
      <c r="O78" s="55"/>
      <c r="P78" s="55"/>
      <c r="Q78" s="7">
        <v>42927</v>
      </c>
      <c r="R78" s="4">
        <v>4390</v>
      </c>
      <c r="S78" s="55"/>
      <c r="T78" s="55"/>
      <c r="U78" s="7">
        <v>42929</v>
      </c>
      <c r="V78" s="2">
        <v>6486</v>
      </c>
      <c r="W78" s="55"/>
      <c r="X78" s="55"/>
      <c r="Y78" s="7">
        <v>42931</v>
      </c>
      <c r="Z78" s="2">
        <v>9424</v>
      </c>
      <c r="AA78" s="55"/>
      <c r="AB78" s="55"/>
      <c r="AC78" s="7">
        <v>42933</v>
      </c>
      <c r="AD78" s="2">
        <v>14904</v>
      </c>
      <c r="AE78" s="55"/>
      <c r="AF78" s="55"/>
      <c r="AG78" s="7">
        <v>42935</v>
      </c>
      <c r="AH78" s="2">
        <v>28698</v>
      </c>
      <c r="AI78" s="55"/>
      <c r="AJ78" s="55"/>
      <c r="AK78" s="7">
        <v>42937</v>
      </c>
      <c r="AL78" s="2">
        <v>67154</v>
      </c>
      <c r="AM78" s="55"/>
      <c r="AN78" s="55"/>
      <c r="AO78" s="7">
        <v>42939</v>
      </c>
      <c r="AP78" s="2">
        <f>7303*20</f>
        <v>146060</v>
      </c>
      <c r="AQ78" s="55"/>
      <c r="AR78" s="55"/>
      <c r="AS78" s="7">
        <v>42941</v>
      </c>
      <c r="AT78" s="2">
        <f>(18218-682)*20</f>
        <v>350720</v>
      </c>
      <c r="AU78" s="55"/>
      <c r="AV78" s="55"/>
      <c r="AW78" s="7">
        <v>42943</v>
      </c>
      <c r="AX78" s="2">
        <f>(32997-432)*20</f>
        <v>651300</v>
      </c>
      <c r="AY78" s="55"/>
      <c r="AZ78" s="55"/>
      <c r="BA78" s="7">
        <v>42945</v>
      </c>
      <c r="BB78" s="2">
        <f>32773*20</f>
        <v>655460</v>
      </c>
      <c r="BC78" s="58"/>
      <c r="BD78" s="55"/>
      <c r="BE78" s="7">
        <v>42947</v>
      </c>
      <c r="BF78" s="2">
        <f>47821*20</f>
        <v>956420</v>
      </c>
      <c r="BG78" s="58"/>
      <c r="BH78" s="55"/>
      <c r="BI78" s="7">
        <v>42949</v>
      </c>
      <c r="BJ78" s="2">
        <f>51425*20</f>
        <v>1028500</v>
      </c>
      <c r="BK78" s="58"/>
      <c r="BL78" s="55"/>
      <c r="BM78" s="7">
        <v>42951</v>
      </c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</row>
    <row r="79" spans="1:101" x14ac:dyDescent="0.2">
      <c r="A79" s="20" t="s">
        <v>148</v>
      </c>
      <c r="B79" s="18">
        <f>(innoculationdensity!$D$14*2.5)/1000</f>
        <v>1272.4166666666665</v>
      </c>
      <c r="C79" s="55"/>
      <c r="D79" s="55"/>
      <c r="E79" s="7">
        <v>42921</v>
      </c>
      <c r="F79" s="2">
        <v>1540</v>
      </c>
      <c r="G79" s="55"/>
      <c r="H79" s="55"/>
      <c r="I79" s="7">
        <v>42923</v>
      </c>
      <c r="J79" s="2">
        <v>2122</v>
      </c>
      <c r="K79" s="55"/>
      <c r="L79" s="55"/>
      <c r="M79" s="7">
        <v>42925</v>
      </c>
      <c r="N79" s="2">
        <v>2839</v>
      </c>
      <c r="O79" s="55"/>
      <c r="P79" s="55"/>
      <c r="Q79" s="7">
        <v>42927</v>
      </c>
      <c r="R79" s="4">
        <v>4451</v>
      </c>
      <c r="S79" s="55"/>
      <c r="T79" s="55"/>
      <c r="U79" s="7">
        <v>42929</v>
      </c>
      <c r="V79" s="2">
        <v>6422</v>
      </c>
      <c r="W79" s="55"/>
      <c r="X79" s="55"/>
      <c r="Y79" s="7">
        <v>42931</v>
      </c>
      <c r="Z79" s="2">
        <v>9357</v>
      </c>
      <c r="AA79" s="55"/>
      <c r="AB79" s="55"/>
      <c r="AC79" s="7">
        <v>42933</v>
      </c>
      <c r="AD79" s="2">
        <v>14853</v>
      </c>
      <c r="AE79" s="55"/>
      <c r="AF79" s="55"/>
      <c r="AG79" s="7">
        <v>42935</v>
      </c>
      <c r="AH79" s="2">
        <v>26627</v>
      </c>
      <c r="AI79" s="55"/>
      <c r="AJ79" s="55"/>
      <c r="AK79" s="7">
        <v>42937</v>
      </c>
      <c r="AL79" s="2">
        <v>64173</v>
      </c>
      <c r="AM79" s="55"/>
      <c r="AN79" s="55"/>
      <c r="AO79" s="7">
        <v>42939</v>
      </c>
      <c r="AP79" s="2">
        <f>7493*20</f>
        <v>149860</v>
      </c>
      <c r="AQ79" s="55"/>
      <c r="AR79" s="55"/>
      <c r="AS79" s="7">
        <v>42941</v>
      </c>
      <c r="AT79" s="2">
        <f>(17184-682)*20</f>
        <v>330040</v>
      </c>
      <c r="AU79" s="55"/>
      <c r="AV79" s="55"/>
      <c r="AW79" s="7">
        <v>42943</v>
      </c>
      <c r="AX79" s="2">
        <f>(31913-432)*20</f>
        <v>629620</v>
      </c>
      <c r="AY79" s="55"/>
      <c r="AZ79" s="55"/>
      <c r="BA79" s="7">
        <v>42945</v>
      </c>
      <c r="BB79" s="2">
        <f>32244*20</f>
        <v>644880</v>
      </c>
      <c r="BC79" s="58"/>
      <c r="BD79" s="55"/>
      <c r="BE79" s="7">
        <v>42947</v>
      </c>
      <c r="BF79" s="2">
        <f>47196*20</f>
        <v>943920</v>
      </c>
      <c r="BG79" s="58"/>
      <c r="BH79" s="55"/>
      <c r="BI79" s="7">
        <v>42949</v>
      </c>
      <c r="BJ79" s="2">
        <f>51190*20</f>
        <v>1023800</v>
      </c>
      <c r="BK79" s="58"/>
      <c r="BL79" s="55"/>
      <c r="BM79" s="7">
        <v>42951</v>
      </c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</row>
    <row r="80" spans="1:101" x14ac:dyDescent="0.2">
      <c r="A80" s="20" t="s">
        <v>149</v>
      </c>
      <c r="B80" s="18">
        <f>(innoculationdensity!$D$14*2.5)/1000</f>
        <v>1272.4166666666665</v>
      </c>
      <c r="C80" s="55"/>
      <c r="D80" s="55"/>
      <c r="E80" s="7">
        <v>42921</v>
      </c>
      <c r="F80" s="2">
        <v>1578</v>
      </c>
      <c r="G80" s="55"/>
      <c r="H80" s="55"/>
      <c r="I80" s="7">
        <v>42923</v>
      </c>
      <c r="J80" s="2">
        <v>2245</v>
      </c>
      <c r="K80" s="55"/>
      <c r="L80" s="55"/>
      <c r="M80" s="7">
        <v>42925</v>
      </c>
      <c r="N80" s="2">
        <v>3116</v>
      </c>
      <c r="O80" s="55"/>
      <c r="P80" s="55"/>
      <c r="Q80" s="7">
        <v>42927</v>
      </c>
      <c r="R80" s="4">
        <v>4891</v>
      </c>
      <c r="S80" s="55"/>
      <c r="T80" s="55"/>
      <c r="U80" s="7">
        <v>42929</v>
      </c>
      <c r="V80" s="2">
        <v>6694</v>
      </c>
      <c r="W80" s="55"/>
      <c r="X80" s="55"/>
      <c r="Y80" s="7">
        <v>42931</v>
      </c>
      <c r="Z80" s="2">
        <v>9826</v>
      </c>
      <c r="AA80" s="55"/>
      <c r="AB80" s="55"/>
      <c r="AC80" s="7">
        <v>42933</v>
      </c>
      <c r="AD80" s="2">
        <v>16863</v>
      </c>
      <c r="AE80" s="55"/>
      <c r="AF80" s="55"/>
      <c r="AG80" s="7">
        <v>42935</v>
      </c>
      <c r="AH80" s="2">
        <v>33199</v>
      </c>
      <c r="AI80" s="55"/>
      <c r="AJ80" s="55"/>
      <c r="AK80" s="7">
        <v>42937</v>
      </c>
      <c r="AL80" s="2">
        <v>93834</v>
      </c>
      <c r="AM80" s="55"/>
      <c r="AN80" s="55"/>
      <c r="AO80" s="7">
        <v>42939</v>
      </c>
      <c r="AP80" s="2">
        <f>13355*20</f>
        <v>267100</v>
      </c>
      <c r="AQ80" s="55"/>
      <c r="AR80" s="55"/>
      <c r="AS80" s="7">
        <v>42941</v>
      </c>
      <c r="AT80" s="2">
        <f>(30364-682)*20</f>
        <v>593640</v>
      </c>
      <c r="AU80" s="55"/>
      <c r="AV80" s="55"/>
      <c r="AW80" s="7">
        <v>42943</v>
      </c>
      <c r="AX80" s="2">
        <f>(37885-432)*20</f>
        <v>749060</v>
      </c>
      <c r="AY80" s="55"/>
      <c r="AZ80" s="55"/>
      <c r="BA80" s="7">
        <v>42945</v>
      </c>
      <c r="BB80" s="2">
        <f>38972*20</f>
        <v>779440</v>
      </c>
      <c r="BC80" s="58"/>
      <c r="BD80" s="55"/>
      <c r="BE80" s="7">
        <v>42947</v>
      </c>
      <c r="BF80" s="2">
        <f>48016*20</f>
        <v>960320</v>
      </c>
      <c r="BG80" s="58"/>
      <c r="BH80" s="55"/>
      <c r="BI80" s="7">
        <v>42949</v>
      </c>
      <c r="BJ80" s="2">
        <f>54001*20</f>
        <v>1080020</v>
      </c>
      <c r="BK80" s="58"/>
      <c r="BL80" s="55"/>
      <c r="BM80" s="7">
        <v>42951</v>
      </c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</row>
    <row r="81" spans="1:101" x14ac:dyDescent="0.2">
      <c r="A81" s="20" t="s">
        <v>150</v>
      </c>
      <c r="B81" s="18">
        <f>(innoculationdensity!$D$14*2.5)/1000</f>
        <v>1272.4166666666665</v>
      </c>
      <c r="C81" s="55"/>
      <c r="D81" s="55"/>
      <c r="E81" s="7">
        <v>42921</v>
      </c>
      <c r="F81" s="2">
        <v>1642</v>
      </c>
      <c r="G81" s="55"/>
      <c r="H81" s="55"/>
      <c r="I81" s="7">
        <v>42923</v>
      </c>
      <c r="J81" s="2">
        <v>2257</v>
      </c>
      <c r="K81" s="55"/>
      <c r="L81" s="55"/>
      <c r="M81" s="7">
        <v>42925</v>
      </c>
      <c r="N81" s="2">
        <v>3046</v>
      </c>
      <c r="O81" s="55"/>
      <c r="P81" s="55"/>
      <c r="Q81" s="7">
        <v>42927</v>
      </c>
      <c r="R81" s="4">
        <v>4750</v>
      </c>
      <c r="S81" s="55"/>
      <c r="T81" s="55"/>
      <c r="U81" s="7">
        <v>42929</v>
      </c>
      <c r="V81" s="2">
        <v>6587</v>
      </c>
      <c r="W81" s="55"/>
      <c r="X81" s="55"/>
      <c r="Y81" s="7">
        <v>42931</v>
      </c>
      <c r="Z81" s="2">
        <v>9670</v>
      </c>
      <c r="AA81" s="55"/>
      <c r="AB81" s="55"/>
      <c r="AC81" s="7">
        <v>42933</v>
      </c>
      <c r="AD81" s="2">
        <v>16918</v>
      </c>
      <c r="AE81" s="55"/>
      <c r="AF81" s="55"/>
      <c r="AG81" s="7">
        <v>42935</v>
      </c>
      <c r="AH81" s="2">
        <v>33201</v>
      </c>
      <c r="AI81" s="55"/>
      <c r="AJ81" s="55"/>
      <c r="AK81" s="7">
        <v>42937</v>
      </c>
      <c r="AL81" s="2">
        <v>95173</v>
      </c>
      <c r="AM81" s="55"/>
      <c r="AN81" s="55"/>
      <c r="AO81" s="7">
        <v>42939</v>
      </c>
      <c r="AP81" s="2">
        <f>13265*20</f>
        <v>265300</v>
      </c>
      <c r="AQ81" s="55"/>
      <c r="AR81" s="55"/>
      <c r="AS81" s="7">
        <v>42941</v>
      </c>
      <c r="AT81" s="2">
        <f>(30770-682)*20</f>
        <v>601760</v>
      </c>
      <c r="AU81" s="55"/>
      <c r="AV81" s="55"/>
      <c r="AW81" s="7">
        <v>42943</v>
      </c>
      <c r="AX81" s="2">
        <f>(38107-432)*20</f>
        <v>753500</v>
      </c>
      <c r="AY81" s="55"/>
      <c r="AZ81" s="55"/>
      <c r="BA81" s="7">
        <v>42945</v>
      </c>
      <c r="BB81" s="2">
        <f>38493*20</f>
        <v>769860</v>
      </c>
      <c r="BC81" s="58"/>
      <c r="BD81" s="55"/>
      <c r="BE81" s="7">
        <v>42947</v>
      </c>
      <c r="BF81" s="2">
        <f>48479*20</f>
        <v>969580</v>
      </c>
      <c r="BG81" s="58"/>
      <c r="BH81" s="55"/>
      <c r="BI81" s="7">
        <v>42949</v>
      </c>
      <c r="BJ81" s="2">
        <f>54327*20</f>
        <v>1086540</v>
      </c>
      <c r="BK81" s="58"/>
      <c r="BL81" s="55"/>
      <c r="BM81" s="7">
        <v>42951</v>
      </c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</row>
    <row r="82" spans="1:101" x14ac:dyDescent="0.2">
      <c r="A82" s="20" t="s">
        <v>151</v>
      </c>
      <c r="B82" s="18">
        <f>(innoculationdensity!$D$14*2.5)/1000</f>
        <v>1272.4166666666665</v>
      </c>
      <c r="C82" s="55"/>
      <c r="D82" s="55"/>
      <c r="E82" s="7">
        <v>42921</v>
      </c>
      <c r="F82" s="2">
        <v>1528</v>
      </c>
      <c r="G82" s="55"/>
      <c r="H82" s="55"/>
      <c r="I82" s="7">
        <v>42923</v>
      </c>
      <c r="J82" s="2">
        <v>2269</v>
      </c>
      <c r="K82" s="55"/>
      <c r="L82" s="55"/>
      <c r="M82" s="7">
        <v>42925</v>
      </c>
      <c r="N82" s="2">
        <v>2981</v>
      </c>
      <c r="O82" s="55"/>
      <c r="P82" s="55"/>
      <c r="Q82" s="7">
        <v>42927</v>
      </c>
      <c r="R82" s="4">
        <v>4443</v>
      </c>
      <c r="S82" s="55"/>
      <c r="T82" s="55"/>
      <c r="U82" s="7">
        <v>42929</v>
      </c>
      <c r="V82" s="2">
        <v>6550</v>
      </c>
      <c r="W82" s="55"/>
      <c r="X82" s="55"/>
      <c r="Y82" s="7">
        <v>42931</v>
      </c>
      <c r="Z82" s="2">
        <v>9841</v>
      </c>
      <c r="AA82" s="55"/>
      <c r="AB82" s="55"/>
      <c r="AC82" s="7">
        <v>42933</v>
      </c>
      <c r="AD82" s="2">
        <v>16754</v>
      </c>
      <c r="AE82" s="55"/>
      <c r="AF82" s="55"/>
      <c r="AG82" s="7">
        <v>42935</v>
      </c>
      <c r="AH82" s="2">
        <v>32483</v>
      </c>
      <c r="AI82" s="55"/>
      <c r="AJ82" s="55"/>
      <c r="AK82" s="7">
        <v>42937</v>
      </c>
      <c r="AL82" s="2">
        <v>96804</v>
      </c>
      <c r="AM82" s="55"/>
      <c r="AN82" s="55"/>
      <c r="AO82" s="7">
        <v>42939</v>
      </c>
      <c r="AP82" s="2">
        <f>12837*20</f>
        <v>256740</v>
      </c>
      <c r="AQ82" s="55"/>
      <c r="AR82" s="55"/>
      <c r="AS82" s="7">
        <v>42941</v>
      </c>
      <c r="AT82" s="2">
        <f>(28730-682)*20</f>
        <v>560960</v>
      </c>
      <c r="AU82" s="55"/>
      <c r="AV82" s="55"/>
      <c r="AW82" s="7">
        <v>42943</v>
      </c>
      <c r="AX82" s="2">
        <f>(38107-432)*20</f>
        <v>753500</v>
      </c>
      <c r="AY82" s="55"/>
      <c r="AZ82" s="55"/>
      <c r="BA82" s="7">
        <v>42945</v>
      </c>
      <c r="BB82" s="2">
        <f>38633*20</f>
        <v>772660</v>
      </c>
      <c r="BC82" s="58"/>
      <c r="BD82" s="55"/>
      <c r="BE82" s="7">
        <v>42947</v>
      </c>
      <c r="BF82" s="2">
        <f>48087*20</f>
        <v>961740</v>
      </c>
      <c r="BG82" s="58"/>
      <c r="BH82" s="55"/>
      <c r="BI82" s="7">
        <v>42949</v>
      </c>
      <c r="BJ82" s="2">
        <f>53583*20</f>
        <v>1071660</v>
      </c>
      <c r="BK82" s="58"/>
      <c r="BL82" s="55"/>
      <c r="BM82" s="7">
        <v>42951</v>
      </c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</row>
    <row r="83" spans="1:101" x14ac:dyDescent="0.2">
      <c r="A83" s="20" t="s">
        <v>160</v>
      </c>
      <c r="B83" s="18">
        <f>(innoculationdensity!$D$29*6.5)/1000</f>
        <v>1140.49</v>
      </c>
      <c r="C83" s="56">
        <f t="shared" ref="C83" si="150">AVERAGE(B83:B91)</f>
        <v>1140.49</v>
      </c>
      <c r="D83" s="56">
        <f t="shared" ref="D83" si="151">(STDEV(B83:B91))</f>
        <v>0</v>
      </c>
      <c r="E83" s="7">
        <v>42928</v>
      </c>
      <c r="F83" s="2">
        <v>1751</v>
      </c>
      <c r="G83" s="56">
        <f t="shared" ref="G83" si="152">AVERAGE(F83:F91)</f>
        <v>1624</v>
      </c>
      <c r="H83" s="56">
        <f t="shared" ref="H83" si="153">(STDEV(F83:F91))</f>
        <v>178.33465731595751</v>
      </c>
      <c r="I83" s="7">
        <v>42930</v>
      </c>
      <c r="J83" s="2">
        <v>3215</v>
      </c>
      <c r="K83" s="56">
        <f t="shared" ref="K83" si="154">AVERAGE(J83:J91)</f>
        <v>2342.4444444444443</v>
      </c>
      <c r="L83" s="56">
        <f t="shared" ref="L83" si="155">(STDEV(J83:J91))</f>
        <v>613.4478606840014</v>
      </c>
      <c r="M83" s="7">
        <v>42932</v>
      </c>
      <c r="N83" s="2">
        <v>4788</v>
      </c>
      <c r="O83" s="56">
        <f t="shared" ref="O83" si="156">AVERAGE(N83:N91)</f>
        <v>3714.3333333333335</v>
      </c>
      <c r="P83" s="56">
        <f t="shared" ref="P83" si="157">(STDEV(N83:N91))</f>
        <v>971.77633743572903</v>
      </c>
      <c r="Q83" s="7">
        <v>42934</v>
      </c>
      <c r="R83" s="4">
        <v>7937</v>
      </c>
      <c r="S83" s="54">
        <f t="shared" ref="S83" si="158">AVERAGE(R83:R91)</f>
        <v>8005.666666666667</v>
      </c>
      <c r="T83" s="56">
        <f t="shared" ref="T83" si="159">(STDEV(R83:R91))</f>
        <v>1841.0566938581767</v>
      </c>
      <c r="U83" s="7">
        <v>42936</v>
      </c>
      <c r="V83" s="2">
        <v>14764</v>
      </c>
      <c r="W83" s="54">
        <f t="shared" ref="W83" si="160">AVERAGE(V83:V91)</f>
        <v>11322.666666666666</v>
      </c>
      <c r="X83" s="56">
        <f t="shared" ref="X83" si="161">(STDEV(V83:V91))</f>
        <v>2592.192894057076</v>
      </c>
      <c r="Y83" s="7">
        <v>42938</v>
      </c>
      <c r="Z83" s="2">
        <v>24023</v>
      </c>
      <c r="AA83" s="54">
        <f t="shared" ref="AA83" si="162">AVERAGE(Z83:Z91)</f>
        <v>18508.333333333332</v>
      </c>
      <c r="AB83" s="56">
        <f t="shared" ref="AB83" si="163">(STDEV(Z83:Z91))</f>
        <v>4682.703546029793</v>
      </c>
      <c r="AC83" s="7">
        <v>42940</v>
      </c>
      <c r="AH83" s="2">
        <f>(8102-833)*20</f>
        <v>145380</v>
      </c>
      <c r="AI83" s="54">
        <f t="shared" ref="AI83" si="164">AVERAGE(AH83:AH91)</f>
        <v>116700</v>
      </c>
      <c r="AJ83" s="56">
        <f>(STDEV(AH83:AH91))</f>
        <v>38933.896799575559</v>
      </c>
      <c r="AK83" s="7">
        <v>42944</v>
      </c>
      <c r="AL83" s="2">
        <f>(14076-251)*20</f>
        <v>276500</v>
      </c>
      <c r="AM83" s="54">
        <f t="shared" ref="AM83" si="165">AVERAGE(AL83:AL91)</f>
        <v>201415.55555555556</v>
      </c>
      <c r="AN83" s="56">
        <f t="shared" ref="AN83" si="166">(STDEV(AL83:AL91))</f>
        <v>56622.703730727822</v>
      </c>
      <c r="AO83" s="7">
        <v>42946</v>
      </c>
      <c r="AP83" s="2">
        <f>9835*20</f>
        <v>196700</v>
      </c>
      <c r="AQ83" s="54">
        <f t="shared" ref="AQ83" si="167">AVERAGE(AP83:AP91)</f>
        <v>179140</v>
      </c>
      <c r="AR83" s="56">
        <f t="shared" ref="AR83" si="168">(STDEV(AP83:AP91))</f>
        <v>24815.91827839542</v>
      </c>
      <c r="AS83" s="7">
        <v>42948</v>
      </c>
      <c r="AT83" s="2">
        <f>10698*20</f>
        <v>213960</v>
      </c>
      <c r="AU83" s="54">
        <f t="shared" ref="AU83" si="169">AVERAGE(AT83:AT91)</f>
        <v>195826.66666666666</v>
      </c>
      <c r="AV83" s="56">
        <f t="shared" ref="AV83" si="170">(STDEV(AT83:AT91))</f>
        <v>15999.80624882689</v>
      </c>
      <c r="AW83" s="7">
        <v>41489</v>
      </c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</row>
    <row r="84" spans="1:101" x14ac:dyDescent="0.2">
      <c r="A84" s="20" t="s">
        <v>161</v>
      </c>
      <c r="B84" s="18">
        <f>(innoculationdensity!$D$29*6.5)/1000</f>
        <v>1140.49</v>
      </c>
      <c r="C84" s="55"/>
      <c r="D84" s="55"/>
      <c r="E84" s="7">
        <v>42928</v>
      </c>
      <c r="F84" s="2">
        <v>1836</v>
      </c>
      <c r="G84" s="55"/>
      <c r="H84" s="55"/>
      <c r="I84" s="7">
        <v>42930</v>
      </c>
      <c r="J84" s="2">
        <v>3261</v>
      </c>
      <c r="K84" s="55"/>
      <c r="L84" s="55"/>
      <c r="M84" s="7">
        <v>42932</v>
      </c>
      <c r="N84" s="2">
        <v>4875</v>
      </c>
      <c r="O84" s="55"/>
      <c r="P84" s="55"/>
      <c r="Q84" s="7">
        <v>42934</v>
      </c>
      <c r="R84" s="4">
        <v>8830</v>
      </c>
      <c r="S84" s="55"/>
      <c r="T84" s="55"/>
      <c r="U84" s="7">
        <v>42936</v>
      </c>
      <c r="V84" s="2">
        <v>14057</v>
      </c>
      <c r="W84" s="55"/>
      <c r="X84" s="55"/>
      <c r="Y84" s="7">
        <v>42938</v>
      </c>
      <c r="Z84" s="2">
        <v>23394</v>
      </c>
      <c r="AA84" s="55"/>
      <c r="AB84" s="55"/>
      <c r="AC84" s="7">
        <v>42940</v>
      </c>
      <c r="AH84" s="2">
        <f>(8968-833)*20</f>
        <v>162700</v>
      </c>
      <c r="AI84" s="55"/>
      <c r="AJ84" s="55"/>
      <c r="AK84" s="7">
        <v>42944</v>
      </c>
      <c r="AL84" s="2">
        <f>(13391-251)*20</f>
        <v>262800</v>
      </c>
      <c r="AM84" s="55"/>
      <c r="AN84" s="55"/>
      <c r="AO84" s="7">
        <v>42946</v>
      </c>
      <c r="AP84" s="2">
        <f>9834*20</f>
        <v>196680</v>
      </c>
      <c r="AQ84" s="55"/>
      <c r="AR84" s="55"/>
      <c r="AS84" s="7">
        <v>42948</v>
      </c>
      <c r="AT84" s="2">
        <f>10537*20</f>
        <v>210740</v>
      </c>
      <c r="AU84" s="55"/>
      <c r="AV84" s="55"/>
      <c r="AW84" s="7">
        <v>41489</v>
      </c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</row>
    <row r="85" spans="1:101" x14ac:dyDescent="0.2">
      <c r="A85" s="20" t="s">
        <v>162</v>
      </c>
      <c r="B85" s="18">
        <f>(innoculationdensity!$D$29*6.5)/1000</f>
        <v>1140.49</v>
      </c>
      <c r="C85" s="55"/>
      <c r="D85" s="55"/>
      <c r="E85" s="7">
        <v>42928</v>
      </c>
      <c r="F85" s="2">
        <v>1841</v>
      </c>
      <c r="G85" s="55"/>
      <c r="H85" s="55"/>
      <c r="I85" s="7">
        <v>42930</v>
      </c>
      <c r="J85" s="2">
        <v>2954</v>
      </c>
      <c r="K85" s="55"/>
      <c r="L85" s="55"/>
      <c r="M85" s="7">
        <v>42932</v>
      </c>
      <c r="N85" s="2">
        <v>5032</v>
      </c>
      <c r="O85" s="55"/>
      <c r="P85" s="55"/>
      <c r="Q85" s="7">
        <v>42934</v>
      </c>
      <c r="R85" s="4">
        <v>11934</v>
      </c>
      <c r="S85" s="55"/>
      <c r="T85" s="55"/>
      <c r="U85" s="7">
        <v>42936</v>
      </c>
      <c r="V85" s="2">
        <v>13036</v>
      </c>
      <c r="W85" s="55"/>
      <c r="X85" s="55"/>
      <c r="Y85" s="7">
        <v>42938</v>
      </c>
      <c r="Z85" s="2">
        <v>23605</v>
      </c>
      <c r="AA85" s="55"/>
      <c r="AB85" s="55"/>
      <c r="AC85" s="7">
        <v>42940</v>
      </c>
      <c r="AI85" s="55"/>
      <c r="AJ85" s="55"/>
      <c r="AK85" s="7">
        <v>42944</v>
      </c>
      <c r="AL85" s="2">
        <f>(13270-251)*20</f>
        <v>260380</v>
      </c>
      <c r="AM85" s="55"/>
      <c r="AN85" s="55"/>
      <c r="AO85" s="7">
        <v>42946</v>
      </c>
      <c r="AP85" s="2">
        <f>9767*20</f>
        <v>195340</v>
      </c>
      <c r="AQ85" s="55"/>
      <c r="AR85" s="55"/>
      <c r="AS85" s="7">
        <v>42948</v>
      </c>
      <c r="AT85" s="2">
        <f>10348*20</f>
        <v>206960</v>
      </c>
      <c r="AU85" s="55"/>
      <c r="AV85" s="55"/>
      <c r="AW85" s="7">
        <v>41489</v>
      </c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</row>
    <row r="86" spans="1:101" x14ac:dyDescent="0.2">
      <c r="A86" s="20" t="s">
        <v>163</v>
      </c>
      <c r="B86" s="18">
        <f>(innoculationdensity!$D$29*6.5)/1000</f>
        <v>1140.49</v>
      </c>
      <c r="C86" s="55"/>
      <c r="D86" s="55"/>
      <c r="E86" s="7">
        <v>42928</v>
      </c>
      <c r="F86" s="2">
        <v>1447</v>
      </c>
      <c r="G86" s="55"/>
      <c r="H86" s="55"/>
      <c r="I86" s="7">
        <v>42930</v>
      </c>
      <c r="J86" s="2">
        <v>1880</v>
      </c>
      <c r="K86" s="55"/>
      <c r="L86" s="55"/>
      <c r="M86" s="7">
        <v>42932</v>
      </c>
      <c r="N86" s="2">
        <v>2647</v>
      </c>
      <c r="O86" s="55"/>
      <c r="P86" s="55"/>
      <c r="Q86" s="7">
        <v>42934</v>
      </c>
      <c r="R86" s="4">
        <v>6165</v>
      </c>
      <c r="S86" s="55"/>
      <c r="T86" s="55"/>
      <c r="U86" s="7">
        <v>42936</v>
      </c>
      <c r="V86" s="2">
        <v>8612</v>
      </c>
      <c r="W86" s="55"/>
      <c r="X86" s="55"/>
      <c r="Y86" s="7">
        <v>42938</v>
      </c>
      <c r="Z86" s="2">
        <v>12866</v>
      </c>
      <c r="AA86" s="55"/>
      <c r="AB86" s="55"/>
      <c r="AC86" s="7">
        <v>42940</v>
      </c>
      <c r="AH86" s="2">
        <f>(4289-833)*20</f>
        <v>69120</v>
      </c>
      <c r="AI86" s="55"/>
      <c r="AJ86" s="55"/>
      <c r="AK86" s="7">
        <v>42944</v>
      </c>
      <c r="AL86" s="2">
        <f>(7379-251)*20</f>
        <v>142560</v>
      </c>
      <c r="AM86" s="55"/>
      <c r="AN86" s="55"/>
      <c r="AO86" s="7">
        <v>42946</v>
      </c>
      <c r="AP86" s="2">
        <f>7410*20</f>
        <v>148200</v>
      </c>
      <c r="AQ86" s="55"/>
      <c r="AR86" s="55"/>
      <c r="AS86" s="7">
        <v>42948</v>
      </c>
      <c r="AT86" s="2">
        <f>8921*20</f>
        <v>178420</v>
      </c>
      <c r="AU86" s="55"/>
      <c r="AV86" s="55"/>
      <c r="AW86" s="7">
        <v>41489</v>
      </c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</row>
    <row r="87" spans="1:101" x14ac:dyDescent="0.2">
      <c r="A87" s="20" t="s">
        <v>164</v>
      </c>
      <c r="B87" s="18">
        <f>(innoculationdensity!$D$29*6.5)/1000</f>
        <v>1140.49</v>
      </c>
      <c r="C87" s="55"/>
      <c r="D87" s="55"/>
      <c r="E87" s="7">
        <v>42928</v>
      </c>
      <c r="F87" s="2">
        <v>1382</v>
      </c>
      <c r="G87" s="55"/>
      <c r="H87" s="55"/>
      <c r="I87" s="7">
        <v>42930</v>
      </c>
      <c r="J87" s="2">
        <v>1794</v>
      </c>
      <c r="K87" s="55"/>
      <c r="L87" s="55"/>
      <c r="M87" s="7">
        <v>42932</v>
      </c>
      <c r="N87" s="2">
        <v>2619</v>
      </c>
      <c r="O87" s="55"/>
      <c r="P87" s="55"/>
      <c r="Q87" s="7">
        <v>42934</v>
      </c>
      <c r="R87" s="4">
        <v>6062</v>
      </c>
      <c r="S87" s="55"/>
      <c r="T87" s="55"/>
      <c r="U87" s="7">
        <v>42936</v>
      </c>
      <c r="V87" s="2">
        <v>8161</v>
      </c>
      <c r="W87" s="55"/>
      <c r="X87" s="55"/>
      <c r="Y87" s="7">
        <v>42938</v>
      </c>
      <c r="Z87" s="2">
        <v>13232</v>
      </c>
      <c r="AA87" s="55"/>
      <c r="AB87" s="55"/>
      <c r="AC87" s="7">
        <v>42940</v>
      </c>
      <c r="AH87" s="2">
        <f>(4337-833)*20</f>
        <v>70080</v>
      </c>
      <c r="AI87" s="55"/>
      <c r="AJ87" s="55"/>
      <c r="AK87" s="7">
        <v>42944</v>
      </c>
      <c r="AL87" s="2">
        <f>(7065-251)*20</f>
        <v>136280</v>
      </c>
      <c r="AM87" s="55"/>
      <c r="AN87" s="55"/>
      <c r="AO87" s="7">
        <v>42946</v>
      </c>
      <c r="AP87" s="2">
        <f>7283*20</f>
        <v>145660</v>
      </c>
      <c r="AQ87" s="55"/>
      <c r="AR87" s="55"/>
      <c r="AS87" s="7">
        <v>42948</v>
      </c>
      <c r="AT87" s="2">
        <f>8897*20</f>
        <v>177940</v>
      </c>
      <c r="AU87" s="55"/>
      <c r="AV87" s="55"/>
      <c r="AW87" s="7">
        <v>41489</v>
      </c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</row>
    <row r="88" spans="1:101" x14ac:dyDescent="0.2">
      <c r="A88" s="20" t="s">
        <v>165</v>
      </c>
      <c r="B88" s="18">
        <f>(innoculationdensity!$D$29*6.5)/1000</f>
        <v>1140.49</v>
      </c>
      <c r="C88" s="55"/>
      <c r="D88" s="55"/>
      <c r="E88" s="7">
        <v>42928</v>
      </c>
      <c r="F88" s="2">
        <v>1405</v>
      </c>
      <c r="G88" s="55"/>
      <c r="H88" s="55"/>
      <c r="I88" s="7">
        <v>42930</v>
      </c>
      <c r="J88" s="2">
        <v>1842</v>
      </c>
      <c r="K88" s="55"/>
      <c r="L88" s="55"/>
      <c r="M88" s="7">
        <v>42932</v>
      </c>
      <c r="N88" s="2">
        <v>2772</v>
      </c>
      <c r="O88" s="55"/>
      <c r="P88" s="55"/>
      <c r="Q88" s="7">
        <v>42934</v>
      </c>
      <c r="R88" s="4">
        <v>6132</v>
      </c>
      <c r="S88" s="55"/>
      <c r="T88" s="55"/>
      <c r="U88" s="7">
        <v>42936</v>
      </c>
      <c r="V88" s="2">
        <v>7761</v>
      </c>
      <c r="W88" s="55"/>
      <c r="X88" s="55"/>
      <c r="Y88" s="7">
        <v>42938</v>
      </c>
      <c r="Z88" s="2">
        <v>12609</v>
      </c>
      <c r="AA88" s="55"/>
      <c r="AB88" s="55"/>
      <c r="AC88" s="7">
        <v>42940</v>
      </c>
      <c r="AI88" s="55"/>
      <c r="AJ88" s="55"/>
      <c r="AK88" s="7">
        <v>42944</v>
      </c>
      <c r="AL88" s="2">
        <f>(6834-251)*20</f>
        <v>131660</v>
      </c>
      <c r="AM88" s="55"/>
      <c r="AN88" s="55"/>
      <c r="AO88" s="7">
        <v>42946</v>
      </c>
      <c r="AP88" s="2">
        <f>9859*20</f>
        <v>197180</v>
      </c>
      <c r="AQ88" s="55"/>
      <c r="AR88" s="55"/>
      <c r="AS88" s="7">
        <v>42948</v>
      </c>
      <c r="AT88" s="2">
        <f>8512*20</f>
        <v>170240</v>
      </c>
      <c r="AU88" s="55"/>
      <c r="AV88" s="55"/>
      <c r="AW88" s="7">
        <v>41489</v>
      </c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</row>
    <row r="89" spans="1:101" x14ac:dyDescent="0.2">
      <c r="A89" s="20" t="s">
        <v>166</v>
      </c>
      <c r="B89" s="18">
        <f>(innoculationdensity!$D$29*6.5)/1000</f>
        <v>1140.49</v>
      </c>
      <c r="C89" s="55"/>
      <c r="D89" s="55"/>
      <c r="E89" s="7">
        <v>42928</v>
      </c>
      <c r="F89" s="2">
        <v>1712</v>
      </c>
      <c r="G89" s="55"/>
      <c r="H89" s="55"/>
      <c r="I89" s="7">
        <v>42930</v>
      </c>
      <c r="J89" s="2">
        <v>2071</v>
      </c>
      <c r="K89" s="55"/>
      <c r="L89" s="55"/>
      <c r="M89" s="7">
        <v>42932</v>
      </c>
      <c r="N89" s="2">
        <v>3630</v>
      </c>
      <c r="O89" s="55"/>
      <c r="P89" s="55"/>
      <c r="Q89" s="7">
        <v>42934</v>
      </c>
      <c r="R89" s="4">
        <v>8387</v>
      </c>
      <c r="S89" s="55"/>
      <c r="T89" s="55"/>
      <c r="U89" s="7">
        <v>42936</v>
      </c>
      <c r="V89" s="2">
        <v>12462</v>
      </c>
      <c r="W89" s="55"/>
      <c r="X89" s="55"/>
      <c r="Y89" s="7">
        <v>42938</v>
      </c>
      <c r="Z89" s="2">
        <v>19211</v>
      </c>
      <c r="AA89" s="55"/>
      <c r="AB89" s="55"/>
      <c r="AC89" s="7">
        <v>42940</v>
      </c>
      <c r="AH89" s="2">
        <f>(7029-833)*20</f>
        <v>123920</v>
      </c>
      <c r="AI89" s="55"/>
      <c r="AJ89" s="55"/>
      <c r="AK89" s="7">
        <v>42944</v>
      </c>
      <c r="AL89" s="2">
        <f>(9854-251)*20</f>
        <v>192060</v>
      </c>
      <c r="AM89" s="55"/>
      <c r="AN89" s="55"/>
      <c r="AO89" s="7">
        <v>42946</v>
      </c>
      <c r="AP89" s="2">
        <f>7224*20</f>
        <v>144480</v>
      </c>
      <c r="AQ89" s="55"/>
      <c r="AR89" s="55"/>
      <c r="AS89" s="7">
        <v>42948</v>
      </c>
      <c r="AT89" s="2">
        <f>10130*20</f>
        <v>202600</v>
      </c>
      <c r="AU89" s="55"/>
      <c r="AV89" s="55"/>
      <c r="AW89" s="7">
        <v>41489</v>
      </c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</row>
    <row r="90" spans="1:101" x14ac:dyDescent="0.2">
      <c r="A90" s="20" t="s">
        <v>167</v>
      </c>
      <c r="B90" s="18">
        <f>(innoculationdensity!$D$29*6.5)/1000</f>
        <v>1140.49</v>
      </c>
      <c r="C90" s="55"/>
      <c r="D90" s="55"/>
      <c r="E90" s="7">
        <v>42928</v>
      </c>
      <c r="F90" s="2">
        <v>1603</v>
      </c>
      <c r="G90" s="55"/>
      <c r="H90" s="55"/>
      <c r="I90" s="7">
        <v>42930</v>
      </c>
      <c r="J90" s="2">
        <v>2049</v>
      </c>
      <c r="K90" s="55"/>
      <c r="L90" s="55"/>
      <c r="M90" s="7">
        <v>42932</v>
      </c>
      <c r="N90" s="2">
        <v>3436</v>
      </c>
      <c r="O90" s="55"/>
      <c r="P90" s="55"/>
      <c r="Q90" s="7">
        <v>42934</v>
      </c>
      <c r="R90" s="4">
        <v>8268</v>
      </c>
      <c r="S90" s="55"/>
      <c r="T90" s="55"/>
      <c r="U90" s="7">
        <v>42936</v>
      </c>
      <c r="V90" s="2">
        <v>11739</v>
      </c>
      <c r="W90" s="55"/>
      <c r="X90" s="55"/>
      <c r="Y90" s="7">
        <v>42938</v>
      </c>
      <c r="Z90" s="2">
        <v>18788</v>
      </c>
      <c r="AA90" s="55"/>
      <c r="AB90" s="55"/>
      <c r="AC90" s="7">
        <v>42940</v>
      </c>
      <c r="AH90" s="2">
        <f>(7283-833)*20</f>
        <v>129000</v>
      </c>
      <c r="AI90" s="55"/>
      <c r="AJ90" s="55"/>
      <c r="AK90" s="7">
        <v>42944</v>
      </c>
      <c r="AL90" s="2">
        <f>(10824-251)*20</f>
        <v>211460</v>
      </c>
      <c r="AM90" s="55"/>
      <c r="AN90" s="55"/>
      <c r="AO90" s="7">
        <v>42946</v>
      </c>
      <c r="AP90" s="2">
        <f>9665*20</f>
        <v>193300</v>
      </c>
      <c r="AQ90" s="55"/>
      <c r="AR90" s="55"/>
      <c r="AS90" s="7">
        <v>42948</v>
      </c>
      <c r="AT90" s="2">
        <f>10034*20</f>
        <v>200680</v>
      </c>
      <c r="AU90" s="55"/>
      <c r="AV90" s="55"/>
      <c r="AW90" s="7">
        <v>41489</v>
      </c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</row>
    <row r="91" spans="1:101" x14ac:dyDescent="0.2">
      <c r="A91" s="20" t="s">
        <v>168</v>
      </c>
      <c r="B91" s="18">
        <f>(innoculationdensity!$D$29*6.5)/1000</f>
        <v>1140.49</v>
      </c>
      <c r="C91" s="55"/>
      <c r="D91" s="55"/>
      <c r="E91" s="7">
        <v>42928</v>
      </c>
      <c r="F91" s="2">
        <v>1639</v>
      </c>
      <c r="G91" s="55"/>
      <c r="H91" s="55"/>
      <c r="I91" s="7">
        <v>42930</v>
      </c>
      <c r="J91" s="2">
        <v>2016</v>
      </c>
      <c r="K91" s="55"/>
      <c r="L91" s="55"/>
      <c r="M91" s="7">
        <v>42932</v>
      </c>
      <c r="N91" s="2">
        <v>3630</v>
      </c>
      <c r="O91" s="55"/>
      <c r="P91" s="55"/>
      <c r="Q91" s="7">
        <v>42934</v>
      </c>
      <c r="R91" s="4">
        <v>8336</v>
      </c>
      <c r="S91" s="55"/>
      <c r="T91" s="55"/>
      <c r="U91" s="7">
        <v>42936</v>
      </c>
      <c r="V91" s="2">
        <v>11312</v>
      </c>
      <c r="W91" s="55"/>
      <c r="X91" s="55"/>
      <c r="Y91" s="7">
        <v>42938</v>
      </c>
      <c r="Z91" s="2">
        <v>18847</v>
      </c>
      <c r="AA91" s="55"/>
      <c r="AB91" s="55"/>
      <c r="AC91" s="7">
        <v>42940</v>
      </c>
      <c r="AI91" s="55"/>
      <c r="AJ91" s="55"/>
      <c r="AK91" s="7">
        <v>42944</v>
      </c>
      <c r="AL91" s="2">
        <f>(10203-251)*20</f>
        <v>199040</v>
      </c>
      <c r="AM91" s="55"/>
      <c r="AN91" s="55"/>
      <c r="AO91" s="7">
        <v>42946</v>
      </c>
      <c r="AP91" s="2">
        <f>9736*20</f>
        <v>194720</v>
      </c>
      <c r="AQ91" s="55"/>
      <c r="AR91" s="55"/>
      <c r="AS91" s="7">
        <v>42948</v>
      </c>
      <c r="AT91" s="2">
        <f>10045*20</f>
        <v>200900</v>
      </c>
      <c r="AU91" s="55"/>
      <c r="AV91" s="55"/>
      <c r="AW91" s="7">
        <v>41489</v>
      </c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</row>
    <row r="92" spans="1:101" x14ac:dyDescent="0.2">
      <c r="A92" s="20" t="s">
        <v>169</v>
      </c>
      <c r="B92" s="18">
        <f>(innoculationdensity!$D$29*6.5)/1000</f>
        <v>1140.49</v>
      </c>
      <c r="C92" s="56">
        <f t="shared" ref="C92" si="171">AVERAGE(B92:B100)</f>
        <v>1140.49</v>
      </c>
      <c r="D92" s="56">
        <f t="shared" ref="D92" si="172">(STDEV(B92:B100))</f>
        <v>0</v>
      </c>
      <c r="E92" s="7">
        <v>42928</v>
      </c>
      <c r="F92" s="2">
        <v>1466</v>
      </c>
      <c r="G92" s="56">
        <f t="shared" ref="G92" si="173">AVERAGE(F92:F100)</f>
        <v>1299.7777777777778</v>
      </c>
      <c r="H92" s="56">
        <f t="shared" ref="H92" si="174">(STDEV(F92:F100))</f>
        <v>163.09106181653394</v>
      </c>
      <c r="I92" s="7">
        <v>42930</v>
      </c>
      <c r="J92" s="2">
        <v>1533</v>
      </c>
      <c r="K92" s="56">
        <f t="shared" ref="K92" si="175">AVERAGE(J92:J100)</f>
        <v>1457.7777777777778</v>
      </c>
      <c r="L92" s="56">
        <f t="shared" ref="L92" si="176">(STDEV(J92:J100))</f>
        <v>132.27412613373957</v>
      </c>
      <c r="M92" s="7">
        <v>42932</v>
      </c>
      <c r="N92" s="2">
        <v>1580</v>
      </c>
      <c r="O92" s="56">
        <f t="shared" ref="O92" si="177">AVERAGE(N92:N100)</f>
        <v>1492.7777777777778</v>
      </c>
      <c r="P92" s="56">
        <f t="shared" ref="P92" si="178">(STDEV(N92:N100))</f>
        <v>221.62342936712378</v>
      </c>
      <c r="Q92" s="7">
        <v>42934</v>
      </c>
      <c r="R92" s="4">
        <v>2086</v>
      </c>
      <c r="S92" s="54">
        <f t="shared" ref="S92" si="179">AVERAGE(R92:R100)</f>
        <v>1723.3333333333333</v>
      </c>
      <c r="T92" s="56">
        <f t="shared" ref="T92" si="180">(STDEV(R92:R100))</f>
        <v>266.38130565037778</v>
      </c>
      <c r="U92" s="7">
        <v>42936</v>
      </c>
      <c r="V92" s="2">
        <v>2017</v>
      </c>
      <c r="W92" s="54">
        <f t="shared" ref="W92" si="181">AVERAGE(V92:V100)</f>
        <v>1841.3333333333333</v>
      </c>
      <c r="X92" s="56">
        <f t="shared" ref="X92" si="182">(STDEV(V92:V100))</f>
        <v>258.4095586467343</v>
      </c>
      <c r="Y92" s="7">
        <v>42938</v>
      </c>
      <c r="Z92" s="2">
        <v>2441</v>
      </c>
      <c r="AA92" s="54">
        <f t="shared" ref="AA92" si="183">AVERAGE(Z92:Z100)</f>
        <v>2050.6666666666665</v>
      </c>
      <c r="AB92" s="56">
        <f t="shared" ref="AB92" si="184">(STDEV(Z92:Z100))</f>
        <v>321.26468838015796</v>
      </c>
      <c r="AC92" s="7">
        <v>42940</v>
      </c>
      <c r="AH92" s="2">
        <f>3517-833</f>
        <v>2684</v>
      </c>
      <c r="AI92" s="54">
        <f t="shared" ref="AI92" si="185">AVERAGE(AH92:AH100)</f>
        <v>2056.8333333333335</v>
      </c>
      <c r="AJ92" s="56">
        <f t="shared" ref="AJ92" si="186">(STDEV(AH92:AH100))</f>
        <v>525.44739666941587</v>
      </c>
      <c r="AK92" s="7">
        <v>42944</v>
      </c>
      <c r="AL92" s="2">
        <f>2336-251</f>
        <v>2085</v>
      </c>
      <c r="AM92" s="54">
        <f t="shared" ref="AM92" si="187">AVERAGE(AL92:AL100)</f>
        <v>2431.4444444444443</v>
      </c>
      <c r="AN92" s="56">
        <f t="shared" ref="AN92" si="188">(STDEV(AL92:AL100))</f>
        <v>648.60872471604785</v>
      </c>
      <c r="AO92" s="7">
        <v>42946</v>
      </c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</row>
    <row r="93" spans="1:101" x14ac:dyDescent="0.2">
      <c r="A93" s="20" t="s">
        <v>170</v>
      </c>
      <c r="B93" s="18">
        <f>(innoculationdensity!$D$29*6.5)/1000</f>
        <v>1140.49</v>
      </c>
      <c r="C93" s="55"/>
      <c r="D93" s="55"/>
      <c r="E93" s="7">
        <v>42928</v>
      </c>
      <c r="F93" s="2">
        <v>1465</v>
      </c>
      <c r="G93" s="55"/>
      <c r="H93" s="55"/>
      <c r="I93" s="7">
        <v>42930</v>
      </c>
      <c r="J93" s="2">
        <v>1456</v>
      </c>
      <c r="K93" s="55"/>
      <c r="L93" s="55"/>
      <c r="M93" s="7">
        <v>42932</v>
      </c>
      <c r="N93" s="2">
        <v>1617</v>
      </c>
      <c r="O93" s="55"/>
      <c r="P93" s="55"/>
      <c r="Q93" s="7">
        <v>42934</v>
      </c>
      <c r="R93" s="4">
        <v>2006</v>
      </c>
      <c r="S93" s="55"/>
      <c r="T93" s="55"/>
      <c r="U93" s="7">
        <v>42936</v>
      </c>
      <c r="V93" s="2">
        <v>1869</v>
      </c>
      <c r="W93" s="55"/>
      <c r="X93" s="55"/>
      <c r="Y93" s="7">
        <v>42938</v>
      </c>
      <c r="Z93" s="2">
        <v>2344</v>
      </c>
      <c r="AA93" s="55"/>
      <c r="AB93" s="55"/>
      <c r="AC93" s="7">
        <v>42940</v>
      </c>
      <c r="AH93" s="2">
        <f>3502-833</f>
        <v>2669</v>
      </c>
      <c r="AI93" s="55"/>
      <c r="AJ93" s="55"/>
      <c r="AK93" s="7">
        <v>42944</v>
      </c>
      <c r="AL93" s="2">
        <f>2319-251</f>
        <v>2068</v>
      </c>
      <c r="AM93" s="55"/>
      <c r="AN93" s="55"/>
      <c r="AO93" s="7">
        <v>42946</v>
      </c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</row>
    <row r="94" spans="1:101" x14ac:dyDescent="0.2">
      <c r="A94" s="20" t="s">
        <v>171</v>
      </c>
      <c r="B94" s="18">
        <f>(innoculationdensity!$D$29*6.5)/1000</f>
        <v>1140.49</v>
      </c>
      <c r="C94" s="55"/>
      <c r="D94" s="55"/>
      <c r="E94" s="7">
        <v>42928</v>
      </c>
      <c r="F94" s="2">
        <v>1424</v>
      </c>
      <c r="G94" s="55"/>
      <c r="H94" s="55"/>
      <c r="I94" s="7">
        <v>42930</v>
      </c>
      <c r="J94" s="2">
        <v>1478</v>
      </c>
      <c r="K94" s="55"/>
      <c r="L94" s="55"/>
      <c r="M94" s="7">
        <v>42932</v>
      </c>
      <c r="N94" s="2">
        <v>1533</v>
      </c>
      <c r="O94" s="55"/>
      <c r="P94" s="55"/>
      <c r="Q94" s="7">
        <v>42934</v>
      </c>
      <c r="R94" s="4">
        <v>2125</v>
      </c>
      <c r="S94" s="55"/>
      <c r="T94" s="55"/>
      <c r="U94" s="7">
        <v>42936</v>
      </c>
      <c r="V94" s="2">
        <v>1971</v>
      </c>
      <c r="W94" s="55"/>
      <c r="X94" s="55"/>
      <c r="Y94" s="7">
        <v>42938</v>
      </c>
      <c r="Z94" s="2">
        <v>2173</v>
      </c>
      <c r="AA94" s="55"/>
      <c r="AB94" s="55"/>
      <c r="AC94" s="7">
        <v>42940</v>
      </c>
      <c r="AI94" s="55"/>
      <c r="AJ94" s="55"/>
      <c r="AK94" s="7">
        <v>42944</v>
      </c>
      <c r="AL94" s="2">
        <f>2298-251</f>
        <v>2047</v>
      </c>
      <c r="AM94" s="55"/>
      <c r="AN94" s="55"/>
      <c r="AO94" s="7">
        <v>42946</v>
      </c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</row>
    <row r="95" spans="1:101" x14ac:dyDescent="0.2">
      <c r="A95" s="20" t="s">
        <v>172</v>
      </c>
      <c r="B95" s="18">
        <f>(innoculationdensity!$D$29*6.5)/1000</f>
        <v>1140.49</v>
      </c>
      <c r="C95" s="55"/>
      <c r="D95" s="55"/>
      <c r="E95" s="7">
        <v>42928</v>
      </c>
      <c r="F95" s="2">
        <v>1145</v>
      </c>
      <c r="G95" s="55"/>
      <c r="H95" s="55"/>
      <c r="I95" s="7">
        <v>42930</v>
      </c>
      <c r="J95" s="2">
        <v>1305</v>
      </c>
      <c r="K95" s="55"/>
      <c r="L95" s="55"/>
      <c r="M95" s="7">
        <v>42932</v>
      </c>
      <c r="N95" s="2">
        <v>1251</v>
      </c>
      <c r="O95" s="55"/>
      <c r="P95" s="55"/>
      <c r="Q95" s="7">
        <v>42934</v>
      </c>
      <c r="R95" s="4">
        <v>1540</v>
      </c>
      <c r="S95" s="55"/>
      <c r="T95" s="55"/>
      <c r="U95" s="7">
        <v>42936</v>
      </c>
      <c r="V95" s="2">
        <v>1451</v>
      </c>
      <c r="W95" s="55"/>
      <c r="X95" s="55"/>
      <c r="Y95" s="7">
        <v>42938</v>
      </c>
      <c r="Z95" s="2">
        <v>1640</v>
      </c>
      <c r="AA95" s="55"/>
      <c r="AB95" s="55"/>
      <c r="AC95" s="7">
        <v>42940</v>
      </c>
      <c r="AH95" s="2">
        <f>2361-833</f>
        <v>1528</v>
      </c>
      <c r="AI95" s="55"/>
      <c r="AJ95" s="55"/>
      <c r="AK95" s="7">
        <v>42944</v>
      </c>
      <c r="AL95" s="2">
        <f>2201-251</f>
        <v>1950</v>
      </c>
      <c r="AM95" s="55"/>
      <c r="AN95" s="55"/>
      <c r="AO95" s="7">
        <v>42946</v>
      </c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</row>
    <row r="96" spans="1:101" x14ac:dyDescent="0.2">
      <c r="A96" s="20" t="s">
        <v>173</v>
      </c>
      <c r="B96" s="18">
        <f>(innoculationdensity!$D$29*6.5)/1000</f>
        <v>1140.49</v>
      </c>
      <c r="C96" s="55"/>
      <c r="D96" s="55"/>
      <c r="E96" s="7">
        <v>42928</v>
      </c>
      <c r="F96" s="2">
        <v>1079</v>
      </c>
      <c r="G96" s="55"/>
      <c r="H96" s="55"/>
      <c r="I96" s="7">
        <v>42930</v>
      </c>
      <c r="J96" s="2">
        <v>1311</v>
      </c>
      <c r="K96" s="55"/>
      <c r="L96" s="55"/>
      <c r="M96" s="7">
        <v>42932</v>
      </c>
      <c r="N96" s="2">
        <v>1202</v>
      </c>
      <c r="O96" s="55"/>
      <c r="P96" s="55"/>
      <c r="Q96" s="7">
        <v>42934</v>
      </c>
      <c r="R96" s="4">
        <v>1503</v>
      </c>
      <c r="S96" s="55"/>
      <c r="T96" s="55"/>
      <c r="U96" s="7">
        <v>42936</v>
      </c>
      <c r="V96" s="2">
        <v>1573</v>
      </c>
      <c r="W96" s="55"/>
      <c r="X96" s="55"/>
      <c r="Y96" s="7">
        <v>42938</v>
      </c>
      <c r="Z96" s="2">
        <v>1643</v>
      </c>
      <c r="AA96" s="55"/>
      <c r="AB96" s="55"/>
      <c r="AC96" s="7">
        <v>42940</v>
      </c>
      <c r="AH96" s="2">
        <f>2480-833</f>
        <v>1647</v>
      </c>
      <c r="AI96" s="55"/>
      <c r="AJ96" s="55"/>
      <c r="AK96" s="7">
        <v>42944</v>
      </c>
      <c r="AL96" s="2">
        <f>2196-251</f>
        <v>1945</v>
      </c>
      <c r="AM96" s="55"/>
      <c r="AN96" s="55"/>
      <c r="AO96" s="7">
        <v>42946</v>
      </c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</row>
    <row r="97" spans="1:101" x14ac:dyDescent="0.2">
      <c r="A97" s="20" t="s">
        <v>174</v>
      </c>
      <c r="B97" s="18">
        <f>(innoculationdensity!$D$29*6.5)/1000</f>
        <v>1140.49</v>
      </c>
      <c r="C97" s="55"/>
      <c r="D97" s="55"/>
      <c r="E97" s="7">
        <v>42928</v>
      </c>
      <c r="F97" s="2">
        <v>1078</v>
      </c>
      <c r="G97" s="55"/>
      <c r="H97" s="55"/>
      <c r="I97" s="7">
        <v>42930</v>
      </c>
      <c r="J97" s="2">
        <v>1272</v>
      </c>
      <c r="K97" s="55"/>
      <c r="L97" s="55"/>
      <c r="M97" s="7">
        <v>42932</v>
      </c>
      <c r="N97" s="2">
        <v>1175</v>
      </c>
      <c r="O97" s="55"/>
      <c r="P97" s="55"/>
      <c r="Q97" s="7">
        <v>42934</v>
      </c>
      <c r="R97" s="4">
        <v>1636</v>
      </c>
      <c r="S97" s="55"/>
      <c r="T97" s="55"/>
      <c r="U97" s="7">
        <v>42936</v>
      </c>
      <c r="V97" s="2">
        <v>1507</v>
      </c>
      <c r="W97" s="55"/>
      <c r="X97" s="55"/>
      <c r="Y97" s="7">
        <v>42938</v>
      </c>
      <c r="Z97" s="2">
        <v>1636</v>
      </c>
      <c r="AA97" s="55"/>
      <c r="AB97" s="55"/>
      <c r="AC97" s="7">
        <v>42940</v>
      </c>
      <c r="AI97" s="55"/>
      <c r="AJ97" s="55"/>
      <c r="AK97" s="7">
        <v>42944</v>
      </c>
      <c r="AL97" s="2">
        <f>2163-251</f>
        <v>1912</v>
      </c>
      <c r="AM97" s="55"/>
      <c r="AN97" s="55"/>
      <c r="AO97" s="7">
        <v>42946</v>
      </c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</row>
    <row r="98" spans="1:101" x14ac:dyDescent="0.2">
      <c r="A98" s="20" t="s">
        <v>175</v>
      </c>
      <c r="B98" s="18">
        <f>(innoculationdensity!$D$29*6.5)/1000</f>
        <v>1140.49</v>
      </c>
      <c r="C98" s="55"/>
      <c r="D98" s="55"/>
      <c r="E98" s="7">
        <v>42928</v>
      </c>
      <c r="F98" s="2">
        <v>1443</v>
      </c>
      <c r="G98" s="55"/>
      <c r="H98" s="55"/>
      <c r="I98" s="7">
        <v>42930</v>
      </c>
      <c r="J98" s="2">
        <v>1625</v>
      </c>
      <c r="K98" s="55"/>
      <c r="L98" s="55"/>
      <c r="M98" s="7">
        <v>42932</v>
      </c>
      <c r="N98" s="2">
        <v>1747</v>
      </c>
      <c r="O98" s="55"/>
      <c r="P98" s="55"/>
      <c r="Q98" s="7">
        <v>42934</v>
      </c>
      <c r="R98" s="4">
        <v>1575</v>
      </c>
      <c r="S98" s="55"/>
      <c r="T98" s="55"/>
      <c r="U98" s="7">
        <v>42936</v>
      </c>
      <c r="V98" s="2">
        <v>2021</v>
      </c>
      <c r="W98" s="55"/>
      <c r="X98" s="55"/>
      <c r="Y98" s="7">
        <v>42938</v>
      </c>
      <c r="Z98" s="2">
        <v>2249</v>
      </c>
      <c r="AA98" s="55"/>
      <c r="AB98" s="55"/>
      <c r="AC98" s="7">
        <v>42940</v>
      </c>
      <c r="AH98" s="2">
        <f>2495-833</f>
        <v>1662</v>
      </c>
      <c r="AI98" s="55"/>
      <c r="AJ98" s="55"/>
      <c r="AK98" s="7">
        <v>42944</v>
      </c>
      <c r="AL98" s="2">
        <f>3544-251</f>
        <v>3293</v>
      </c>
      <c r="AM98" s="55"/>
      <c r="AN98" s="55"/>
      <c r="AO98" s="7">
        <v>42946</v>
      </c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</row>
    <row r="99" spans="1:101" x14ac:dyDescent="0.2">
      <c r="A99" s="20" t="s">
        <v>176</v>
      </c>
      <c r="B99" s="18">
        <f>(innoculationdensity!$D$29*6.5)/1000</f>
        <v>1140.49</v>
      </c>
      <c r="C99" s="55"/>
      <c r="D99" s="55"/>
      <c r="E99" s="7">
        <v>42928</v>
      </c>
      <c r="F99" s="2">
        <v>1303</v>
      </c>
      <c r="G99" s="55"/>
      <c r="H99" s="55"/>
      <c r="I99" s="7">
        <v>42930</v>
      </c>
      <c r="J99" s="2">
        <v>1544</v>
      </c>
      <c r="K99" s="55"/>
      <c r="L99" s="55"/>
      <c r="M99" s="7">
        <v>42932</v>
      </c>
      <c r="N99" s="2">
        <v>1678</v>
      </c>
      <c r="O99" s="55"/>
      <c r="P99" s="55"/>
      <c r="Q99" s="7">
        <v>42934</v>
      </c>
      <c r="R99" s="4">
        <v>1516</v>
      </c>
      <c r="S99" s="55"/>
      <c r="T99" s="55"/>
      <c r="U99" s="7">
        <v>42936</v>
      </c>
      <c r="V99" s="2">
        <v>2113</v>
      </c>
      <c r="W99" s="55"/>
      <c r="X99" s="55"/>
      <c r="Y99" s="7">
        <v>42938</v>
      </c>
      <c r="Z99" s="2">
        <v>2170</v>
      </c>
      <c r="AA99" s="55"/>
      <c r="AB99" s="55"/>
      <c r="AC99" s="7">
        <v>42940</v>
      </c>
      <c r="AH99" s="2">
        <f>2984-833</f>
        <v>2151</v>
      </c>
      <c r="AI99" s="55"/>
      <c r="AJ99" s="55"/>
      <c r="AK99" s="7">
        <v>42944</v>
      </c>
      <c r="AL99" s="2">
        <f>3596-251</f>
        <v>3345</v>
      </c>
      <c r="AM99" s="55"/>
      <c r="AN99" s="55"/>
      <c r="AO99" s="7">
        <v>42946</v>
      </c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</row>
    <row r="100" spans="1:101" x14ac:dyDescent="0.2">
      <c r="A100" s="20" t="s">
        <v>177</v>
      </c>
      <c r="B100" s="18">
        <f>(innoculationdensity!$D$29*6.5)/1000</f>
        <v>1140.49</v>
      </c>
      <c r="C100" s="55"/>
      <c r="D100" s="55"/>
      <c r="E100" s="7">
        <v>42928</v>
      </c>
      <c r="F100" s="2">
        <v>1295</v>
      </c>
      <c r="G100" s="55"/>
      <c r="H100" s="55"/>
      <c r="I100" s="7">
        <v>42930</v>
      </c>
      <c r="J100" s="2">
        <v>1596</v>
      </c>
      <c r="K100" s="55"/>
      <c r="L100" s="55"/>
      <c r="M100" s="7">
        <v>42932</v>
      </c>
      <c r="N100" s="2">
        <v>1652</v>
      </c>
      <c r="O100" s="55"/>
      <c r="P100" s="55"/>
      <c r="Q100" s="7">
        <v>42934</v>
      </c>
      <c r="R100" s="4">
        <v>1523</v>
      </c>
      <c r="S100" s="55"/>
      <c r="T100" s="55"/>
      <c r="U100" s="7">
        <v>42936</v>
      </c>
      <c r="V100" s="2">
        <v>2050</v>
      </c>
      <c r="W100" s="55"/>
      <c r="X100" s="55"/>
      <c r="Y100" s="7">
        <v>42938</v>
      </c>
      <c r="Z100" s="2">
        <v>2160</v>
      </c>
      <c r="AA100" s="55"/>
      <c r="AB100" s="55"/>
      <c r="AC100" s="7">
        <v>42940</v>
      </c>
      <c r="AI100" s="55"/>
      <c r="AJ100" s="55"/>
      <c r="AK100" s="7">
        <v>42944</v>
      </c>
      <c r="AL100" s="2">
        <f>3489-251</f>
        <v>3238</v>
      </c>
      <c r="AM100" s="55"/>
      <c r="AN100" s="55"/>
      <c r="AO100" s="7">
        <v>42946</v>
      </c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</row>
    <row r="101" spans="1:101" x14ac:dyDescent="0.2">
      <c r="A101" s="20" t="s">
        <v>178</v>
      </c>
      <c r="B101" s="18">
        <f>(innoculationdensity!$D$32*3)/1000</f>
        <v>1235.76</v>
      </c>
      <c r="C101" s="56">
        <f t="shared" ref="C101" si="189">AVERAGE(B101:B109)</f>
        <v>1235.76</v>
      </c>
      <c r="D101" s="56">
        <f t="shared" ref="D101" si="190">(STDEV(B101:B109))</f>
        <v>0</v>
      </c>
      <c r="E101" s="7">
        <v>42928</v>
      </c>
      <c r="F101" s="2">
        <v>1422</v>
      </c>
      <c r="G101" s="56">
        <f t="shared" ref="G101" si="191">AVERAGE(F101:F109)</f>
        <v>1461.4444444444443</v>
      </c>
      <c r="H101" s="56">
        <f t="shared" ref="H101" si="192">(STDEV(F101:F109))</f>
        <v>211.36349679587056</v>
      </c>
      <c r="I101" s="7">
        <v>42930</v>
      </c>
      <c r="J101" s="2">
        <v>2305</v>
      </c>
      <c r="K101" s="56">
        <f t="shared" ref="K101" si="193">AVERAGE(J101:J109)</f>
        <v>1961.1111111111111</v>
      </c>
      <c r="L101" s="56">
        <f t="shared" ref="L101" si="194">(STDEV(J101:J109))</f>
        <v>336.92523074283264</v>
      </c>
      <c r="M101" s="7">
        <v>42932</v>
      </c>
      <c r="N101" s="2">
        <v>3080</v>
      </c>
      <c r="O101" s="56">
        <f t="shared" ref="O101" si="195">AVERAGE(N101:N109)</f>
        <v>2711.1111111111113</v>
      </c>
      <c r="P101" s="56">
        <f t="shared" ref="P101" si="196">(STDEV(N101:N109))</f>
        <v>481.22511479671448</v>
      </c>
      <c r="Q101" s="7">
        <v>42934</v>
      </c>
      <c r="R101" s="4">
        <v>5290</v>
      </c>
      <c r="S101" s="54">
        <f t="shared" ref="S101" si="197">AVERAGE(R101:R109)</f>
        <v>4370.1111111111113</v>
      </c>
      <c r="T101" s="56">
        <f t="shared" ref="T101" si="198">(STDEV(R101:R109))</f>
        <v>950.29645959095944</v>
      </c>
      <c r="U101" s="7">
        <v>42936</v>
      </c>
      <c r="V101" s="2">
        <v>6243</v>
      </c>
      <c r="W101" s="54">
        <f t="shared" ref="W101" si="199">AVERAGE(V101:V109)</f>
        <v>5770.5555555555557</v>
      </c>
      <c r="X101" s="56">
        <f t="shared" ref="X101" si="200">(STDEV(V101:V109))</f>
        <v>1050.4557476532632</v>
      </c>
      <c r="Y101" s="7">
        <v>42938</v>
      </c>
      <c r="Z101" s="2">
        <v>6176</v>
      </c>
      <c r="AA101" s="54">
        <f t="shared" ref="AA101" si="201">AVERAGE(Z101:Z109)</f>
        <v>6998.333333333333</v>
      </c>
      <c r="AB101" s="56">
        <f t="shared" ref="AB101" si="202">(STDEV(Z101:Z109))</f>
        <v>1614.8070318152568</v>
      </c>
      <c r="AC101" s="7">
        <v>42940</v>
      </c>
      <c r="AH101" s="2">
        <f>15891-833</f>
        <v>15058</v>
      </c>
      <c r="AI101" s="54">
        <f t="shared" ref="AI101" si="203">AVERAGE(AH101:AH109)</f>
        <v>17093.428571428572</v>
      </c>
      <c r="AJ101" s="56">
        <f t="shared" ref="AJ101" si="204">(STDEV(AH101:AH109))</f>
        <v>2968.3212347016847</v>
      </c>
      <c r="AK101" s="7">
        <v>42944</v>
      </c>
      <c r="AL101" s="2">
        <f>23986-251</f>
        <v>23735</v>
      </c>
      <c r="AM101" s="54">
        <f t="shared" ref="AM101" si="205">AVERAGE(AL101:AL109)</f>
        <v>24088.333333333332</v>
      </c>
      <c r="AN101" s="56">
        <f t="shared" ref="AN101" si="206">(STDEV(AL101:AL109))</f>
        <v>3504.4888714333219</v>
      </c>
      <c r="AO101" s="7">
        <v>42946</v>
      </c>
      <c r="AP101" s="2">
        <v>29883</v>
      </c>
      <c r="AQ101" s="54">
        <f t="shared" ref="AQ101" si="207">AVERAGE(AP101:AP109)</f>
        <v>27509.111111111109</v>
      </c>
      <c r="AR101" s="56">
        <f>(STDEV(AP101:AP109))</f>
        <v>3384.6621487396883</v>
      </c>
      <c r="AS101" s="7">
        <v>42948</v>
      </c>
      <c r="AT101" s="2">
        <v>45374</v>
      </c>
      <c r="AU101" s="54">
        <f t="shared" ref="AU101" si="208">AVERAGE(AT101:AT109)</f>
        <v>37880.888888888891</v>
      </c>
      <c r="AV101" s="56">
        <f>(STDEV(AT101:AT109))</f>
        <v>7876.3684595828272</v>
      </c>
      <c r="AW101" s="7">
        <v>42950</v>
      </c>
      <c r="AX101" s="2">
        <v>88289</v>
      </c>
      <c r="AY101" s="54">
        <f t="shared" ref="AY101" si="209">AVERAGE(AX101:AX109)</f>
        <v>60147</v>
      </c>
      <c r="AZ101" s="56">
        <f>(STDEV(AX101:AX109))</f>
        <v>22860.888948157724</v>
      </c>
      <c r="BA101" s="7">
        <v>42952</v>
      </c>
      <c r="BB101" s="2">
        <f>7063*20</f>
        <v>141260</v>
      </c>
      <c r="BC101" s="54">
        <f t="shared" ref="BC101" si="210">AVERAGE(BB101:BB109)</f>
        <v>99997.777777777781</v>
      </c>
      <c r="BD101" s="56">
        <f>(STDEV(BB101:BB109))</f>
        <v>40503.981834437524</v>
      </c>
      <c r="BE101" s="7">
        <v>42954</v>
      </c>
      <c r="BF101" s="2">
        <f>20*12321</f>
        <v>246420</v>
      </c>
      <c r="BG101" s="54">
        <f t="shared" ref="BG101" si="211">AVERAGE(BF101:BF109)</f>
        <v>155777.77777777778</v>
      </c>
      <c r="BH101" s="56">
        <f>(STDEV(BF101:BF109))</f>
        <v>74077.925486911699</v>
      </c>
      <c r="BI101" s="7">
        <v>42956</v>
      </c>
      <c r="BJ101" s="2">
        <f>20*15344</f>
        <v>306880</v>
      </c>
      <c r="BK101" s="54">
        <f t="shared" ref="BK101" si="212">AVERAGE(BJ101:BJ109)</f>
        <v>204488.88888888888</v>
      </c>
      <c r="BL101" s="56">
        <f>(STDEV(BJ101:BJ109))</f>
        <v>86117.545315174386</v>
      </c>
      <c r="BM101" s="7">
        <v>42958</v>
      </c>
      <c r="BN101" s="2">
        <f>17327*20</f>
        <v>346540</v>
      </c>
      <c r="BO101" s="54">
        <f t="shared" ref="BO101" si="213">AVERAGE(BN101:BN109)</f>
        <v>262997.77777777775</v>
      </c>
      <c r="BP101" s="56">
        <f>(STDEV(BN101:BN109))</f>
        <v>74153.013050343696</v>
      </c>
      <c r="BQ101" s="7">
        <v>42960</v>
      </c>
      <c r="BR101" s="2">
        <f>20517*20</f>
        <v>410340</v>
      </c>
      <c r="BS101" s="54">
        <f t="shared" ref="BS101" si="214">AVERAGE(BR101:BR109)</f>
        <v>344153.33333333331</v>
      </c>
      <c r="BT101" s="56">
        <f>(STDEV(BR101:BR109))</f>
        <v>60699.142498061701</v>
      </c>
      <c r="BU101" s="7">
        <v>42962</v>
      </c>
      <c r="BV101" s="2">
        <f>19894*20</f>
        <v>397880</v>
      </c>
      <c r="BW101" s="54">
        <f t="shared" ref="BW101" si="215">AVERAGE(BV101:BV109)</f>
        <v>353791.11111111112</v>
      </c>
      <c r="BX101" s="56">
        <f>(STDEV(BV101:BV109))</f>
        <v>66424.966775385852</v>
      </c>
      <c r="BY101" s="7">
        <v>42964</v>
      </c>
      <c r="BZ101" s="2">
        <f>20154*20</f>
        <v>403080</v>
      </c>
      <c r="CA101" s="54">
        <f t="shared" ref="CA101" si="216">AVERAGE(BZ101:BZ109)</f>
        <v>368184.44444444444</v>
      </c>
      <c r="CB101" s="56">
        <f>(STDEV(BZ101:BZ109))</f>
        <v>59977.844891074332</v>
      </c>
      <c r="CC101" s="7">
        <v>42966</v>
      </c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</row>
    <row r="102" spans="1:101" x14ac:dyDescent="0.2">
      <c r="A102" s="20" t="s">
        <v>180</v>
      </c>
      <c r="B102" s="18">
        <f>(innoculationdensity!$D$32*3)/1000</f>
        <v>1235.76</v>
      </c>
      <c r="C102" s="55"/>
      <c r="D102" s="55"/>
      <c r="E102" s="7">
        <v>42928</v>
      </c>
      <c r="F102" s="2">
        <v>1408</v>
      </c>
      <c r="G102" s="55"/>
      <c r="H102" s="55"/>
      <c r="I102" s="7">
        <v>42930</v>
      </c>
      <c r="J102" s="2">
        <v>2183</v>
      </c>
      <c r="K102" s="55"/>
      <c r="L102" s="55"/>
      <c r="M102" s="7">
        <v>42932</v>
      </c>
      <c r="N102" s="2">
        <v>2976</v>
      </c>
      <c r="O102" s="55"/>
      <c r="P102" s="55"/>
      <c r="Q102" s="7">
        <v>42934</v>
      </c>
      <c r="R102" s="4">
        <v>5231</v>
      </c>
      <c r="S102" s="55"/>
      <c r="T102" s="55"/>
      <c r="U102" s="7">
        <v>42936</v>
      </c>
      <c r="V102" s="2">
        <v>5800</v>
      </c>
      <c r="W102" s="55"/>
      <c r="X102" s="55"/>
      <c r="Y102" s="7">
        <v>42938</v>
      </c>
      <c r="Z102" s="2">
        <v>5957</v>
      </c>
      <c r="AA102" s="55"/>
      <c r="AB102" s="55"/>
      <c r="AC102" s="7">
        <v>42940</v>
      </c>
      <c r="AH102" s="2">
        <f>15467-833</f>
        <v>14634</v>
      </c>
      <c r="AI102" s="55"/>
      <c r="AJ102" s="55"/>
      <c r="AK102" s="7">
        <v>42944</v>
      </c>
      <c r="AL102" s="2">
        <f>22974-251</f>
        <v>22723</v>
      </c>
      <c r="AM102" s="55"/>
      <c r="AN102" s="55"/>
      <c r="AO102" s="7">
        <v>42946</v>
      </c>
      <c r="AP102" s="2">
        <v>29380</v>
      </c>
      <c r="AQ102" s="55"/>
      <c r="AR102" s="55"/>
      <c r="AS102" s="7">
        <v>42948</v>
      </c>
      <c r="AT102" s="2">
        <v>45902</v>
      </c>
      <c r="AU102" s="55"/>
      <c r="AV102" s="55"/>
      <c r="AW102" s="7">
        <v>42950</v>
      </c>
      <c r="AX102" s="2">
        <v>88389</v>
      </c>
      <c r="AY102" s="55"/>
      <c r="AZ102" s="55"/>
      <c r="BA102" s="7">
        <v>42952</v>
      </c>
      <c r="BB102" s="2">
        <f>7452*20</f>
        <v>149040</v>
      </c>
      <c r="BC102" s="55"/>
      <c r="BD102" s="55"/>
      <c r="BE102" s="7">
        <v>42954</v>
      </c>
      <c r="BF102" s="2">
        <f>20*12374</f>
        <v>247480</v>
      </c>
      <c r="BG102" s="55"/>
      <c r="BH102" s="55"/>
      <c r="BI102" s="7">
        <v>42956</v>
      </c>
      <c r="BJ102" s="2">
        <f>20*14893</f>
        <v>297860</v>
      </c>
      <c r="BK102" s="55"/>
      <c r="BL102" s="55"/>
      <c r="BM102" s="7">
        <v>42958</v>
      </c>
      <c r="BN102" s="2">
        <f>16952*20</f>
        <v>339040</v>
      </c>
      <c r="BO102" s="55"/>
      <c r="BP102" s="55"/>
      <c r="BQ102" s="7">
        <v>42960</v>
      </c>
      <c r="BR102" s="2">
        <f>20136*20</f>
        <v>402720</v>
      </c>
      <c r="BS102" s="55"/>
      <c r="BT102" s="55"/>
      <c r="BU102" s="7">
        <v>42962</v>
      </c>
      <c r="BV102" s="2">
        <f>19985*20</f>
        <v>399700</v>
      </c>
      <c r="BW102" s="55"/>
      <c r="BX102" s="55"/>
      <c r="BY102" s="7">
        <v>42964</v>
      </c>
      <c r="BZ102" s="2">
        <f>20036*20</f>
        <v>400720</v>
      </c>
      <c r="CA102" s="55"/>
      <c r="CB102" s="55"/>
      <c r="CC102" s="7">
        <v>42966</v>
      </c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</row>
    <row r="103" spans="1:101" x14ac:dyDescent="0.2">
      <c r="A103" s="20" t="s">
        <v>179</v>
      </c>
      <c r="B103" s="18">
        <f>(innoculationdensity!$D$32*3)/1000</f>
        <v>1235.76</v>
      </c>
      <c r="C103" s="55"/>
      <c r="D103" s="55"/>
      <c r="E103" s="7">
        <v>42928</v>
      </c>
      <c r="F103" s="2">
        <v>1374</v>
      </c>
      <c r="G103" s="55"/>
      <c r="H103" s="55"/>
      <c r="I103" s="7">
        <v>42930</v>
      </c>
      <c r="J103" s="2">
        <v>2225</v>
      </c>
      <c r="K103" s="55"/>
      <c r="L103" s="55"/>
      <c r="M103" s="7">
        <v>42932</v>
      </c>
      <c r="N103" s="2">
        <v>3028</v>
      </c>
      <c r="O103" s="55"/>
      <c r="P103" s="55"/>
      <c r="Q103" s="7">
        <v>42934</v>
      </c>
      <c r="R103" s="4">
        <v>5199</v>
      </c>
      <c r="S103" s="55"/>
      <c r="T103" s="55"/>
      <c r="U103" s="7">
        <v>42936</v>
      </c>
      <c r="V103" s="2">
        <v>5781</v>
      </c>
      <c r="W103" s="55"/>
      <c r="X103" s="55"/>
      <c r="Y103" s="7">
        <v>42938</v>
      </c>
      <c r="Z103" s="2">
        <v>6083</v>
      </c>
      <c r="AA103" s="55"/>
      <c r="AB103" s="55"/>
      <c r="AC103" s="7">
        <v>42940</v>
      </c>
      <c r="AI103" s="55"/>
      <c r="AJ103" s="55"/>
      <c r="AK103" s="7">
        <v>42944</v>
      </c>
      <c r="AL103" s="2">
        <f>23486-251</f>
        <v>23235</v>
      </c>
      <c r="AM103" s="55"/>
      <c r="AN103" s="55"/>
      <c r="AO103" s="7">
        <v>42946</v>
      </c>
      <c r="AP103" s="2">
        <v>29455</v>
      </c>
      <c r="AQ103" s="55"/>
      <c r="AR103" s="55"/>
      <c r="AS103" s="7">
        <v>42948</v>
      </c>
      <c r="AT103" s="2">
        <v>45882</v>
      </c>
      <c r="AU103" s="55"/>
      <c r="AV103" s="55"/>
      <c r="AW103" s="7">
        <v>42950</v>
      </c>
      <c r="AX103" s="2">
        <v>86416</v>
      </c>
      <c r="AY103" s="55"/>
      <c r="AZ103" s="55"/>
      <c r="BA103" s="7">
        <v>42952</v>
      </c>
      <c r="BB103" s="2">
        <f>7619*20</f>
        <v>152380</v>
      </c>
      <c r="BC103" s="55"/>
      <c r="BD103" s="55"/>
      <c r="BE103" s="7">
        <v>42954</v>
      </c>
      <c r="BF103" s="2">
        <f>20*12387</f>
        <v>247740</v>
      </c>
      <c r="BG103" s="55"/>
      <c r="BH103" s="55"/>
      <c r="BI103" s="7">
        <v>42956</v>
      </c>
      <c r="BJ103" s="2">
        <f>20*15239</f>
        <v>304780</v>
      </c>
      <c r="BK103" s="55"/>
      <c r="BL103" s="55"/>
      <c r="BM103" s="7">
        <v>42958</v>
      </c>
      <c r="BN103" s="2">
        <f>17183*20</f>
        <v>343660</v>
      </c>
      <c r="BO103" s="55"/>
      <c r="BP103" s="55"/>
      <c r="BQ103" s="7">
        <v>42960</v>
      </c>
      <c r="BR103" s="2">
        <f>20159*20</f>
        <v>403180</v>
      </c>
      <c r="BS103" s="55"/>
      <c r="BT103" s="55"/>
      <c r="BU103" s="7">
        <v>42962</v>
      </c>
      <c r="BV103" s="2">
        <f>19956*20</f>
        <v>399120</v>
      </c>
      <c r="BW103" s="55"/>
      <c r="BX103" s="55"/>
      <c r="BY103" s="7">
        <v>42964</v>
      </c>
      <c r="BZ103" s="2">
        <f>20466*20</f>
        <v>409320</v>
      </c>
      <c r="CA103" s="55"/>
      <c r="CB103" s="55"/>
      <c r="CC103" s="7">
        <v>42966</v>
      </c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</row>
    <row r="104" spans="1:101" x14ac:dyDescent="0.2">
      <c r="A104" s="20" t="s">
        <v>181</v>
      </c>
      <c r="B104" s="18">
        <f>(innoculationdensity!$D$32*3)/1000</f>
        <v>1235.76</v>
      </c>
      <c r="C104" s="55"/>
      <c r="D104" s="55"/>
      <c r="E104" s="7">
        <v>42928</v>
      </c>
      <c r="F104" s="2">
        <v>1757</v>
      </c>
      <c r="G104" s="55"/>
      <c r="H104" s="55"/>
      <c r="I104" s="7">
        <v>42930</v>
      </c>
      <c r="J104" s="2">
        <v>2128</v>
      </c>
      <c r="K104" s="55"/>
      <c r="L104" s="55"/>
      <c r="M104" s="7">
        <v>42932</v>
      </c>
      <c r="N104" s="2">
        <v>3045</v>
      </c>
      <c r="O104" s="55"/>
      <c r="P104" s="55"/>
      <c r="Q104" s="7">
        <v>42934</v>
      </c>
      <c r="R104" s="4">
        <v>4755</v>
      </c>
      <c r="S104" s="55"/>
      <c r="T104" s="55"/>
      <c r="U104" s="7">
        <v>42936</v>
      </c>
      <c r="V104" s="2">
        <v>6999</v>
      </c>
      <c r="W104" s="55"/>
      <c r="X104" s="55"/>
      <c r="Y104" s="7">
        <v>42938</v>
      </c>
      <c r="Z104" s="2">
        <v>9075</v>
      </c>
      <c r="AA104" s="55"/>
      <c r="AB104" s="55"/>
      <c r="AC104" s="7">
        <v>42940</v>
      </c>
      <c r="AH104" s="2">
        <f>21555-833</f>
        <v>20722</v>
      </c>
      <c r="AI104" s="55"/>
      <c r="AJ104" s="55"/>
      <c r="AK104" s="7">
        <v>42944</v>
      </c>
      <c r="AL104" s="2">
        <f>28954-251</f>
        <v>28703</v>
      </c>
      <c r="AM104" s="55"/>
      <c r="AN104" s="55"/>
      <c r="AO104" s="7">
        <v>42946</v>
      </c>
      <c r="AP104" s="2">
        <v>29682</v>
      </c>
      <c r="AQ104" s="55"/>
      <c r="AR104" s="55"/>
      <c r="AS104" s="7">
        <v>42948</v>
      </c>
      <c r="AT104" s="2">
        <v>39976</v>
      </c>
      <c r="AU104" s="55"/>
      <c r="AV104" s="55"/>
      <c r="AW104" s="7">
        <v>42950</v>
      </c>
      <c r="AX104" s="2">
        <v>57830</v>
      </c>
      <c r="AY104" s="55"/>
      <c r="AZ104" s="55"/>
      <c r="BA104" s="7">
        <v>42952</v>
      </c>
      <c r="BB104" s="2">
        <f>4969*20</f>
        <v>99380</v>
      </c>
      <c r="BC104" s="55"/>
      <c r="BD104" s="55"/>
      <c r="BE104" s="7">
        <v>42954</v>
      </c>
      <c r="BF104" s="2">
        <f>7094*20</f>
        <v>141880</v>
      </c>
      <c r="BG104" s="55"/>
      <c r="BH104" s="55"/>
      <c r="BI104" s="7">
        <v>42956</v>
      </c>
      <c r="BJ104" s="2">
        <f>20*10491</f>
        <v>209820</v>
      </c>
      <c r="BK104" s="55"/>
      <c r="BL104" s="55"/>
      <c r="BM104" s="7">
        <v>42958</v>
      </c>
      <c r="BN104" s="2">
        <f>13872*20</f>
        <v>277440</v>
      </c>
      <c r="BO104" s="55"/>
      <c r="BP104" s="55"/>
      <c r="BQ104" s="7">
        <v>42960</v>
      </c>
      <c r="BR104" s="2">
        <f>18146*20</f>
        <v>362920</v>
      </c>
      <c r="BS104" s="55"/>
      <c r="BT104" s="55"/>
      <c r="BU104" s="7">
        <v>42962</v>
      </c>
      <c r="BV104" s="2">
        <f>19866*20</f>
        <v>397320</v>
      </c>
      <c r="BW104" s="55"/>
      <c r="BX104" s="55"/>
      <c r="BY104" s="7">
        <v>42964</v>
      </c>
      <c r="BZ104" s="2">
        <f>20593*20</f>
        <v>411860</v>
      </c>
      <c r="CA104" s="55"/>
      <c r="CB104" s="55"/>
      <c r="CC104" s="7">
        <v>42966</v>
      </c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</row>
    <row r="105" spans="1:101" x14ac:dyDescent="0.2">
      <c r="A105" s="20" t="s">
        <v>182</v>
      </c>
      <c r="B105" s="18">
        <f>(innoculationdensity!$D$32*3)/1000</f>
        <v>1235.76</v>
      </c>
      <c r="C105" s="55"/>
      <c r="D105" s="55"/>
      <c r="E105" s="7">
        <v>42928</v>
      </c>
      <c r="F105" s="2">
        <v>1664</v>
      </c>
      <c r="G105" s="55"/>
      <c r="H105" s="55"/>
      <c r="I105" s="7">
        <v>42930</v>
      </c>
      <c r="J105" s="2">
        <v>2162</v>
      </c>
      <c r="K105" s="55"/>
      <c r="L105" s="55"/>
      <c r="M105" s="7">
        <v>42932</v>
      </c>
      <c r="N105" s="2">
        <v>3114</v>
      </c>
      <c r="O105" s="55"/>
      <c r="P105" s="55"/>
      <c r="Q105" s="7">
        <v>42934</v>
      </c>
      <c r="R105" s="4">
        <v>4713</v>
      </c>
      <c r="S105" s="55"/>
      <c r="T105" s="55"/>
      <c r="U105" s="7">
        <v>42936</v>
      </c>
      <c r="V105" s="2">
        <v>6974</v>
      </c>
      <c r="W105" s="55"/>
      <c r="X105" s="55"/>
      <c r="Y105" s="7">
        <v>42938</v>
      </c>
      <c r="Z105" s="2">
        <v>9193</v>
      </c>
      <c r="AA105" s="55"/>
      <c r="AB105" s="55"/>
      <c r="AC105" s="7">
        <v>42940</v>
      </c>
      <c r="AH105" s="2">
        <f>20794-833</f>
        <v>19961</v>
      </c>
      <c r="AI105" s="55"/>
      <c r="AJ105" s="55"/>
      <c r="AK105" s="7">
        <v>42944</v>
      </c>
      <c r="AL105" s="2">
        <f>28761-251</f>
        <v>28510</v>
      </c>
      <c r="AM105" s="55"/>
      <c r="AN105" s="55"/>
      <c r="AO105" s="7">
        <v>42946</v>
      </c>
      <c r="AP105" s="2">
        <v>29885</v>
      </c>
      <c r="AQ105" s="55"/>
      <c r="AR105" s="55"/>
      <c r="AS105" s="7">
        <v>42948</v>
      </c>
      <c r="AT105" s="2">
        <v>40201</v>
      </c>
      <c r="AU105" s="55"/>
      <c r="AV105" s="55"/>
      <c r="AW105" s="7">
        <v>42950</v>
      </c>
      <c r="AX105" s="2">
        <v>57200</v>
      </c>
      <c r="AY105" s="55"/>
      <c r="AZ105" s="55"/>
      <c r="BA105" s="7">
        <v>42952</v>
      </c>
      <c r="BB105" s="2">
        <f>4918*20</f>
        <v>98360</v>
      </c>
      <c r="BC105" s="55"/>
      <c r="BD105" s="55"/>
      <c r="BE105" s="7">
        <v>42954</v>
      </c>
      <c r="BF105" s="2">
        <f>7199*20</f>
        <v>143980</v>
      </c>
      <c r="BG105" s="55"/>
      <c r="BH105" s="55"/>
      <c r="BI105" s="7">
        <v>42956</v>
      </c>
      <c r="BJ105" s="2">
        <f>20*10151</f>
        <v>203020</v>
      </c>
      <c r="BK105" s="55"/>
      <c r="BL105" s="55"/>
      <c r="BM105" s="7">
        <v>42958</v>
      </c>
      <c r="BN105" s="2">
        <f>13646*20</f>
        <v>272920</v>
      </c>
      <c r="BO105" s="55"/>
      <c r="BP105" s="55"/>
      <c r="BQ105" s="7">
        <v>42960</v>
      </c>
      <c r="BR105" s="2">
        <f>17967*20</f>
        <v>359340</v>
      </c>
      <c r="BS105" s="55"/>
      <c r="BT105" s="55"/>
      <c r="BU105" s="7">
        <v>42962</v>
      </c>
      <c r="BV105" s="2">
        <f>20088*20</f>
        <v>401760</v>
      </c>
      <c r="BW105" s="55"/>
      <c r="BX105" s="55"/>
      <c r="BY105" s="7">
        <v>42964</v>
      </c>
      <c r="BZ105" s="2">
        <f>20510*20</f>
        <v>410200</v>
      </c>
      <c r="CA105" s="55"/>
      <c r="CB105" s="55"/>
      <c r="CC105" s="7">
        <v>42966</v>
      </c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</row>
    <row r="106" spans="1:101" x14ac:dyDescent="0.2">
      <c r="A106" s="20" t="s">
        <v>183</v>
      </c>
      <c r="B106" s="18">
        <f>(innoculationdensity!$D$32*3)/1000</f>
        <v>1235.76</v>
      </c>
      <c r="C106" s="55"/>
      <c r="D106" s="55"/>
      <c r="E106" s="7">
        <v>42928</v>
      </c>
      <c r="F106" s="2">
        <v>1758</v>
      </c>
      <c r="G106" s="55"/>
      <c r="H106" s="55"/>
      <c r="I106" s="7">
        <v>42930</v>
      </c>
      <c r="J106" s="2">
        <v>2088</v>
      </c>
      <c r="K106" s="55"/>
      <c r="L106" s="55"/>
      <c r="M106" s="7">
        <v>42932</v>
      </c>
      <c r="N106" s="2">
        <v>2937</v>
      </c>
      <c r="O106" s="55"/>
      <c r="P106" s="55"/>
      <c r="Q106" s="7">
        <v>42934</v>
      </c>
      <c r="R106" s="4">
        <v>4728</v>
      </c>
      <c r="S106" s="55"/>
      <c r="T106" s="55"/>
      <c r="U106" s="7">
        <v>42936</v>
      </c>
      <c r="V106" s="2">
        <v>6642</v>
      </c>
      <c r="W106" s="55"/>
      <c r="X106" s="55"/>
      <c r="Y106" s="7">
        <v>42938</v>
      </c>
      <c r="Z106" s="2">
        <v>9153</v>
      </c>
      <c r="AA106" s="55"/>
      <c r="AB106" s="55"/>
      <c r="AC106" s="7">
        <v>42940</v>
      </c>
      <c r="AH106" s="2">
        <f>20888-833</f>
        <v>20055</v>
      </c>
      <c r="AI106" s="55"/>
      <c r="AJ106" s="55"/>
      <c r="AK106" s="7">
        <v>42944</v>
      </c>
      <c r="AL106" s="2">
        <f>28478-251</f>
        <v>28227</v>
      </c>
      <c r="AM106" s="55"/>
      <c r="AN106" s="55"/>
      <c r="AO106" s="7">
        <v>42946</v>
      </c>
      <c r="AP106" s="2">
        <v>30261</v>
      </c>
      <c r="AQ106" s="55"/>
      <c r="AR106" s="55"/>
      <c r="AS106" s="7">
        <v>42948</v>
      </c>
      <c r="AT106" s="2">
        <v>39855</v>
      </c>
      <c r="AU106" s="55"/>
      <c r="AV106" s="55"/>
      <c r="AW106" s="7">
        <v>42950</v>
      </c>
      <c r="AX106" s="2">
        <v>57886</v>
      </c>
      <c r="AY106" s="55"/>
      <c r="AZ106" s="55"/>
      <c r="BA106" s="7">
        <v>42952</v>
      </c>
      <c r="BB106" s="2">
        <f>4811*20</f>
        <v>96220</v>
      </c>
      <c r="BC106" s="55"/>
      <c r="BD106" s="55"/>
      <c r="BE106" s="7">
        <v>42954</v>
      </c>
      <c r="BF106" s="2">
        <f>7066*20</f>
        <v>141320</v>
      </c>
      <c r="BG106" s="55"/>
      <c r="BH106" s="55"/>
      <c r="BI106" s="7">
        <v>42956</v>
      </c>
      <c r="BJ106" s="2">
        <f>20*10237</f>
        <v>204740</v>
      </c>
      <c r="BK106" s="55"/>
      <c r="BL106" s="55"/>
      <c r="BM106" s="7">
        <v>42958</v>
      </c>
      <c r="BN106" s="2">
        <f>13440*20</f>
        <v>268800</v>
      </c>
      <c r="BO106" s="55"/>
      <c r="BP106" s="55"/>
      <c r="BQ106" s="7">
        <v>42960</v>
      </c>
      <c r="BR106" s="2">
        <f>17748*20</f>
        <v>354960</v>
      </c>
      <c r="BS106" s="55"/>
      <c r="BT106" s="55"/>
      <c r="BU106" s="7">
        <v>42962</v>
      </c>
      <c r="BV106" s="2">
        <f>19622*20</f>
        <v>392440</v>
      </c>
      <c r="BW106" s="55"/>
      <c r="BX106" s="55"/>
      <c r="BY106" s="7">
        <v>42964</v>
      </c>
      <c r="BZ106" s="2">
        <f>20665*20</f>
        <v>413300</v>
      </c>
      <c r="CA106" s="55"/>
      <c r="CB106" s="55"/>
      <c r="CC106" s="7">
        <v>42966</v>
      </c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</row>
    <row r="107" spans="1:101" x14ac:dyDescent="0.2">
      <c r="A107" s="20" t="s">
        <v>184</v>
      </c>
      <c r="B107" s="18">
        <f>(innoculationdensity!$D$32*3)/1000</f>
        <v>1235.76</v>
      </c>
      <c r="C107" s="55"/>
      <c r="D107" s="55"/>
      <c r="E107" s="7">
        <v>42928</v>
      </c>
      <c r="F107" s="2">
        <v>1249</v>
      </c>
      <c r="G107" s="55"/>
      <c r="H107" s="55"/>
      <c r="I107" s="7">
        <v>42930</v>
      </c>
      <c r="J107" s="2">
        <v>1484</v>
      </c>
      <c r="K107" s="55"/>
      <c r="L107" s="55"/>
      <c r="M107" s="7">
        <v>42932</v>
      </c>
      <c r="N107" s="2">
        <v>2081</v>
      </c>
      <c r="O107" s="55"/>
      <c r="P107" s="55"/>
      <c r="Q107" s="7">
        <v>42934</v>
      </c>
      <c r="R107" s="4">
        <v>3191</v>
      </c>
      <c r="S107" s="55"/>
      <c r="T107" s="55"/>
      <c r="U107" s="7">
        <v>42936</v>
      </c>
      <c r="V107" s="2">
        <v>4572</v>
      </c>
      <c r="W107" s="55"/>
      <c r="X107" s="55"/>
      <c r="Y107" s="7">
        <v>42938</v>
      </c>
      <c r="Z107" s="2">
        <v>5968</v>
      </c>
      <c r="AA107" s="55"/>
      <c r="AB107" s="55"/>
      <c r="AC107" s="7">
        <v>42940</v>
      </c>
      <c r="AH107" s="2">
        <f>15760-833</f>
        <v>14927</v>
      </c>
      <c r="AI107" s="55"/>
      <c r="AJ107" s="55"/>
      <c r="AK107" s="7">
        <v>42944</v>
      </c>
      <c r="AL107" s="2">
        <f>20920-251</f>
        <v>20669</v>
      </c>
      <c r="AM107" s="55"/>
      <c r="AN107" s="55"/>
      <c r="AO107" s="7">
        <v>42946</v>
      </c>
      <c r="AP107" s="2">
        <v>23271</v>
      </c>
      <c r="AQ107" s="55"/>
      <c r="AR107" s="55"/>
      <c r="AS107" s="7">
        <v>42948</v>
      </c>
      <c r="AT107" s="2">
        <v>27800</v>
      </c>
      <c r="AU107" s="55"/>
      <c r="AV107" s="55"/>
      <c r="AW107" s="7">
        <v>42950</v>
      </c>
      <c r="AX107" s="2">
        <v>34411</v>
      </c>
      <c r="AY107" s="55"/>
      <c r="AZ107" s="55"/>
      <c r="BA107" s="7">
        <v>42952</v>
      </c>
      <c r="BB107" s="2">
        <f>2679*20</f>
        <v>53580</v>
      </c>
      <c r="BC107" s="55"/>
      <c r="BD107" s="55"/>
      <c r="BE107" s="7">
        <v>42954</v>
      </c>
      <c r="BF107" s="2">
        <f>3909*20</f>
        <v>78180</v>
      </c>
      <c r="BG107" s="55"/>
      <c r="BH107" s="55"/>
      <c r="BI107" s="7">
        <v>42956</v>
      </c>
      <c r="BJ107" s="2">
        <f>20*5315</f>
        <v>106300</v>
      </c>
      <c r="BK107" s="55"/>
      <c r="BL107" s="55"/>
      <c r="BM107" s="7">
        <v>42958</v>
      </c>
      <c r="BN107" s="2">
        <f>8740*20</f>
        <v>174800</v>
      </c>
      <c r="BO107" s="55"/>
      <c r="BP107" s="55"/>
      <c r="BQ107" s="7">
        <v>42960</v>
      </c>
      <c r="BR107" s="2">
        <f>13712*20</f>
        <v>274240</v>
      </c>
      <c r="BS107" s="55"/>
      <c r="BT107" s="55"/>
      <c r="BU107" s="7">
        <v>42962</v>
      </c>
      <c r="BV107" s="2">
        <f>13290*20</f>
        <v>265800</v>
      </c>
      <c r="BW107" s="55"/>
      <c r="BX107" s="55"/>
      <c r="BY107" s="7">
        <v>42964</v>
      </c>
      <c r="BZ107" s="2">
        <f>14480*20</f>
        <v>289600</v>
      </c>
      <c r="CA107" s="55"/>
      <c r="CB107" s="55"/>
      <c r="CC107" s="7">
        <v>42966</v>
      </c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</row>
    <row r="108" spans="1:101" x14ac:dyDescent="0.2">
      <c r="A108" s="20" t="s">
        <v>185</v>
      </c>
      <c r="B108" s="18">
        <f>(innoculationdensity!$D$32*3)/1000</f>
        <v>1235.76</v>
      </c>
      <c r="C108" s="55"/>
      <c r="D108" s="55"/>
      <c r="E108" s="7">
        <v>42928</v>
      </c>
      <c r="F108" s="2">
        <v>1221</v>
      </c>
      <c r="G108" s="55"/>
      <c r="H108" s="55"/>
      <c r="I108" s="7">
        <v>42930</v>
      </c>
      <c r="J108" s="2">
        <v>1528</v>
      </c>
      <c r="K108" s="55"/>
      <c r="L108" s="55"/>
      <c r="M108" s="7">
        <v>42932</v>
      </c>
      <c r="N108" s="2">
        <v>2089</v>
      </c>
      <c r="O108" s="55"/>
      <c r="P108" s="55"/>
      <c r="Q108" s="7">
        <v>42934</v>
      </c>
      <c r="R108" s="4">
        <v>3125</v>
      </c>
      <c r="S108" s="55"/>
      <c r="T108" s="55"/>
      <c r="U108" s="7">
        <v>42936</v>
      </c>
      <c r="V108" s="2">
        <v>4575</v>
      </c>
      <c r="W108" s="55"/>
      <c r="X108" s="55"/>
      <c r="Y108" s="7">
        <v>42938</v>
      </c>
      <c r="Z108" s="2">
        <v>5637</v>
      </c>
      <c r="AA108" s="55"/>
      <c r="AB108" s="55"/>
      <c r="AC108" s="7">
        <v>42940</v>
      </c>
      <c r="AH108" s="2">
        <f>15130-833</f>
        <v>14297</v>
      </c>
      <c r="AI108" s="55"/>
      <c r="AJ108" s="55"/>
      <c r="AK108" s="7">
        <v>42944</v>
      </c>
      <c r="AL108" s="2">
        <f>20567-251</f>
        <v>20316</v>
      </c>
      <c r="AM108" s="55"/>
      <c r="AN108" s="55"/>
      <c r="AO108" s="7">
        <v>42946</v>
      </c>
      <c r="AP108" s="2">
        <v>22800</v>
      </c>
      <c r="AQ108" s="55"/>
      <c r="AR108" s="55"/>
      <c r="AS108" s="7">
        <v>42948</v>
      </c>
      <c r="AT108" s="2">
        <v>28039</v>
      </c>
      <c r="AU108" s="55"/>
      <c r="AV108" s="55"/>
      <c r="AW108" s="7">
        <v>42950</v>
      </c>
      <c r="AX108" s="2">
        <v>35567</v>
      </c>
      <c r="AY108" s="55"/>
      <c r="AZ108" s="55"/>
      <c r="BA108" s="7">
        <v>42952</v>
      </c>
      <c r="BB108" s="2">
        <f>2937*20</f>
        <v>58740</v>
      </c>
      <c r="BC108" s="55"/>
      <c r="BD108" s="55"/>
      <c r="BE108" s="7">
        <v>42954</v>
      </c>
      <c r="BF108" s="2">
        <f>3896*20</f>
        <v>77920</v>
      </c>
      <c r="BG108" s="55"/>
      <c r="BH108" s="55"/>
      <c r="BI108" s="7">
        <v>42956</v>
      </c>
      <c r="BJ108" s="2">
        <f>20*5158</f>
        <v>103160</v>
      </c>
      <c r="BK108" s="55"/>
      <c r="BL108" s="55"/>
      <c r="BM108" s="7">
        <v>42958</v>
      </c>
      <c r="BN108" s="2">
        <f>8571*20</f>
        <v>171420</v>
      </c>
      <c r="BO108" s="55"/>
      <c r="BP108" s="55"/>
      <c r="BQ108" s="7">
        <v>42960</v>
      </c>
      <c r="BR108" s="2">
        <f>13362*20</f>
        <v>267240</v>
      </c>
      <c r="BS108" s="55"/>
      <c r="BT108" s="55"/>
      <c r="BU108" s="7">
        <v>42962</v>
      </c>
      <c r="BV108" s="2">
        <f>13365*20</f>
        <v>267300</v>
      </c>
      <c r="BW108" s="55"/>
      <c r="BX108" s="55"/>
      <c r="BY108" s="7">
        <v>42964</v>
      </c>
      <c r="BZ108" s="2">
        <f>14394*20</f>
        <v>287880</v>
      </c>
      <c r="CA108" s="55"/>
      <c r="CB108" s="55"/>
      <c r="CC108" s="7">
        <v>42966</v>
      </c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</row>
    <row r="109" spans="1:101" x14ac:dyDescent="0.2">
      <c r="A109" s="20" t="s">
        <v>186</v>
      </c>
      <c r="B109" s="18">
        <f>(innoculationdensity!$D$32*3)/1000</f>
        <v>1235.76</v>
      </c>
      <c r="C109" s="55"/>
      <c r="D109" s="55"/>
      <c r="E109" s="7">
        <v>42928</v>
      </c>
      <c r="F109" s="2">
        <v>1300</v>
      </c>
      <c r="G109" s="55"/>
      <c r="H109" s="55"/>
      <c r="I109" s="7">
        <v>42930</v>
      </c>
      <c r="J109" s="2">
        <v>1547</v>
      </c>
      <c r="K109" s="55"/>
      <c r="L109" s="55"/>
      <c r="M109" s="7">
        <v>42932</v>
      </c>
      <c r="N109" s="2">
        <v>2050</v>
      </c>
      <c r="O109" s="55"/>
      <c r="P109" s="55"/>
      <c r="Q109" s="7">
        <v>42934</v>
      </c>
      <c r="R109" s="4">
        <v>3099</v>
      </c>
      <c r="S109" s="55"/>
      <c r="T109" s="55"/>
      <c r="U109" s="7">
        <v>42936</v>
      </c>
      <c r="V109" s="2">
        <v>4349</v>
      </c>
      <c r="W109" s="55"/>
      <c r="X109" s="55"/>
      <c r="Y109" s="7">
        <v>42938</v>
      </c>
      <c r="Z109" s="2">
        <v>5743</v>
      </c>
      <c r="AA109" s="55"/>
      <c r="AB109" s="55"/>
      <c r="AC109" s="7">
        <v>42940</v>
      </c>
      <c r="AI109" s="55"/>
      <c r="AJ109" s="55"/>
      <c r="AK109" s="7">
        <v>42944</v>
      </c>
      <c r="AL109" s="2">
        <f>20928-251</f>
        <v>20677</v>
      </c>
      <c r="AM109" s="55"/>
      <c r="AN109" s="55"/>
      <c r="AO109" s="7">
        <v>42946</v>
      </c>
      <c r="AP109" s="2">
        <v>22965</v>
      </c>
      <c r="AQ109" s="55"/>
      <c r="AR109" s="55"/>
      <c r="AS109" s="7">
        <v>42948</v>
      </c>
      <c r="AT109" s="2">
        <v>27899</v>
      </c>
      <c r="AU109" s="55"/>
      <c r="AV109" s="55"/>
      <c r="AW109" s="7">
        <v>42950</v>
      </c>
      <c r="AX109" s="2">
        <v>35335</v>
      </c>
      <c r="AY109" s="55"/>
      <c r="AZ109" s="55"/>
      <c r="BA109" s="7">
        <v>42952</v>
      </c>
      <c r="BB109" s="2">
        <f>2551*20</f>
        <v>51020</v>
      </c>
      <c r="BC109" s="55"/>
      <c r="BD109" s="55"/>
      <c r="BE109" s="7">
        <v>42954</v>
      </c>
      <c r="BF109" s="2">
        <f>3854*20</f>
        <v>77080</v>
      </c>
      <c r="BG109" s="55"/>
      <c r="BH109" s="55"/>
      <c r="BI109" s="7">
        <v>42956</v>
      </c>
      <c r="BJ109" s="2">
        <f>20*5192</f>
        <v>103840</v>
      </c>
      <c r="BK109" s="55"/>
      <c r="BL109" s="55"/>
      <c r="BM109" s="7">
        <v>42958</v>
      </c>
      <c r="BN109" s="2">
        <f>8618*20</f>
        <v>172360</v>
      </c>
      <c r="BO109" s="55"/>
      <c r="BP109" s="55"/>
      <c r="BQ109" s="7">
        <v>42960</v>
      </c>
      <c r="BR109" s="2">
        <f>13122*20</f>
        <v>262440</v>
      </c>
      <c r="BS109" s="55"/>
      <c r="BT109" s="55"/>
      <c r="BU109" s="7">
        <v>42962</v>
      </c>
      <c r="BV109" s="2">
        <f>13140*20</f>
        <v>262800</v>
      </c>
      <c r="BW109" s="55"/>
      <c r="BX109" s="55"/>
      <c r="BY109" s="7">
        <v>42964</v>
      </c>
      <c r="BZ109" s="2">
        <f>14385*20</f>
        <v>287700</v>
      </c>
      <c r="CA109" s="55"/>
      <c r="CB109" s="55"/>
      <c r="CC109" s="7">
        <v>42966</v>
      </c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</row>
    <row r="110" spans="1:101" x14ac:dyDescent="0.2">
      <c r="A110" s="20" t="s">
        <v>198</v>
      </c>
      <c r="B110" s="18">
        <v>928</v>
      </c>
      <c r="C110" s="56">
        <f t="shared" ref="C110" si="217">AVERAGE(B110:B118)</f>
        <v>843</v>
      </c>
      <c r="D110" s="56">
        <f t="shared" ref="D110" si="218">(STDEV(B110:B118))</f>
        <v>133.65908124777755</v>
      </c>
      <c r="E110" s="7">
        <v>42932</v>
      </c>
      <c r="F110" s="2">
        <v>803</v>
      </c>
      <c r="G110" s="56">
        <f t="shared" ref="G110" si="219">AVERAGE(F110:F118)</f>
        <v>796.55555555555554</v>
      </c>
      <c r="H110" s="56">
        <f t="shared" ref="H110" si="220">(STDEV(F110:F118))</f>
        <v>51.286233803797465</v>
      </c>
      <c r="I110" s="7">
        <v>42934</v>
      </c>
      <c r="J110" s="2">
        <v>1010</v>
      </c>
      <c r="K110" s="56">
        <f t="shared" ref="K110" si="221">AVERAGE(J110:J118)</f>
        <v>992.77777777777783</v>
      </c>
      <c r="L110" s="56">
        <f t="shared" ref="L110" si="222">(STDEV(J110:J118))</f>
        <v>230.04389677721184</v>
      </c>
      <c r="M110" s="7">
        <v>42936</v>
      </c>
      <c r="N110" s="2">
        <v>1143</v>
      </c>
      <c r="O110" s="56">
        <f t="shared" ref="O110" si="223">AVERAGE(N110:N118)</f>
        <v>1433.5555555555557</v>
      </c>
      <c r="P110" s="56">
        <f t="shared" ref="P110" si="224">(STDEV(N110:N118))</f>
        <v>437.53231626678502</v>
      </c>
      <c r="Q110" s="7">
        <v>42938</v>
      </c>
      <c r="R110" s="4">
        <v>1553</v>
      </c>
      <c r="S110" s="54">
        <f t="shared" ref="S110" si="225">AVERAGE(R110:R118)</f>
        <v>2003.2222222222222</v>
      </c>
      <c r="T110" s="56">
        <f t="shared" ref="T110" si="226">(STDEV(R110:R118))</f>
        <v>822.49814251732141</v>
      </c>
      <c r="U110" s="7">
        <v>42940</v>
      </c>
      <c r="Z110" s="2">
        <f>3976-833</f>
        <v>3143</v>
      </c>
      <c r="AA110" s="54">
        <f t="shared" ref="AA110" si="227">AVERAGE(Z110:Z118)</f>
        <v>4705.5714285714284</v>
      </c>
      <c r="AB110" s="56">
        <f t="shared" ref="AB110" si="228">(STDEV(Z110:Z118))</f>
        <v>2750.2018627210409</v>
      </c>
      <c r="AC110" s="7">
        <v>42944</v>
      </c>
      <c r="AD110" s="2">
        <f>5222-251</f>
        <v>4971</v>
      </c>
      <c r="AE110" s="54">
        <f t="shared" ref="AE110" si="229">AVERAGE(AD110:AD118)</f>
        <v>7666.1111111111113</v>
      </c>
      <c r="AF110" s="56">
        <f t="shared" ref="AF110" si="230">(STDEV(AD110:AD118))</f>
        <v>4818.3623629933763</v>
      </c>
      <c r="AG110" s="7">
        <v>42946</v>
      </c>
      <c r="AH110" s="2">
        <v>6853</v>
      </c>
      <c r="AI110" s="54">
        <f t="shared" ref="AI110" si="231">AVERAGE(AH110:AH118)</f>
        <v>8794</v>
      </c>
      <c r="AJ110" s="56">
        <f t="shared" ref="AJ110" si="232">(STDEV(AH110:AH118))</f>
        <v>4926.9877968186611</v>
      </c>
      <c r="AK110" s="7">
        <v>42948</v>
      </c>
      <c r="AL110" s="2">
        <v>9000</v>
      </c>
      <c r="AM110" s="54">
        <f t="shared" ref="AM110" si="233">AVERAGE(AL110:AL118)</f>
        <v>13029.777777777777</v>
      </c>
      <c r="AN110" s="56">
        <f t="shared" ref="AN110" si="234">(STDEV(AL110:AL118))</f>
        <v>8171.8388655457748</v>
      </c>
      <c r="AO110" s="7">
        <v>42950</v>
      </c>
      <c r="AP110" s="2">
        <v>15478</v>
      </c>
      <c r="AQ110" s="54">
        <f t="shared" ref="AQ110" si="235">AVERAGE(AP110:AP118)</f>
        <v>21826.555555555555</v>
      </c>
      <c r="AR110" s="56">
        <f t="shared" ref="AR110" si="236">(STDEV(AP110:AP118))</f>
        <v>13968.060898985865</v>
      </c>
      <c r="AS110" s="7">
        <v>42952</v>
      </c>
      <c r="AT110" s="2">
        <v>21641</v>
      </c>
      <c r="AU110" s="54">
        <f t="shared" ref="AU110" si="237">AVERAGE(AT110:AT118)</f>
        <v>32316.111111111109</v>
      </c>
      <c r="AV110" s="56">
        <f>(STDEV(AT110:AT118))</f>
        <v>21774.417216336955</v>
      </c>
      <c r="AW110" s="7">
        <v>42954</v>
      </c>
      <c r="AX110" s="2">
        <v>33626</v>
      </c>
      <c r="AY110" s="54">
        <f t="shared" ref="AY110" si="238">AVERAGE(AX110:AX118)</f>
        <v>49290.888888888891</v>
      </c>
      <c r="AZ110" s="56">
        <f>(STDEV(AX110:AX118))</f>
        <v>34078.076047674862</v>
      </c>
      <c r="BA110" s="7">
        <v>42956</v>
      </c>
      <c r="BB110" s="2">
        <v>49875</v>
      </c>
      <c r="BC110" s="54">
        <f t="shared" ref="BC110" si="239">AVERAGE(BB110:BB118)</f>
        <v>80751.222222222219</v>
      </c>
      <c r="BD110" s="56">
        <f>(STDEV(BB110:BB118))</f>
        <v>62399.376761266169</v>
      </c>
      <c r="BE110" s="7">
        <v>42958</v>
      </c>
      <c r="BF110" s="2">
        <f>4010*20</f>
        <v>80200</v>
      </c>
      <c r="BG110" s="54">
        <f t="shared" ref="BG110" si="240">AVERAGE(BF110:BF118)</f>
        <v>126886.66666666667</v>
      </c>
      <c r="BH110" s="56">
        <f>(STDEV(BF110:BF118))</f>
        <v>100532.76729504664</v>
      </c>
      <c r="BI110" s="7">
        <v>42960</v>
      </c>
      <c r="BJ110" s="2">
        <f>5752*20</f>
        <v>115040</v>
      </c>
      <c r="BK110" s="54">
        <f t="shared" ref="BK110" si="241">AVERAGE(BJ110:BJ118)</f>
        <v>204117.77777777778</v>
      </c>
      <c r="BL110" s="56">
        <f>(STDEV(BJ110:BJ118))</f>
        <v>174590.71780723179</v>
      </c>
      <c r="BM110" s="7">
        <v>42962</v>
      </c>
      <c r="BN110" s="2">
        <f>9176*20</f>
        <v>183520</v>
      </c>
      <c r="BO110" s="54">
        <f t="shared" ref="BO110" si="242">AVERAGE(BN110:BN118)</f>
        <v>286724.44444444444</v>
      </c>
      <c r="BP110" s="56">
        <f>(STDEV(BN110:BN118))</f>
        <v>227710.33019557493</v>
      </c>
      <c r="BQ110" s="7">
        <v>42964</v>
      </c>
      <c r="BR110" s="2">
        <f>12966*20</f>
        <v>259320</v>
      </c>
      <c r="BS110" s="54">
        <f t="shared" ref="BS110" si="243">AVERAGE(BR110:BR118)</f>
        <v>389337.77777777775</v>
      </c>
      <c r="BT110" s="56">
        <f>(STDEV(BR110:BR118))</f>
        <v>291681.00357144355</v>
      </c>
      <c r="BU110" s="7">
        <v>42966</v>
      </c>
      <c r="BV110" s="2">
        <f>17933*20</f>
        <v>358660</v>
      </c>
      <c r="BW110" s="54">
        <f t="shared" ref="BW110" si="244">AVERAGE(BV110:BV118)</f>
        <v>475844.44444444444</v>
      </c>
      <c r="BX110" s="56">
        <f>(STDEV(BV110:BV118))</f>
        <v>308212.32385772275</v>
      </c>
      <c r="BY110" s="7">
        <v>42968</v>
      </c>
      <c r="BZ110" s="2">
        <f>26579*20</f>
        <v>531580</v>
      </c>
      <c r="CA110" s="54">
        <f t="shared" ref="CA110" si="245">AVERAGE(BZ110:BZ118)</f>
        <v>632182.22222222225</v>
      </c>
      <c r="CB110" s="56">
        <f>(STDEV(BZ110:BZ118))</f>
        <v>337846.22055669717</v>
      </c>
      <c r="CC110" s="7">
        <v>42970</v>
      </c>
      <c r="CD110" s="2">
        <f>32451*20</f>
        <v>649020</v>
      </c>
      <c r="CE110" s="54">
        <f t="shared" ref="CE110" si="246">AVERAGE(CD110:CD118)</f>
        <v>724315.5555555555</v>
      </c>
      <c r="CF110" s="56">
        <f>(STDEV(CD110:CD118))</f>
        <v>291355.2365717456</v>
      </c>
      <c r="CG110" s="7">
        <v>42972</v>
      </c>
      <c r="CH110" s="2">
        <f>39213*20</f>
        <v>784260</v>
      </c>
      <c r="CI110" s="54">
        <f t="shared" ref="CI110" si="247">AVERAGE(CH110:CH118)</f>
        <v>857993.33333333337</v>
      </c>
      <c r="CJ110" s="56">
        <f>(STDEV(CH110:CH118))</f>
        <v>277980.83746906009</v>
      </c>
      <c r="CK110" s="7">
        <v>42974</v>
      </c>
      <c r="CL110" s="2">
        <f>43334*20</f>
        <v>866680</v>
      </c>
      <c r="CM110" s="54">
        <f t="shared" ref="CM110" si="248">AVERAGE(CL110:CL118)</f>
        <v>927224.4444444445</v>
      </c>
      <c r="CN110" s="56">
        <f>(STDEV(CL110:CL118))</f>
        <v>237691.71120966299</v>
      </c>
      <c r="CO110" s="7">
        <v>42976</v>
      </c>
      <c r="CP110" s="2">
        <f>47103*20</f>
        <v>942060</v>
      </c>
      <c r="CQ110" s="54">
        <f t="shared" ref="CQ110" si="249">AVERAGE(CP110:CP118)</f>
        <v>1068297.7777777778</v>
      </c>
      <c r="CR110" s="56">
        <f>(STDEV(CP110:CP118))</f>
        <v>282109.14987721387</v>
      </c>
      <c r="CS110" s="7">
        <v>42978</v>
      </c>
      <c r="CT110" s="2">
        <f>48189*20</f>
        <v>963780</v>
      </c>
      <c r="CU110" s="54">
        <f t="shared" ref="CU110" si="250">AVERAGE(CT110:CT118)</f>
        <v>1059597.7777777778</v>
      </c>
      <c r="CV110" s="56">
        <f>(STDEV(CT110:CT118))</f>
        <v>174179.63785828796</v>
      </c>
      <c r="CW110" s="7">
        <v>42980</v>
      </c>
    </row>
    <row r="111" spans="1:101" x14ac:dyDescent="0.2">
      <c r="A111" s="20" t="s">
        <v>199</v>
      </c>
      <c r="B111" s="18">
        <v>911</v>
      </c>
      <c r="C111" s="55"/>
      <c r="D111" s="55"/>
      <c r="E111" s="7">
        <v>42932</v>
      </c>
      <c r="F111" s="2">
        <v>791</v>
      </c>
      <c r="G111" s="55"/>
      <c r="H111" s="55"/>
      <c r="I111" s="7">
        <v>42934</v>
      </c>
      <c r="J111" s="2">
        <v>1011</v>
      </c>
      <c r="K111" s="55"/>
      <c r="L111" s="55"/>
      <c r="M111" s="7">
        <v>42936</v>
      </c>
      <c r="N111" s="2">
        <v>1024</v>
      </c>
      <c r="O111" s="55"/>
      <c r="P111" s="55"/>
      <c r="Q111" s="7">
        <v>42938</v>
      </c>
      <c r="R111" s="4">
        <v>1519</v>
      </c>
      <c r="S111" s="55"/>
      <c r="T111" s="55"/>
      <c r="U111" s="7">
        <v>42940</v>
      </c>
      <c r="Z111" s="2">
        <f>3833-833</f>
        <v>3000</v>
      </c>
      <c r="AA111" s="55"/>
      <c r="AB111" s="55"/>
      <c r="AC111" s="7">
        <v>42944</v>
      </c>
      <c r="AD111" s="2">
        <f>5330-251</f>
        <v>5079</v>
      </c>
      <c r="AE111" s="55"/>
      <c r="AF111" s="55"/>
      <c r="AG111" s="7">
        <v>42946</v>
      </c>
      <c r="AH111" s="2">
        <v>6346</v>
      </c>
      <c r="AI111" s="55"/>
      <c r="AJ111" s="55"/>
      <c r="AK111" s="7">
        <v>42948</v>
      </c>
      <c r="AL111" s="2">
        <v>8872</v>
      </c>
      <c r="AM111" s="55"/>
      <c r="AN111" s="55"/>
      <c r="AO111" s="7">
        <v>42950</v>
      </c>
      <c r="AP111" s="2">
        <v>14951</v>
      </c>
      <c r="AQ111" s="55"/>
      <c r="AR111" s="55"/>
      <c r="AS111" s="7">
        <v>42952</v>
      </c>
      <c r="AT111" s="2">
        <v>21881</v>
      </c>
      <c r="AU111" s="55"/>
      <c r="AV111" s="55"/>
      <c r="AW111" s="7">
        <v>42954</v>
      </c>
      <c r="AX111" s="2">
        <v>33017</v>
      </c>
      <c r="AY111" s="55"/>
      <c r="AZ111" s="55"/>
      <c r="BA111" s="7">
        <v>42956</v>
      </c>
      <c r="BB111" s="2">
        <v>49652</v>
      </c>
      <c r="BC111" s="55"/>
      <c r="BD111" s="55"/>
      <c r="BE111" s="7">
        <v>42958</v>
      </c>
      <c r="BF111" s="2">
        <f>3896*20</f>
        <v>77920</v>
      </c>
      <c r="BG111" s="55"/>
      <c r="BH111" s="55"/>
      <c r="BI111" s="7">
        <v>42960</v>
      </c>
      <c r="BJ111" s="2">
        <f>5576*20</f>
        <v>111520</v>
      </c>
      <c r="BK111" s="55"/>
      <c r="BL111" s="55"/>
      <c r="BM111" s="7">
        <v>42962</v>
      </c>
      <c r="BN111" s="2">
        <f>9228*20</f>
        <v>184560</v>
      </c>
      <c r="BO111" s="55"/>
      <c r="BP111" s="55"/>
      <c r="BQ111" s="7">
        <v>42964</v>
      </c>
      <c r="BR111" s="2">
        <f>12991*20</f>
        <v>259820</v>
      </c>
      <c r="BS111" s="55"/>
      <c r="BT111" s="55"/>
      <c r="BU111" s="7">
        <v>42966</v>
      </c>
      <c r="BV111" s="2">
        <f>17884*20</f>
        <v>357680</v>
      </c>
      <c r="BW111" s="55"/>
      <c r="BX111" s="55"/>
      <c r="BY111" s="7">
        <v>42968</v>
      </c>
      <c r="BZ111" s="2">
        <f>26849*20</f>
        <v>536980</v>
      </c>
      <c r="CA111" s="55"/>
      <c r="CB111" s="55"/>
      <c r="CC111" s="7">
        <v>42970</v>
      </c>
      <c r="CD111" s="2">
        <f>32664*20</f>
        <v>653280</v>
      </c>
      <c r="CE111" s="55"/>
      <c r="CF111" s="55"/>
      <c r="CG111" s="7">
        <v>42972</v>
      </c>
      <c r="CH111" s="2">
        <f>39635*20</f>
        <v>792700</v>
      </c>
      <c r="CI111" s="55"/>
      <c r="CJ111" s="55"/>
      <c r="CK111" s="7">
        <v>42974</v>
      </c>
      <c r="CL111" s="2">
        <f>43100*20</f>
        <v>862000</v>
      </c>
      <c r="CM111" s="55"/>
      <c r="CN111" s="55"/>
      <c r="CO111" s="7">
        <v>42976</v>
      </c>
      <c r="CP111" s="2">
        <f>47163*20</f>
        <v>943260</v>
      </c>
      <c r="CQ111" s="55"/>
      <c r="CR111" s="55"/>
      <c r="CS111" s="7">
        <v>42978</v>
      </c>
      <c r="CT111" s="2">
        <f>48462*20</f>
        <v>969240</v>
      </c>
      <c r="CU111" s="55"/>
      <c r="CV111" s="55"/>
      <c r="CW111" s="7">
        <v>42980</v>
      </c>
    </row>
    <row r="112" spans="1:101" x14ac:dyDescent="0.2">
      <c r="A112" s="20" t="s">
        <v>200</v>
      </c>
      <c r="B112" s="18">
        <v>865</v>
      </c>
      <c r="C112" s="55"/>
      <c r="D112" s="55"/>
      <c r="E112" s="7">
        <v>42932</v>
      </c>
      <c r="F112" s="2">
        <v>749</v>
      </c>
      <c r="G112" s="55"/>
      <c r="H112" s="55"/>
      <c r="I112" s="7">
        <v>42934</v>
      </c>
      <c r="J112" s="2">
        <v>955</v>
      </c>
      <c r="K112" s="55"/>
      <c r="L112" s="55"/>
      <c r="M112" s="7">
        <v>42936</v>
      </c>
      <c r="N112" s="2">
        <v>1109</v>
      </c>
      <c r="O112" s="55"/>
      <c r="P112" s="55"/>
      <c r="Q112" s="7">
        <v>42938</v>
      </c>
      <c r="R112" s="4">
        <v>1551</v>
      </c>
      <c r="S112" s="55"/>
      <c r="T112" s="55"/>
      <c r="U112" s="7">
        <v>42940</v>
      </c>
      <c r="AA112" s="55"/>
      <c r="AB112" s="55"/>
      <c r="AC112" s="7">
        <v>42944</v>
      </c>
      <c r="AD112" s="2">
        <f>5278-251</f>
        <v>5027</v>
      </c>
      <c r="AE112" s="55"/>
      <c r="AF112" s="55"/>
      <c r="AG112" s="7">
        <v>42946</v>
      </c>
      <c r="AH112" s="2">
        <v>6192</v>
      </c>
      <c r="AI112" s="55"/>
      <c r="AJ112" s="55"/>
      <c r="AK112" s="7">
        <v>42948</v>
      </c>
      <c r="AL112" s="2">
        <v>8940</v>
      </c>
      <c r="AM112" s="55"/>
      <c r="AN112" s="55"/>
      <c r="AO112" s="7">
        <v>42950</v>
      </c>
      <c r="AP112" s="2">
        <v>14941</v>
      </c>
      <c r="AQ112" s="55"/>
      <c r="AR112" s="55"/>
      <c r="AS112" s="7">
        <v>42952</v>
      </c>
      <c r="AT112" s="2">
        <v>22098</v>
      </c>
      <c r="AU112" s="55"/>
      <c r="AV112" s="55"/>
      <c r="AW112" s="7">
        <v>42954</v>
      </c>
      <c r="AX112" s="2">
        <v>33503</v>
      </c>
      <c r="AY112" s="55"/>
      <c r="AZ112" s="55"/>
      <c r="BA112" s="7">
        <v>42956</v>
      </c>
      <c r="BB112" s="2">
        <v>50110</v>
      </c>
      <c r="BC112" s="55"/>
      <c r="BD112" s="55"/>
      <c r="BE112" s="7">
        <v>42958</v>
      </c>
      <c r="BF112" s="2">
        <f>3987*20</f>
        <v>79740</v>
      </c>
      <c r="BG112" s="55"/>
      <c r="BH112" s="55"/>
      <c r="BI112" s="7">
        <v>42960</v>
      </c>
      <c r="BJ112" s="2">
        <f>5736*20</f>
        <v>114720</v>
      </c>
      <c r="BK112" s="55"/>
      <c r="BL112" s="55"/>
      <c r="BM112" s="7">
        <v>42962</v>
      </c>
      <c r="BN112" s="2">
        <f>9109*20</f>
        <v>182180</v>
      </c>
      <c r="BO112" s="55"/>
      <c r="BP112" s="55"/>
      <c r="BQ112" s="7">
        <v>42964</v>
      </c>
      <c r="BR112" s="2">
        <f>13073*20</f>
        <v>261460</v>
      </c>
      <c r="BS112" s="55"/>
      <c r="BT112" s="55"/>
      <c r="BU112" s="7">
        <v>42966</v>
      </c>
      <c r="BV112" s="2">
        <f>18052*20</f>
        <v>361040</v>
      </c>
      <c r="BW112" s="55"/>
      <c r="BX112" s="55"/>
      <c r="BY112" s="7">
        <v>42968</v>
      </c>
      <c r="BZ112" s="2">
        <f>26723*20</f>
        <v>534460</v>
      </c>
      <c r="CA112" s="55"/>
      <c r="CB112" s="55"/>
      <c r="CC112" s="7">
        <v>42970</v>
      </c>
      <c r="CD112" s="2">
        <f>32538*20</f>
        <v>650760</v>
      </c>
      <c r="CE112" s="55"/>
      <c r="CF112" s="55"/>
      <c r="CG112" s="7">
        <v>42972</v>
      </c>
      <c r="CH112" s="2">
        <f>39220*20</f>
        <v>784400</v>
      </c>
      <c r="CI112" s="55"/>
      <c r="CJ112" s="55"/>
      <c r="CK112" s="7">
        <v>42974</v>
      </c>
      <c r="CL112" s="2">
        <f>43299*20</f>
        <v>865980</v>
      </c>
      <c r="CM112" s="55"/>
      <c r="CN112" s="55"/>
      <c r="CO112" s="7">
        <v>42976</v>
      </c>
      <c r="CP112" s="2">
        <f>46976*20</f>
        <v>939520</v>
      </c>
      <c r="CQ112" s="55"/>
      <c r="CR112" s="55"/>
      <c r="CS112" s="7">
        <v>42978</v>
      </c>
      <c r="CT112" s="2">
        <f>48544*20</f>
        <v>970880</v>
      </c>
      <c r="CU112" s="55"/>
      <c r="CV112" s="55"/>
      <c r="CW112" s="7">
        <v>42980</v>
      </c>
    </row>
    <row r="113" spans="1:101" x14ac:dyDescent="0.2">
      <c r="A113" s="20" t="s">
        <v>201</v>
      </c>
      <c r="B113" s="18">
        <v>712</v>
      </c>
      <c r="C113" s="55"/>
      <c r="D113" s="55"/>
      <c r="E113" s="7">
        <v>42932</v>
      </c>
      <c r="F113" s="2">
        <v>743</v>
      </c>
      <c r="G113" s="55"/>
      <c r="H113" s="55"/>
      <c r="I113" s="7">
        <v>42934</v>
      </c>
      <c r="J113" s="2">
        <v>721</v>
      </c>
      <c r="K113" s="55"/>
      <c r="L113" s="55"/>
      <c r="M113" s="7">
        <v>42936</v>
      </c>
      <c r="N113" s="2">
        <v>1206</v>
      </c>
      <c r="O113" s="55"/>
      <c r="P113" s="55"/>
      <c r="Q113" s="7">
        <v>42938</v>
      </c>
      <c r="R113" s="4">
        <v>1375</v>
      </c>
      <c r="S113" s="55"/>
      <c r="T113" s="55"/>
      <c r="U113" s="7">
        <v>42940</v>
      </c>
      <c r="Z113" s="2">
        <f>2809-833</f>
        <v>1976</v>
      </c>
      <c r="AA113" s="55"/>
      <c r="AB113" s="55"/>
      <c r="AC113" s="7">
        <v>42944</v>
      </c>
      <c r="AD113" s="2">
        <f>4335-251</f>
        <v>4084</v>
      </c>
      <c r="AE113" s="55"/>
      <c r="AF113" s="55"/>
      <c r="AG113" s="7">
        <v>42946</v>
      </c>
      <c r="AH113" s="2">
        <v>4750</v>
      </c>
      <c r="AI113" s="55"/>
      <c r="AJ113" s="55"/>
      <c r="AK113" s="7">
        <v>42948</v>
      </c>
      <c r="AL113" s="2">
        <v>6521</v>
      </c>
      <c r="AM113" s="55"/>
      <c r="AN113" s="55"/>
      <c r="AO113" s="7">
        <v>42950</v>
      </c>
      <c r="AP113" s="2">
        <v>10283</v>
      </c>
      <c r="AQ113" s="55"/>
      <c r="AR113" s="55"/>
      <c r="AS113" s="7">
        <v>42952</v>
      </c>
      <c r="AT113" s="2">
        <v>14650</v>
      </c>
      <c r="AU113" s="55"/>
      <c r="AV113" s="55"/>
      <c r="AW113" s="7">
        <v>42954</v>
      </c>
      <c r="AX113" s="2">
        <v>20650</v>
      </c>
      <c r="AY113" s="55"/>
      <c r="AZ113" s="55"/>
      <c r="BA113" s="7">
        <v>42956</v>
      </c>
      <c r="BB113" s="2">
        <v>30257</v>
      </c>
      <c r="BC113" s="55"/>
      <c r="BD113" s="55"/>
      <c r="BE113" s="7">
        <v>42958</v>
      </c>
      <c r="BF113" s="2">
        <f>2082*20</f>
        <v>41640</v>
      </c>
      <c r="BG113" s="55"/>
      <c r="BH113" s="55"/>
      <c r="BI113" s="7">
        <v>42960</v>
      </c>
      <c r="BJ113" s="2">
        <f>3199*20</f>
        <v>63980</v>
      </c>
      <c r="BK113" s="55"/>
      <c r="BL113" s="55"/>
      <c r="BM113" s="7">
        <v>42962</v>
      </c>
      <c r="BN113" s="2">
        <f>4522*20</f>
        <v>90440</v>
      </c>
      <c r="BO113" s="55"/>
      <c r="BP113" s="55"/>
      <c r="BQ113" s="7">
        <v>42964</v>
      </c>
      <c r="BR113" s="2">
        <f>6909*20</f>
        <v>138180</v>
      </c>
      <c r="BS113" s="55"/>
      <c r="BT113" s="55"/>
      <c r="BU113" s="7">
        <v>42966</v>
      </c>
      <c r="BV113" s="2">
        <f>9605*20</f>
        <v>192100</v>
      </c>
      <c r="BW113" s="55"/>
      <c r="BX113" s="55"/>
      <c r="BY113" s="7">
        <v>42968</v>
      </c>
      <c r="BZ113" s="2">
        <f>14909*20</f>
        <v>298180</v>
      </c>
      <c r="CA113" s="55"/>
      <c r="CB113" s="55"/>
      <c r="CC113" s="7">
        <v>42970</v>
      </c>
      <c r="CD113" s="2">
        <f>21590*20</f>
        <v>431800</v>
      </c>
      <c r="CE113" s="55"/>
      <c r="CF113" s="55"/>
      <c r="CG113" s="7">
        <v>42972</v>
      </c>
      <c r="CH113" s="2">
        <f>28874*20</f>
        <v>577480</v>
      </c>
      <c r="CI113" s="55"/>
      <c r="CJ113" s="55"/>
      <c r="CK113" s="7">
        <v>42974</v>
      </c>
      <c r="CL113" s="2">
        <f>34368*20</f>
        <v>687360</v>
      </c>
      <c r="CM113" s="55"/>
      <c r="CN113" s="55"/>
      <c r="CO113" s="7">
        <v>42976</v>
      </c>
      <c r="CP113" s="2">
        <f>41496*20</f>
        <v>829920</v>
      </c>
      <c r="CQ113" s="55"/>
      <c r="CR113" s="55"/>
      <c r="CS113" s="7">
        <v>42978</v>
      </c>
      <c r="CT113" s="2">
        <f>46229*20</f>
        <v>924580</v>
      </c>
      <c r="CU113" s="55"/>
      <c r="CV113" s="55"/>
      <c r="CW113" s="7">
        <v>42980</v>
      </c>
    </row>
    <row r="114" spans="1:101" x14ac:dyDescent="0.2">
      <c r="A114" s="20" t="s">
        <v>202</v>
      </c>
      <c r="B114" s="18">
        <v>655</v>
      </c>
      <c r="C114" s="55"/>
      <c r="D114" s="55"/>
      <c r="E114" s="7">
        <v>42932</v>
      </c>
      <c r="F114" s="2">
        <v>747</v>
      </c>
      <c r="G114" s="55"/>
      <c r="H114" s="55"/>
      <c r="I114" s="7">
        <v>42934</v>
      </c>
      <c r="J114" s="2">
        <v>735</v>
      </c>
      <c r="K114" s="55"/>
      <c r="L114" s="55"/>
      <c r="M114" s="7">
        <v>42936</v>
      </c>
      <c r="N114" s="2">
        <v>1195</v>
      </c>
      <c r="O114" s="55"/>
      <c r="P114" s="55"/>
      <c r="Q114" s="7">
        <v>42938</v>
      </c>
      <c r="R114" s="4">
        <v>1415</v>
      </c>
      <c r="S114" s="55"/>
      <c r="T114" s="55"/>
      <c r="U114" s="7">
        <v>42940</v>
      </c>
      <c r="Z114" s="2">
        <f>2833-833</f>
        <v>2000</v>
      </c>
      <c r="AA114" s="55"/>
      <c r="AB114" s="55"/>
      <c r="AC114" s="7">
        <v>42944</v>
      </c>
      <c r="AD114" s="2">
        <f>4383-251</f>
        <v>4132</v>
      </c>
      <c r="AE114" s="55"/>
      <c r="AF114" s="55"/>
      <c r="AG114" s="7">
        <v>42946</v>
      </c>
      <c r="AH114" s="2">
        <v>4577</v>
      </c>
      <c r="AI114" s="55"/>
      <c r="AJ114" s="55"/>
      <c r="AK114" s="7">
        <v>42948</v>
      </c>
      <c r="AL114" s="2">
        <v>6245</v>
      </c>
      <c r="AM114" s="55"/>
      <c r="AN114" s="55"/>
      <c r="AO114" s="7">
        <v>42950</v>
      </c>
      <c r="AP114" s="2">
        <v>10202</v>
      </c>
      <c r="AQ114" s="55"/>
      <c r="AR114" s="55"/>
      <c r="AS114" s="7">
        <v>42952</v>
      </c>
      <c r="AT114" s="2">
        <v>14222</v>
      </c>
      <c r="AU114" s="55"/>
      <c r="AV114" s="55"/>
      <c r="AW114" s="7">
        <v>42954</v>
      </c>
      <c r="AX114" s="2">
        <v>20426</v>
      </c>
      <c r="AY114" s="55"/>
      <c r="AZ114" s="55"/>
      <c r="BA114" s="7">
        <v>42956</v>
      </c>
      <c r="BB114" s="2">
        <v>29011</v>
      </c>
      <c r="BC114" s="55"/>
      <c r="BD114" s="55"/>
      <c r="BE114" s="7">
        <v>42958</v>
      </c>
      <c r="BF114" s="2">
        <f>2168*20</f>
        <v>43360</v>
      </c>
      <c r="BG114" s="55"/>
      <c r="BH114" s="55"/>
      <c r="BI114" s="7">
        <v>42960</v>
      </c>
      <c r="BJ114" s="2">
        <f>3213*20</f>
        <v>64260</v>
      </c>
      <c r="BK114" s="55"/>
      <c r="BL114" s="55"/>
      <c r="BM114" s="7">
        <v>42962</v>
      </c>
      <c r="BN114" s="2">
        <f>4670*20</f>
        <v>93400</v>
      </c>
      <c r="BO114" s="55"/>
      <c r="BP114" s="55"/>
      <c r="BQ114" s="7">
        <v>42964</v>
      </c>
      <c r="BR114" s="2">
        <f>6854*20</f>
        <v>137080</v>
      </c>
      <c r="BS114" s="55"/>
      <c r="BT114" s="55"/>
      <c r="BU114" s="7">
        <v>42966</v>
      </c>
      <c r="BV114" s="2">
        <f>9634*20</f>
        <v>192680</v>
      </c>
      <c r="BW114" s="55"/>
      <c r="BX114" s="55"/>
      <c r="BY114" s="7">
        <v>42968</v>
      </c>
      <c r="BZ114" s="2">
        <f>15151*20</f>
        <v>303020</v>
      </c>
      <c r="CA114" s="55"/>
      <c r="CB114" s="55"/>
      <c r="CC114" s="7">
        <v>42970</v>
      </c>
      <c r="CD114" s="2">
        <f>21538*20</f>
        <v>430760</v>
      </c>
      <c r="CE114" s="55"/>
      <c r="CF114" s="55"/>
      <c r="CG114" s="7">
        <v>42972</v>
      </c>
      <c r="CH114" s="2">
        <f>28901*20</f>
        <v>578020</v>
      </c>
      <c r="CI114" s="55"/>
      <c r="CJ114" s="55"/>
      <c r="CK114" s="7">
        <v>42974</v>
      </c>
      <c r="CL114" s="2">
        <f>34509*20</f>
        <v>690180</v>
      </c>
      <c r="CM114" s="55"/>
      <c r="CN114" s="55"/>
      <c r="CO114" s="7">
        <v>42976</v>
      </c>
      <c r="CP114" s="2">
        <f>41642*20</f>
        <v>832840</v>
      </c>
      <c r="CQ114" s="55"/>
      <c r="CR114" s="55"/>
      <c r="CS114" s="7">
        <v>42978</v>
      </c>
      <c r="CT114" s="2">
        <f>46137*20</f>
        <v>922740</v>
      </c>
      <c r="CU114" s="55"/>
      <c r="CV114" s="55"/>
      <c r="CW114" s="7">
        <v>42980</v>
      </c>
    </row>
    <row r="115" spans="1:101" x14ac:dyDescent="0.2">
      <c r="A115" s="20" t="s">
        <v>206</v>
      </c>
      <c r="B115" s="18">
        <v>651</v>
      </c>
      <c r="C115" s="55"/>
      <c r="D115" s="55"/>
      <c r="E115" s="7">
        <v>42932</v>
      </c>
      <c r="F115" s="2">
        <v>758</v>
      </c>
      <c r="G115" s="55"/>
      <c r="H115" s="55"/>
      <c r="I115" s="7">
        <v>42934</v>
      </c>
      <c r="J115" s="2">
        <v>730</v>
      </c>
      <c r="K115" s="55"/>
      <c r="L115" s="55"/>
      <c r="M115" s="7">
        <v>42936</v>
      </c>
      <c r="N115" s="2">
        <v>1188</v>
      </c>
      <c r="O115" s="55"/>
      <c r="P115" s="55"/>
      <c r="Q115" s="7">
        <v>42938</v>
      </c>
      <c r="R115" s="4">
        <v>1331</v>
      </c>
      <c r="S115" s="55"/>
      <c r="T115" s="55"/>
      <c r="U115" s="7">
        <v>42940</v>
      </c>
      <c r="AA115" s="55"/>
      <c r="AB115" s="55"/>
      <c r="AC115" s="7">
        <v>42944</v>
      </c>
      <c r="AD115" s="2">
        <f>3789-251</f>
        <v>3538</v>
      </c>
      <c r="AE115" s="55"/>
      <c r="AF115" s="55"/>
      <c r="AG115" s="7">
        <v>42946</v>
      </c>
      <c r="AH115" s="2">
        <v>4614</v>
      </c>
      <c r="AI115" s="55"/>
      <c r="AJ115" s="55"/>
      <c r="AK115" s="7">
        <v>42948</v>
      </c>
      <c r="AL115" s="2">
        <v>6233</v>
      </c>
      <c r="AM115" s="55"/>
      <c r="AN115" s="55"/>
      <c r="AO115" s="7">
        <v>42950</v>
      </c>
      <c r="AP115" s="2">
        <v>9910</v>
      </c>
      <c r="AQ115" s="55"/>
      <c r="AR115" s="55"/>
      <c r="AS115" s="7">
        <v>42952</v>
      </c>
      <c r="AT115" s="2">
        <v>13623</v>
      </c>
      <c r="AU115" s="55"/>
      <c r="AV115" s="55"/>
      <c r="AW115" s="7">
        <v>42954</v>
      </c>
      <c r="AX115" s="2">
        <v>20126</v>
      </c>
      <c r="AY115" s="55"/>
      <c r="AZ115" s="55"/>
      <c r="BA115" s="7">
        <v>42956</v>
      </c>
      <c r="BB115" s="2">
        <v>28576</v>
      </c>
      <c r="BC115" s="55"/>
      <c r="BD115" s="55"/>
      <c r="BE115" s="7">
        <v>42958</v>
      </c>
      <c r="BF115" s="2">
        <f>2076*20</f>
        <v>41520</v>
      </c>
      <c r="BG115" s="55"/>
      <c r="BH115" s="55"/>
      <c r="BI115" s="7">
        <v>42960</v>
      </c>
      <c r="BJ115" s="2">
        <f>3120*20</f>
        <v>62400</v>
      </c>
      <c r="BK115" s="55"/>
      <c r="BL115" s="55"/>
      <c r="BM115" s="7">
        <v>42962</v>
      </c>
      <c r="BN115" s="2">
        <f>4480*20</f>
        <v>89600</v>
      </c>
      <c r="BO115" s="55"/>
      <c r="BP115" s="55"/>
      <c r="BQ115" s="7">
        <v>42964</v>
      </c>
      <c r="BR115" s="2">
        <f>6671*20</f>
        <v>133420</v>
      </c>
      <c r="BS115" s="55"/>
      <c r="BT115" s="55"/>
      <c r="BU115" s="7">
        <v>42966</v>
      </c>
      <c r="BV115" s="2">
        <f>9708*20</f>
        <v>194160</v>
      </c>
      <c r="BW115" s="55"/>
      <c r="BX115" s="55"/>
      <c r="BY115" s="7">
        <v>42968</v>
      </c>
      <c r="BZ115" s="2">
        <f>14988*20</f>
        <v>299760</v>
      </c>
      <c r="CA115" s="55"/>
      <c r="CB115" s="55"/>
      <c r="CC115" s="7">
        <v>42970</v>
      </c>
      <c r="CD115" s="2">
        <f>21461*20</f>
        <v>429220</v>
      </c>
      <c r="CE115" s="55"/>
      <c r="CF115" s="55"/>
      <c r="CG115" s="7">
        <v>42972</v>
      </c>
      <c r="CH115" s="2">
        <f>28987*20</f>
        <v>579740</v>
      </c>
      <c r="CI115" s="55"/>
      <c r="CJ115" s="55"/>
      <c r="CK115" s="7">
        <v>42974</v>
      </c>
      <c r="CL115" s="2">
        <f>34519*20</f>
        <v>690380</v>
      </c>
      <c r="CM115" s="55"/>
      <c r="CN115" s="55"/>
      <c r="CO115" s="7">
        <v>42976</v>
      </c>
      <c r="CP115" s="2">
        <f>41602*20</f>
        <v>832040</v>
      </c>
      <c r="CQ115" s="55"/>
      <c r="CR115" s="55"/>
      <c r="CS115" s="7">
        <v>42978</v>
      </c>
      <c r="CT115" s="2">
        <f>45739*20</f>
        <v>914780</v>
      </c>
      <c r="CU115" s="55"/>
      <c r="CV115" s="55"/>
      <c r="CW115" s="7">
        <v>42980</v>
      </c>
    </row>
    <row r="116" spans="1:101" x14ac:dyDescent="0.2">
      <c r="A116" s="20" t="s">
        <v>203</v>
      </c>
      <c r="B116" s="18">
        <v>971</v>
      </c>
      <c r="C116" s="55"/>
      <c r="D116" s="55"/>
      <c r="E116" s="7">
        <v>42932</v>
      </c>
      <c r="F116" s="2">
        <v>858</v>
      </c>
      <c r="G116" s="55"/>
      <c r="H116" s="55"/>
      <c r="I116" s="7">
        <v>42934</v>
      </c>
      <c r="J116" s="2">
        <v>1227</v>
      </c>
      <c r="K116" s="55"/>
      <c r="L116" s="55"/>
      <c r="M116" s="7">
        <v>42936</v>
      </c>
      <c r="N116" s="2">
        <v>2015</v>
      </c>
      <c r="O116" s="55"/>
      <c r="P116" s="55"/>
      <c r="Q116" s="7">
        <v>42938</v>
      </c>
      <c r="R116" s="4">
        <v>3130</v>
      </c>
      <c r="S116" s="55"/>
      <c r="T116" s="55"/>
      <c r="U116" s="7">
        <v>42940</v>
      </c>
      <c r="Z116" s="2">
        <f>8495-833</f>
        <v>7662</v>
      </c>
      <c r="AA116" s="55"/>
      <c r="AB116" s="55"/>
      <c r="AC116" s="7">
        <v>42944</v>
      </c>
      <c r="AD116" s="2">
        <f>14335-251</f>
        <v>14084</v>
      </c>
      <c r="AE116" s="55"/>
      <c r="AF116" s="55"/>
      <c r="AG116" s="7">
        <v>42946</v>
      </c>
      <c r="AH116" s="2">
        <v>15116</v>
      </c>
      <c r="AI116" s="55"/>
      <c r="AJ116" s="55"/>
      <c r="AK116" s="7">
        <v>42948</v>
      </c>
      <c r="AL116" s="2">
        <v>24148</v>
      </c>
      <c r="AM116" s="55"/>
      <c r="AN116" s="55"/>
      <c r="AO116" s="7">
        <v>42950</v>
      </c>
      <c r="AP116" s="2">
        <v>40261</v>
      </c>
      <c r="AQ116" s="55"/>
      <c r="AR116" s="55"/>
      <c r="AS116" s="7">
        <v>42952</v>
      </c>
      <c r="AT116" s="2">
        <v>60080</v>
      </c>
      <c r="AU116" s="55"/>
      <c r="AV116" s="55"/>
      <c r="AW116" s="7">
        <v>42954</v>
      </c>
      <c r="AX116" s="2">
        <v>95855</v>
      </c>
      <c r="AY116" s="55"/>
      <c r="AZ116" s="55"/>
      <c r="BA116" s="7">
        <v>42956</v>
      </c>
      <c r="BB116" s="2">
        <f>20*8130</f>
        <v>162600</v>
      </c>
      <c r="BC116" s="55"/>
      <c r="BD116" s="55"/>
      <c r="BE116" s="7">
        <v>42958</v>
      </c>
      <c r="BF116" s="2">
        <f>12891*20</f>
        <v>257820</v>
      </c>
      <c r="BG116" s="55"/>
      <c r="BH116" s="55"/>
      <c r="BI116" s="7">
        <v>42960</v>
      </c>
      <c r="BJ116" s="2">
        <f>22127*20</f>
        <v>442540</v>
      </c>
      <c r="BK116" s="55"/>
      <c r="BL116" s="55"/>
      <c r="BM116" s="7">
        <v>42962</v>
      </c>
      <c r="BN116" s="2">
        <f>29556*20</f>
        <v>591120</v>
      </c>
      <c r="BO116" s="55"/>
      <c r="BP116" s="55"/>
      <c r="BQ116" s="7">
        <v>42964</v>
      </c>
      <c r="BR116" s="2">
        <f>38796*20</f>
        <v>775920</v>
      </c>
      <c r="BS116" s="55"/>
      <c r="BT116" s="55"/>
      <c r="BU116" s="7">
        <v>42966</v>
      </c>
      <c r="BV116" s="2">
        <f>43898*20</f>
        <v>877960</v>
      </c>
      <c r="BW116" s="55"/>
      <c r="BX116" s="55"/>
      <c r="BY116" s="7">
        <v>42968</v>
      </c>
      <c r="BZ116" s="2">
        <f>52902*20</f>
        <v>1058040</v>
      </c>
      <c r="CA116" s="55"/>
      <c r="CB116" s="55"/>
      <c r="CC116" s="7">
        <v>42970</v>
      </c>
      <c r="CD116" s="2">
        <f>54294*20</f>
        <v>1085880</v>
      </c>
      <c r="CE116" s="55"/>
      <c r="CF116" s="55"/>
      <c r="CG116" s="7">
        <v>42972</v>
      </c>
      <c r="CH116" s="2">
        <f>60762*20</f>
        <v>1215240</v>
      </c>
      <c r="CI116" s="55"/>
      <c r="CJ116" s="55"/>
      <c r="CK116" s="7">
        <v>42974</v>
      </c>
      <c r="CL116" s="2">
        <f>61178*20</f>
        <v>1223560</v>
      </c>
      <c r="CM116" s="55"/>
      <c r="CN116" s="55"/>
      <c r="CO116" s="7">
        <v>42976</v>
      </c>
      <c r="CP116" s="2">
        <f>74792*20</f>
        <v>1495840</v>
      </c>
      <c r="CQ116" s="55"/>
      <c r="CR116" s="55"/>
      <c r="CS116" s="7">
        <v>42978</v>
      </c>
      <c r="CT116" s="2">
        <f>64606*20</f>
        <v>1292120</v>
      </c>
      <c r="CU116" s="55"/>
      <c r="CV116" s="55"/>
      <c r="CW116" s="7">
        <v>42980</v>
      </c>
    </row>
    <row r="117" spans="1:101" x14ac:dyDescent="0.2">
      <c r="A117" s="20" t="s">
        <v>204</v>
      </c>
      <c r="B117" s="18">
        <v>987</v>
      </c>
      <c r="C117" s="55"/>
      <c r="D117" s="55"/>
      <c r="E117" s="7">
        <v>42932</v>
      </c>
      <c r="F117" s="2">
        <v>854</v>
      </c>
      <c r="G117" s="55"/>
      <c r="H117" s="55"/>
      <c r="I117" s="7">
        <v>42934</v>
      </c>
      <c r="J117" s="2">
        <v>1269</v>
      </c>
      <c r="K117" s="55"/>
      <c r="L117" s="55"/>
      <c r="M117" s="7">
        <v>42936</v>
      </c>
      <c r="N117" s="2">
        <v>2015</v>
      </c>
      <c r="O117" s="55"/>
      <c r="P117" s="55"/>
      <c r="Q117" s="7">
        <v>42938</v>
      </c>
      <c r="R117" s="4">
        <v>3074</v>
      </c>
      <c r="S117" s="55"/>
      <c r="T117" s="55"/>
      <c r="U117" s="7">
        <v>42940</v>
      </c>
      <c r="Z117" s="2">
        <f>8470-833</f>
        <v>7637</v>
      </c>
      <c r="AA117" s="55"/>
      <c r="AB117" s="55"/>
      <c r="AC117" s="7">
        <v>42944</v>
      </c>
      <c r="AD117" s="2">
        <f>14347-251</f>
        <v>14096</v>
      </c>
      <c r="AE117" s="55"/>
      <c r="AF117" s="55"/>
      <c r="AG117" s="7">
        <v>42946</v>
      </c>
      <c r="AH117" s="2">
        <v>15068</v>
      </c>
      <c r="AI117" s="55"/>
      <c r="AJ117" s="55"/>
      <c r="AK117" s="7">
        <v>42948</v>
      </c>
      <c r="AL117" s="2">
        <v>23630</v>
      </c>
      <c r="AM117" s="55"/>
      <c r="AN117" s="55"/>
      <c r="AO117" s="7">
        <v>42950</v>
      </c>
      <c r="AP117" s="2">
        <v>40163</v>
      </c>
      <c r="AQ117" s="55"/>
      <c r="AR117" s="55"/>
      <c r="AS117" s="7">
        <v>42952</v>
      </c>
      <c r="AT117" s="2">
        <v>57937</v>
      </c>
      <c r="AU117" s="55"/>
      <c r="AV117" s="55"/>
      <c r="AW117" s="7">
        <v>42954</v>
      </c>
      <c r="AX117" s="2">
        <v>94047</v>
      </c>
      <c r="AY117" s="55"/>
      <c r="AZ117" s="55"/>
      <c r="BA117" s="7">
        <v>42956</v>
      </c>
      <c r="BB117" s="2">
        <f>20*8176</f>
        <v>163520</v>
      </c>
      <c r="BC117" s="55"/>
      <c r="BD117" s="55"/>
      <c r="BE117" s="7">
        <v>42958</v>
      </c>
      <c r="BF117" s="2">
        <f>13001*20</f>
        <v>260020</v>
      </c>
      <c r="BG117" s="55"/>
      <c r="BH117" s="55"/>
      <c r="BI117" s="7">
        <v>42960</v>
      </c>
      <c r="BJ117" s="2">
        <f>21624*20</f>
        <v>432480</v>
      </c>
      <c r="BK117" s="55"/>
      <c r="BL117" s="55"/>
      <c r="BM117" s="7">
        <v>42962</v>
      </c>
      <c r="BN117" s="2">
        <f>29164*20</f>
        <v>583280</v>
      </c>
      <c r="BO117" s="55"/>
      <c r="BP117" s="55"/>
      <c r="BQ117" s="7">
        <v>42964</v>
      </c>
      <c r="BR117" s="2">
        <f>38590*20</f>
        <v>771800</v>
      </c>
      <c r="BS117" s="55"/>
      <c r="BT117" s="55"/>
      <c r="BU117" s="7">
        <v>42966</v>
      </c>
      <c r="BV117" s="2">
        <f>43923*20</f>
        <v>878460</v>
      </c>
      <c r="BW117" s="55"/>
      <c r="BX117" s="55"/>
      <c r="BY117" s="7">
        <v>42968</v>
      </c>
      <c r="BZ117" s="2">
        <f>53045*20</f>
        <v>1060900</v>
      </c>
      <c r="CA117" s="55"/>
      <c r="CB117" s="55"/>
      <c r="CC117" s="7">
        <v>42970</v>
      </c>
      <c r="CD117" s="2">
        <f>54780*20</f>
        <v>1095600</v>
      </c>
      <c r="CE117" s="55"/>
      <c r="CF117" s="55"/>
      <c r="CG117" s="7">
        <v>42972</v>
      </c>
      <c r="CH117" s="2">
        <f>59999*20</f>
        <v>1199980</v>
      </c>
      <c r="CI117" s="55"/>
      <c r="CJ117" s="55"/>
      <c r="CK117" s="7">
        <v>42974</v>
      </c>
      <c r="CL117" s="2">
        <f>61397*20</f>
        <v>1227940</v>
      </c>
      <c r="CM117" s="55"/>
      <c r="CN117" s="55"/>
      <c r="CO117" s="7">
        <v>42976</v>
      </c>
      <c r="CP117" s="2">
        <f>74741*20</f>
        <v>1494820</v>
      </c>
      <c r="CQ117" s="55"/>
      <c r="CR117" s="55"/>
      <c r="CS117" s="7">
        <v>42978</v>
      </c>
      <c r="CT117" s="2">
        <f>64064*20</f>
        <v>1281280</v>
      </c>
      <c r="CU117" s="55"/>
      <c r="CV117" s="55"/>
      <c r="CW117" s="7">
        <v>42980</v>
      </c>
    </row>
    <row r="118" spans="1:101" x14ac:dyDescent="0.2">
      <c r="A118" s="20" t="s">
        <v>205</v>
      </c>
      <c r="B118" s="18">
        <v>907</v>
      </c>
      <c r="C118" s="55"/>
      <c r="D118" s="55"/>
      <c r="E118" s="7">
        <v>42932</v>
      </c>
      <c r="F118" s="2">
        <v>866</v>
      </c>
      <c r="G118" s="55"/>
      <c r="H118" s="55"/>
      <c r="I118" s="7">
        <v>42934</v>
      </c>
      <c r="J118" s="2">
        <v>1277</v>
      </c>
      <c r="K118" s="55"/>
      <c r="L118" s="55"/>
      <c r="M118" s="7">
        <v>42936</v>
      </c>
      <c r="N118" s="2">
        <v>2007</v>
      </c>
      <c r="O118" s="55"/>
      <c r="P118" s="55"/>
      <c r="Q118" s="7">
        <v>42938</v>
      </c>
      <c r="R118" s="4">
        <v>3081</v>
      </c>
      <c r="S118" s="55"/>
      <c r="T118" s="55"/>
      <c r="U118" s="7">
        <v>42940</v>
      </c>
      <c r="Z118" s="2">
        <f>8354-833</f>
        <v>7521</v>
      </c>
      <c r="AA118" s="55"/>
      <c r="AB118" s="55"/>
      <c r="AC118" s="7">
        <v>42944</v>
      </c>
      <c r="AD118" s="2">
        <f>14235-251</f>
        <v>13984</v>
      </c>
      <c r="AE118" s="55"/>
      <c r="AF118" s="55"/>
      <c r="AG118" s="7">
        <v>42946</v>
      </c>
      <c r="AH118" s="2">
        <v>15630</v>
      </c>
      <c r="AI118" s="55"/>
      <c r="AJ118" s="55"/>
      <c r="AK118" s="7">
        <v>42948</v>
      </c>
      <c r="AL118" s="2">
        <v>23679</v>
      </c>
      <c r="AM118" s="55"/>
      <c r="AN118" s="55"/>
      <c r="AO118" s="7">
        <v>42950</v>
      </c>
      <c r="AP118" s="2">
        <v>40250</v>
      </c>
      <c r="AQ118" s="55"/>
      <c r="AR118" s="55"/>
      <c r="AS118" s="7">
        <v>42952</v>
      </c>
      <c r="AT118" s="2">
        <v>64713</v>
      </c>
      <c r="AU118" s="55"/>
      <c r="AV118" s="55"/>
      <c r="AW118" s="7">
        <v>42954</v>
      </c>
      <c r="AX118" s="2">
        <v>92368</v>
      </c>
      <c r="AY118" s="55"/>
      <c r="AZ118" s="55"/>
      <c r="BA118" s="7">
        <v>42956</v>
      </c>
      <c r="BB118" s="2">
        <f>20*8158</f>
        <v>163160</v>
      </c>
      <c r="BC118" s="55"/>
      <c r="BD118" s="55"/>
      <c r="BE118" s="7">
        <v>42958</v>
      </c>
      <c r="BF118" s="2">
        <f>12988*20</f>
        <v>259760</v>
      </c>
      <c r="BG118" s="55"/>
      <c r="BH118" s="55"/>
      <c r="BI118" s="7">
        <v>42960</v>
      </c>
      <c r="BJ118" s="2">
        <f>21506*20</f>
        <v>430120</v>
      </c>
      <c r="BK118" s="55"/>
      <c r="BL118" s="55"/>
      <c r="BM118" s="7">
        <v>42962</v>
      </c>
      <c r="BN118" s="2">
        <f>29121*20</f>
        <v>582420</v>
      </c>
      <c r="BO118" s="55"/>
      <c r="BP118" s="55"/>
      <c r="BQ118" s="7">
        <v>42964</v>
      </c>
      <c r="BR118" s="2">
        <f>38352*20</f>
        <v>767040</v>
      </c>
      <c r="BS118" s="55"/>
      <c r="BT118" s="55"/>
      <c r="BU118" s="7">
        <v>42966</v>
      </c>
      <c r="BV118" s="2">
        <f>43493*20</f>
        <v>869860</v>
      </c>
      <c r="BW118" s="55"/>
      <c r="BX118" s="55"/>
      <c r="BY118" s="7">
        <v>42968</v>
      </c>
      <c r="BZ118" s="2">
        <f>53336*20</f>
        <v>1066720</v>
      </c>
      <c r="CA118" s="55"/>
      <c r="CB118" s="55"/>
      <c r="CC118" s="7">
        <v>42970</v>
      </c>
      <c r="CD118" s="2">
        <f>54626*20</f>
        <v>1092520</v>
      </c>
      <c r="CE118" s="55"/>
      <c r="CF118" s="55"/>
      <c r="CG118" s="7">
        <v>42972</v>
      </c>
      <c r="CH118" s="2">
        <f>60506*20</f>
        <v>1210120</v>
      </c>
      <c r="CI118" s="55"/>
      <c r="CJ118" s="55"/>
      <c r="CK118" s="7">
        <v>42974</v>
      </c>
      <c r="CL118" s="2">
        <f>61547*20</f>
        <v>1230940</v>
      </c>
      <c r="CM118" s="55"/>
      <c r="CN118" s="55"/>
      <c r="CO118" s="7">
        <v>42976</v>
      </c>
      <c r="CP118" s="2">
        <f>65219*20</f>
        <v>1304380</v>
      </c>
      <c r="CQ118" s="55"/>
      <c r="CR118" s="55"/>
      <c r="CS118" s="7">
        <v>42978</v>
      </c>
      <c r="CT118" s="2">
        <f>64849*20</f>
        <v>1296980</v>
      </c>
      <c r="CU118" s="55"/>
      <c r="CV118" s="55"/>
      <c r="CW118" s="7">
        <v>42980</v>
      </c>
    </row>
    <row r="119" spans="1:101" x14ac:dyDescent="0.2">
      <c r="A119" s="20" t="s">
        <v>207</v>
      </c>
      <c r="B119" s="18">
        <v>1160</v>
      </c>
      <c r="C119" s="56">
        <f t="shared" ref="C119" si="251">AVERAGE(B119:B127)</f>
        <v>921.33333333333337</v>
      </c>
      <c r="D119" s="56">
        <f t="shared" ref="D119" si="252">(STDEV(B119:B127))</f>
        <v>224.29166279645796</v>
      </c>
      <c r="E119" s="7">
        <v>42932</v>
      </c>
      <c r="F119" s="2">
        <v>806</v>
      </c>
      <c r="G119" s="56">
        <f t="shared" ref="G119" si="253">AVERAGE(F119:F127)</f>
        <v>877.44444444444446</v>
      </c>
      <c r="H119" s="56">
        <f t="shared" ref="H119" si="254">(STDEV(F119:F127))</f>
        <v>133.84236167139966</v>
      </c>
      <c r="I119" s="7">
        <v>42934</v>
      </c>
      <c r="J119" s="2">
        <v>1252</v>
      </c>
      <c r="K119" s="56">
        <f t="shared" ref="K119" si="255">AVERAGE(J119:J127)</f>
        <v>1325</v>
      </c>
      <c r="L119" s="56">
        <f t="shared" ref="L119" si="256">(STDEV(J119:J127))</f>
        <v>126.1269202034205</v>
      </c>
      <c r="M119" s="7">
        <v>42936</v>
      </c>
      <c r="N119" s="2">
        <v>1856</v>
      </c>
      <c r="O119" s="56">
        <f t="shared" ref="O119" si="257">AVERAGE(N119:N127)</f>
        <v>1826.4444444444443</v>
      </c>
      <c r="P119" s="56">
        <f t="shared" ref="P119" si="258">(STDEV(N119:N127))</f>
        <v>322.41243427910467</v>
      </c>
      <c r="Q119" s="7">
        <v>42938</v>
      </c>
      <c r="R119" s="4">
        <v>2829</v>
      </c>
      <c r="S119" s="54">
        <f t="shared" ref="S119" si="259">AVERAGE(R119:R127)</f>
        <v>2487.4444444444443</v>
      </c>
      <c r="T119" s="56">
        <f t="shared" ref="T119" si="260">(STDEV(R119:R127))</f>
        <v>292.42909871929294</v>
      </c>
      <c r="U119" s="7">
        <v>42940</v>
      </c>
      <c r="Z119" s="2">
        <f>10195-833</f>
        <v>9362</v>
      </c>
      <c r="AA119" s="54">
        <f t="shared" ref="AA119" si="261">AVERAGE(Z119:Z127)</f>
        <v>8221.5</v>
      </c>
      <c r="AB119" s="56">
        <f t="shared" ref="AB119" si="262">(STDEV(Z119:Z127))</f>
        <v>1258.0873976000237</v>
      </c>
      <c r="AC119" s="7">
        <v>42944</v>
      </c>
      <c r="AD119" s="2">
        <f>12296-251</f>
        <v>12045</v>
      </c>
      <c r="AE119" s="54">
        <f t="shared" ref="AE119" si="263">AVERAGE(AD119:AD127)</f>
        <v>11335.428571428571</v>
      </c>
      <c r="AF119" s="56">
        <f t="shared" ref="AF119" si="264">(STDEV(AD119:AD127))</f>
        <v>919.05002713723502</v>
      </c>
      <c r="AG119" s="7">
        <v>42946</v>
      </c>
      <c r="AH119" s="2">
        <v>15818</v>
      </c>
      <c r="AI119" s="54">
        <f t="shared" ref="AI119" si="265">AVERAGE(AH119:AH127)</f>
        <v>12867</v>
      </c>
      <c r="AJ119" s="56">
        <f t="shared" ref="AJ119" si="266">(STDEV(AH119:AH127))</f>
        <v>2473.0637880976706</v>
      </c>
      <c r="AK119" s="7">
        <v>42948</v>
      </c>
      <c r="AL119" s="2">
        <v>21750</v>
      </c>
      <c r="AM119" s="54">
        <f t="shared" ref="AM119" si="267">AVERAGE(AL119:AL127)</f>
        <v>18049.222222222223</v>
      </c>
      <c r="AN119" s="56">
        <f t="shared" ref="AN119" si="268">(STDEV(AL119:AL127))</f>
        <v>3226.0692327419783</v>
      </c>
      <c r="AO119" s="7">
        <v>42950</v>
      </c>
      <c r="AP119" s="2">
        <v>35383</v>
      </c>
      <c r="AQ119" s="54">
        <f t="shared" ref="AQ119" si="269">AVERAGE(AP119:AP127)</f>
        <v>28324.444444444445</v>
      </c>
      <c r="AR119" s="56">
        <f t="shared" ref="AR119" si="270">(STDEV(AP119:AP127))</f>
        <v>6255.0435272488548</v>
      </c>
      <c r="AS119" s="7">
        <v>42952</v>
      </c>
      <c r="AT119" s="2">
        <v>57665</v>
      </c>
      <c r="AU119" s="54">
        <f t="shared" ref="AU119" si="271">AVERAGE(AT119:AT127)</f>
        <v>47333.555555555555</v>
      </c>
      <c r="AV119" s="56">
        <f>(STDEV(AT119:AT127))</f>
        <v>8445.1322534213559</v>
      </c>
      <c r="AW119" s="7">
        <v>42954</v>
      </c>
      <c r="AX119" s="2">
        <f>4954*20</f>
        <v>99080</v>
      </c>
      <c r="AY119" s="54">
        <f t="shared" ref="AY119" si="272">AVERAGE(AX119:AX127)</f>
        <v>73704.444444444438</v>
      </c>
      <c r="AZ119" s="56">
        <f>(STDEV(AX119:AX127))</f>
        <v>17754.381931731041</v>
      </c>
      <c r="BA119" s="7">
        <v>42956</v>
      </c>
      <c r="BB119" s="2">
        <f>5823*20</f>
        <v>116460</v>
      </c>
      <c r="BC119" s="54">
        <f t="shared" ref="BC119" si="273">AVERAGE(BB119:BB127)</f>
        <v>99188.888888888891</v>
      </c>
      <c r="BD119" s="56">
        <f>(STDEV(BB119:BB127))</f>
        <v>14306.159900934656</v>
      </c>
      <c r="BE119" s="7">
        <v>42958</v>
      </c>
      <c r="BF119" s="2">
        <f>6480*20</f>
        <v>129600</v>
      </c>
      <c r="BG119" s="54">
        <f t="shared" ref="BG119" si="274">AVERAGE(BF119:BF127)</f>
        <v>125537.77777777778</v>
      </c>
      <c r="BH119" s="56">
        <f>(STDEV(BF119:BF127))</f>
        <v>4634.9805225528662</v>
      </c>
      <c r="BI119" s="7">
        <v>42960</v>
      </c>
      <c r="BJ119" s="2">
        <f>7638*20</f>
        <v>152760</v>
      </c>
      <c r="BK119" s="54">
        <f t="shared" ref="BK119" si="275">AVERAGE(BJ119:BJ127)</f>
        <v>142460</v>
      </c>
      <c r="BL119" s="56">
        <f>(STDEV(BJ119:BJ127))</f>
        <v>8923.3738014273495</v>
      </c>
      <c r="BM119" s="7">
        <v>42962</v>
      </c>
      <c r="BN119" s="2">
        <f>8162*20</f>
        <v>163240</v>
      </c>
      <c r="BO119" s="54">
        <f t="shared" ref="BO119" si="276">AVERAGE(BN119:BN127)</f>
        <v>153653.33333333334</v>
      </c>
      <c r="BP119" s="56">
        <f>(STDEV(BN119:BN127))</f>
        <v>7030.4338415207349</v>
      </c>
      <c r="BQ119" s="7">
        <v>42964</v>
      </c>
      <c r="BR119" s="2">
        <f>6115*20</f>
        <v>122300</v>
      </c>
      <c r="BS119" s="54">
        <f t="shared" ref="BS119" si="277">AVERAGE(BR119:BR127)</f>
        <v>122493.33333333333</v>
      </c>
      <c r="BT119" s="56">
        <f>(STDEV(BR119:BR127))</f>
        <v>5590.2236091233417</v>
      </c>
      <c r="BU119" s="7">
        <v>42966</v>
      </c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</row>
    <row r="120" spans="1:101" x14ac:dyDescent="0.2">
      <c r="A120" s="20" t="s">
        <v>208</v>
      </c>
      <c r="B120" s="18">
        <v>1098</v>
      </c>
      <c r="C120" s="55"/>
      <c r="D120" s="55"/>
      <c r="E120" s="7">
        <v>42932</v>
      </c>
      <c r="F120" s="2">
        <v>778</v>
      </c>
      <c r="G120" s="55"/>
      <c r="H120" s="55"/>
      <c r="I120" s="7">
        <v>42934</v>
      </c>
      <c r="J120" s="2">
        <v>1415</v>
      </c>
      <c r="K120" s="55"/>
      <c r="L120" s="55"/>
      <c r="M120" s="7">
        <v>42936</v>
      </c>
      <c r="N120" s="2">
        <v>1742</v>
      </c>
      <c r="O120" s="55"/>
      <c r="P120" s="55"/>
      <c r="Q120" s="7">
        <v>42938</v>
      </c>
      <c r="R120" s="4">
        <v>2660</v>
      </c>
      <c r="S120" s="55"/>
      <c r="T120" s="55"/>
      <c r="U120" s="7">
        <v>42940</v>
      </c>
      <c r="Z120" s="2">
        <f>10227-833</f>
        <v>9394</v>
      </c>
      <c r="AA120" s="55"/>
      <c r="AB120" s="55"/>
      <c r="AC120" s="7">
        <v>42944</v>
      </c>
      <c r="AD120" s="2">
        <f>12547-251</f>
        <v>12296</v>
      </c>
      <c r="AE120" s="55"/>
      <c r="AF120" s="55"/>
      <c r="AG120" s="7">
        <v>42946</v>
      </c>
      <c r="AH120" s="2">
        <v>15482</v>
      </c>
      <c r="AI120" s="55"/>
      <c r="AJ120" s="55"/>
      <c r="AK120" s="7">
        <v>42948</v>
      </c>
      <c r="AL120" s="2">
        <v>21121</v>
      </c>
      <c r="AM120" s="55"/>
      <c r="AN120" s="55"/>
      <c r="AO120" s="7">
        <v>42950</v>
      </c>
      <c r="AP120" s="2">
        <v>35339</v>
      </c>
      <c r="AQ120" s="55"/>
      <c r="AR120" s="55"/>
      <c r="AS120" s="7">
        <v>42952</v>
      </c>
      <c r="AT120" s="2">
        <v>55969</v>
      </c>
      <c r="AU120" s="55"/>
      <c r="AV120" s="55"/>
      <c r="AW120" s="7">
        <v>42954</v>
      </c>
      <c r="AX120" s="2">
        <f>4809*20</f>
        <v>96180</v>
      </c>
      <c r="AY120" s="55"/>
      <c r="AZ120" s="55"/>
      <c r="BA120" s="7">
        <v>42956</v>
      </c>
      <c r="BB120" s="2">
        <f>5618*20</f>
        <v>112360</v>
      </c>
      <c r="BC120" s="55"/>
      <c r="BD120" s="55"/>
      <c r="BE120" s="7">
        <v>42958</v>
      </c>
      <c r="BF120" s="2">
        <f>6517*20</f>
        <v>130340</v>
      </c>
      <c r="BG120" s="55"/>
      <c r="BH120" s="55"/>
      <c r="BI120" s="7">
        <v>42960</v>
      </c>
      <c r="BJ120" s="2">
        <f>7626*20</f>
        <v>152520</v>
      </c>
      <c r="BK120" s="55"/>
      <c r="BL120" s="55"/>
      <c r="BM120" s="7">
        <v>42962</v>
      </c>
      <c r="BN120" s="2">
        <f>8094*20</f>
        <v>161880</v>
      </c>
      <c r="BO120" s="55"/>
      <c r="BP120" s="55"/>
      <c r="BQ120" s="7">
        <v>42964</v>
      </c>
      <c r="BR120" s="2">
        <f>6069*20</f>
        <v>121380</v>
      </c>
      <c r="BS120" s="55"/>
      <c r="BT120" s="55"/>
      <c r="BU120" s="7">
        <v>42966</v>
      </c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</row>
    <row r="121" spans="1:101" x14ac:dyDescent="0.2">
      <c r="A121" s="20" t="s">
        <v>209</v>
      </c>
      <c r="B121" s="18">
        <v>1164</v>
      </c>
      <c r="C121" s="55"/>
      <c r="D121" s="55"/>
      <c r="E121" s="7">
        <v>42932</v>
      </c>
      <c r="F121" s="2">
        <v>775</v>
      </c>
      <c r="G121" s="55"/>
      <c r="H121" s="55"/>
      <c r="I121" s="7">
        <v>42934</v>
      </c>
      <c r="J121" s="2">
        <v>1204</v>
      </c>
      <c r="K121" s="55"/>
      <c r="L121" s="55"/>
      <c r="M121" s="7">
        <v>42936</v>
      </c>
      <c r="N121" s="2">
        <v>1604</v>
      </c>
      <c r="O121" s="55"/>
      <c r="P121" s="55"/>
      <c r="Q121" s="7">
        <v>42938</v>
      </c>
      <c r="R121" s="4">
        <v>2767</v>
      </c>
      <c r="S121" s="55"/>
      <c r="T121" s="55"/>
      <c r="U121" s="7">
        <v>42940</v>
      </c>
      <c r="AA121" s="55"/>
      <c r="AB121" s="55"/>
      <c r="AC121" s="7">
        <v>42944</v>
      </c>
      <c r="AD121" s="2">
        <f>12473-251</f>
        <v>12222</v>
      </c>
      <c r="AE121" s="55"/>
      <c r="AF121" s="55"/>
      <c r="AG121" s="7">
        <v>42946</v>
      </c>
      <c r="AH121" s="2">
        <v>15252</v>
      </c>
      <c r="AI121" s="55"/>
      <c r="AJ121" s="55"/>
      <c r="AK121" s="7">
        <v>42948</v>
      </c>
      <c r="AL121" s="2">
        <v>21288</v>
      </c>
      <c r="AM121" s="55"/>
      <c r="AN121" s="55"/>
      <c r="AO121" s="7">
        <v>42950</v>
      </c>
      <c r="AP121" s="2">
        <v>34909</v>
      </c>
      <c r="AQ121" s="55"/>
      <c r="AR121" s="55"/>
      <c r="AS121" s="7">
        <v>42952</v>
      </c>
      <c r="AT121" s="2">
        <v>54459</v>
      </c>
      <c r="AU121" s="55"/>
      <c r="AV121" s="55"/>
      <c r="AW121" s="7">
        <v>42954</v>
      </c>
      <c r="AX121" s="2">
        <f>4673*20</f>
        <v>93460</v>
      </c>
      <c r="AY121" s="55"/>
      <c r="AZ121" s="55"/>
      <c r="BA121" s="7">
        <v>42956</v>
      </c>
      <c r="BB121" s="2">
        <f>5559*20</f>
        <v>111180</v>
      </c>
      <c r="BC121" s="55"/>
      <c r="BD121" s="55"/>
      <c r="BE121" s="7">
        <v>42958</v>
      </c>
      <c r="BF121" s="2">
        <f>6531*20</f>
        <v>130620</v>
      </c>
      <c r="BG121" s="55"/>
      <c r="BH121" s="55"/>
      <c r="BI121" s="7">
        <v>42960</v>
      </c>
      <c r="BJ121" s="2">
        <f>7409*20</f>
        <v>148180</v>
      </c>
      <c r="BK121" s="55"/>
      <c r="BL121" s="55"/>
      <c r="BM121" s="7">
        <v>42962</v>
      </c>
      <c r="BN121" s="2">
        <f>7976*20</f>
        <v>159520</v>
      </c>
      <c r="BO121" s="55"/>
      <c r="BP121" s="55"/>
      <c r="BQ121" s="7">
        <v>42964</v>
      </c>
      <c r="BR121" s="2">
        <f>5995*20</f>
        <v>119900</v>
      </c>
      <c r="BS121" s="55"/>
      <c r="BT121" s="55"/>
      <c r="BU121" s="7">
        <v>42966</v>
      </c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</row>
    <row r="122" spans="1:101" x14ac:dyDescent="0.2">
      <c r="A122" s="20" t="s">
        <v>210</v>
      </c>
      <c r="B122" s="18">
        <v>628</v>
      </c>
      <c r="C122" s="55"/>
      <c r="D122" s="55"/>
      <c r="E122" s="7">
        <v>42932</v>
      </c>
      <c r="F122" s="2">
        <v>828</v>
      </c>
      <c r="G122" s="55"/>
      <c r="H122" s="55"/>
      <c r="I122" s="7">
        <v>42934</v>
      </c>
      <c r="J122" s="2">
        <v>1241</v>
      </c>
      <c r="K122" s="55"/>
      <c r="L122" s="55"/>
      <c r="M122" s="7">
        <v>42936</v>
      </c>
      <c r="N122" s="2">
        <v>1529</v>
      </c>
      <c r="O122" s="55"/>
      <c r="P122" s="55"/>
      <c r="Q122" s="7">
        <v>42938</v>
      </c>
      <c r="R122" s="4">
        <v>2102</v>
      </c>
      <c r="S122" s="55"/>
      <c r="T122" s="55"/>
      <c r="U122" s="7">
        <v>42940</v>
      </c>
      <c r="Z122" s="2">
        <f>7501-833</f>
        <v>6668</v>
      </c>
      <c r="AA122" s="55"/>
      <c r="AB122" s="55"/>
      <c r="AC122" s="7">
        <v>42944</v>
      </c>
      <c r="AD122" s="2">
        <f>11582-251</f>
        <v>11331</v>
      </c>
      <c r="AE122" s="55"/>
      <c r="AF122" s="55"/>
      <c r="AG122" s="7">
        <v>42946</v>
      </c>
      <c r="AH122" s="2">
        <v>10038</v>
      </c>
      <c r="AI122" s="55"/>
      <c r="AJ122" s="55"/>
      <c r="AK122" s="7">
        <v>42948</v>
      </c>
      <c r="AL122" s="2">
        <v>13977</v>
      </c>
      <c r="AM122" s="55"/>
      <c r="AN122" s="55"/>
      <c r="AO122" s="7">
        <v>42950</v>
      </c>
      <c r="AP122" s="2">
        <v>21121</v>
      </c>
      <c r="AQ122" s="55"/>
      <c r="AR122" s="55"/>
      <c r="AS122" s="7">
        <v>42952</v>
      </c>
      <c r="AT122" s="2">
        <v>36779</v>
      </c>
      <c r="AU122" s="55"/>
      <c r="AV122" s="55"/>
      <c r="AW122" s="7">
        <v>42954</v>
      </c>
      <c r="AX122" s="2">
        <f>2859*20</f>
        <v>57180</v>
      </c>
      <c r="AY122" s="55"/>
      <c r="AZ122" s="55"/>
      <c r="BA122" s="7">
        <v>42956</v>
      </c>
      <c r="BB122" s="2">
        <f>4058*20</f>
        <v>81160</v>
      </c>
      <c r="BC122" s="55"/>
      <c r="BD122" s="55"/>
      <c r="BE122" s="7">
        <v>42958</v>
      </c>
      <c r="BF122" s="2">
        <f>6096*20</f>
        <v>121920</v>
      </c>
      <c r="BG122" s="55"/>
      <c r="BH122" s="55"/>
      <c r="BI122" s="7">
        <v>42960</v>
      </c>
      <c r="BJ122" s="2">
        <f>6691*20</f>
        <v>133820</v>
      </c>
      <c r="BK122" s="55"/>
      <c r="BL122" s="55"/>
      <c r="BM122" s="7">
        <v>42962</v>
      </c>
      <c r="BN122" s="2">
        <f>7569*20</f>
        <v>151380</v>
      </c>
      <c r="BO122" s="55"/>
      <c r="BP122" s="55"/>
      <c r="BQ122" s="7">
        <v>42964</v>
      </c>
      <c r="BR122" s="2">
        <f>5914*20</f>
        <v>118280</v>
      </c>
      <c r="BS122" s="55"/>
      <c r="BT122" s="55"/>
      <c r="BU122" s="7">
        <v>42966</v>
      </c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</row>
    <row r="123" spans="1:101" x14ac:dyDescent="0.2">
      <c r="A123" s="20" t="s">
        <v>211</v>
      </c>
      <c r="B123" s="18">
        <v>641</v>
      </c>
      <c r="C123" s="55"/>
      <c r="D123" s="55"/>
      <c r="E123" s="7">
        <v>42932</v>
      </c>
      <c r="F123" s="2">
        <v>785</v>
      </c>
      <c r="G123" s="55"/>
      <c r="H123" s="55"/>
      <c r="I123" s="7">
        <v>42934</v>
      </c>
      <c r="J123" s="2">
        <v>1223</v>
      </c>
      <c r="K123" s="55"/>
      <c r="L123" s="55"/>
      <c r="M123" s="7">
        <v>42936</v>
      </c>
      <c r="N123" s="2">
        <v>1511</v>
      </c>
      <c r="O123" s="55"/>
      <c r="P123" s="55"/>
      <c r="Q123" s="7">
        <v>42938</v>
      </c>
      <c r="R123" s="4">
        <v>2078</v>
      </c>
      <c r="S123" s="55"/>
      <c r="T123" s="55"/>
      <c r="U123" s="7">
        <v>42940</v>
      </c>
      <c r="Z123" s="2">
        <f>7492-833</f>
        <v>6659</v>
      </c>
      <c r="AA123" s="55"/>
      <c r="AB123" s="55"/>
      <c r="AC123" s="7">
        <v>42944</v>
      </c>
      <c r="AD123" s="2">
        <f>10102-251</f>
        <v>9851</v>
      </c>
      <c r="AE123" s="55"/>
      <c r="AF123" s="55"/>
      <c r="AG123" s="7">
        <v>42946</v>
      </c>
      <c r="AH123" s="2">
        <v>10254</v>
      </c>
      <c r="AI123" s="55"/>
      <c r="AJ123" s="55"/>
      <c r="AK123" s="7">
        <v>42948</v>
      </c>
      <c r="AL123" s="2">
        <v>13800</v>
      </c>
      <c r="AM123" s="55"/>
      <c r="AN123" s="55"/>
      <c r="AO123" s="7">
        <v>42950</v>
      </c>
      <c r="AP123" s="2">
        <v>20904</v>
      </c>
      <c r="AQ123" s="55"/>
      <c r="AR123" s="55"/>
      <c r="AS123" s="7">
        <v>42952</v>
      </c>
      <c r="AT123" s="2">
        <v>36961</v>
      </c>
      <c r="AU123" s="55"/>
      <c r="AV123" s="55"/>
      <c r="AW123" s="7">
        <v>42954</v>
      </c>
      <c r="AX123" s="2">
        <f>2779*20</f>
        <v>55580</v>
      </c>
      <c r="AY123" s="55"/>
      <c r="AZ123" s="55"/>
      <c r="BA123" s="7">
        <v>42956</v>
      </c>
      <c r="BB123" s="2">
        <f>4066*20</f>
        <v>81320</v>
      </c>
      <c r="BC123" s="55"/>
      <c r="BD123" s="55"/>
      <c r="BE123" s="7">
        <v>42958</v>
      </c>
      <c r="BF123" s="2">
        <f>5980*20</f>
        <v>119600</v>
      </c>
      <c r="BG123" s="55"/>
      <c r="BH123" s="55"/>
      <c r="BI123" s="7">
        <v>42960</v>
      </c>
      <c r="BJ123" s="2">
        <f>6485*20</f>
        <v>129700</v>
      </c>
      <c r="BK123" s="55"/>
      <c r="BL123" s="55"/>
      <c r="BM123" s="7">
        <v>42962</v>
      </c>
      <c r="BN123" s="2">
        <f>7226*20</f>
        <v>144520</v>
      </c>
      <c r="BO123" s="55"/>
      <c r="BP123" s="55"/>
      <c r="BQ123" s="7">
        <v>42964</v>
      </c>
      <c r="BR123" s="2">
        <f>5836*20</f>
        <v>116720</v>
      </c>
      <c r="BS123" s="55"/>
      <c r="BT123" s="55"/>
      <c r="BU123" s="7">
        <v>42966</v>
      </c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</row>
    <row r="124" spans="1:101" x14ac:dyDescent="0.2">
      <c r="A124" s="20" t="s">
        <v>212</v>
      </c>
      <c r="B124" s="18">
        <v>642</v>
      </c>
      <c r="C124" s="55"/>
      <c r="D124" s="55"/>
      <c r="E124" s="7">
        <v>42932</v>
      </c>
      <c r="F124" s="2">
        <v>766</v>
      </c>
      <c r="G124" s="55"/>
      <c r="H124" s="55"/>
      <c r="I124" s="7">
        <v>42934</v>
      </c>
      <c r="J124" s="2">
        <v>1185</v>
      </c>
      <c r="K124" s="55"/>
      <c r="L124" s="55"/>
      <c r="M124" s="7">
        <v>42936</v>
      </c>
      <c r="N124" s="2">
        <v>1530</v>
      </c>
      <c r="O124" s="55"/>
      <c r="P124" s="55"/>
      <c r="Q124" s="7">
        <v>42938</v>
      </c>
      <c r="R124" s="4">
        <v>2175</v>
      </c>
      <c r="S124" s="55"/>
      <c r="T124" s="55"/>
      <c r="U124" s="7">
        <v>42940</v>
      </c>
      <c r="AA124" s="55"/>
      <c r="AB124" s="55"/>
      <c r="AC124" s="7">
        <v>42944</v>
      </c>
      <c r="AE124" s="55"/>
      <c r="AF124" s="55"/>
      <c r="AG124" s="7">
        <v>42946</v>
      </c>
      <c r="AH124" s="2">
        <v>9344</v>
      </c>
      <c r="AI124" s="55"/>
      <c r="AJ124" s="55"/>
      <c r="AK124" s="7">
        <v>42948</v>
      </c>
      <c r="AL124" s="2">
        <v>14402</v>
      </c>
      <c r="AM124" s="55"/>
      <c r="AN124" s="55"/>
      <c r="AO124" s="7">
        <v>42950</v>
      </c>
      <c r="AP124" s="2">
        <v>20450</v>
      </c>
      <c r="AQ124" s="55"/>
      <c r="AR124" s="55"/>
      <c r="AS124" s="7">
        <v>42952</v>
      </c>
      <c r="AT124" s="2">
        <v>36890</v>
      </c>
      <c r="AU124" s="55"/>
      <c r="AV124" s="55"/>
      <c r="AW124" s="7">
        <v>42954</v>
      </c>
      <c r="AX124" s="2">
        <f>2823*20</f>
        <v>56460</v>
      </c>
      <c r="AY124" s="55"/>
      <c r="AZ124" s="55"/>
      <c r="BA124" s="7">
        <v>42956</v>
      </c>
      <c r="BB124" s="2">
        <f>4052*20</f>
        <v>81040</v>
      </c>
      <c r="BC124" s="55"/>
      <c r="BD124" s="55"/>
      <c r="BE124" s="7">
        <v>42958</v>
      </c>
      <c r="BF124" s="2">
        <f>5914*20</f>
        <v>118280</v>
      </c>
      <c r="BG124" s="55"/>
      <c r="BH124" s="55"/>
      <c r="BI124" s="7">
        <v>42960</v>
      </c>
      <c r="BJ124" s="2">
        <f>6529*20</f>
        <v>130580</v>
      </c>
      <c r="BK124" s="55"/>
      <c r="BL124" s="55"/>
      <c r="BM124" s="7">
        <v>42962</v>
      </c>
      <c r="BN124" s="2">
        <f>7186*20</f>
        <v>143720</v>
      </c>
      <c r="BO124" s="55"/>
      <c r="BP124" s="55"/>
      <c r="BQ124" s="7">
        <v>42964</v>
      </c>
      <c r="BR124" s="2">
        <f>5784*20</f>
        <v>115680</v>
      </c>
      <c r="BS124" s="55"/>
      <c r="BT124" s="55"/>
      <c r="BU124" s="7">
        <v>42966</v>
      </c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</row>
    <row r="125" spans="1:101" x14ac:dyDescent="0.2">
      <c r="A125" s="20" t="s">
        <v>213</v>
      </c>
      <c r="B125" s="18">
        <v>990</v>
      </c>
      <c r="C125" s="55"/>
      <c r="D125" s="55"/>
      <c r="E125" s="7">
        <v>42932</v>
      </c>
      <c r="F125" s="2">
        <v>1073</v>
      </c>
      <c r="G125" s="55"/>
      <c r="H125" s="55"/>
      <c r="I125" s="7">
        <v>42934</v>
      </c>
      <c r="J125" s="2">
        <v>1472</v>
      </c>
      <c r="K125" s="55"/>
      <c r="L125" s="55"/>
      <c r="M125" s="7">
        <v>42936</v>
      </c>
      <c r="N125" s="2">
        <v>2353</v>
      </c>
      <c r="O125" s="55"/>
      <c r="P125" s="55"/>
      <c r="Q125" s="7">
        <v>42938</v>
      </c>
      <c r="R125" s="4">
        <v>2531</v>
      </c>
      <c r="S125" s="55"/>
      <c r="T125" s="55"/>
      <c r="U125" s="7">
        <v>42940</v>
      </c>
      <c r="Z125" s="2">
        <f>9281-833</f>
        <v>8448</v>
      </c>
      <c r="AA125" s="55"/>
      <c r="AB125" s="55"/>
      <c r="AC125" s="7">
        <v>42944</v>
      </c>
      <c r="AD125" s="2">
        <f>11255-251</f>
        <v>11004</v>
      </c>
      <c r="AE125" s="55"/>
      <c r="AF125" s="55"/>
      <c r="AG125" s="7">
        <v>42946</v>
      </c>
      <c r="AH125" s="2">
        <v>13313</v>
      </c>
      <c r="AI125" s="55"/>
      <c r="AJ125" s="55"/>
      <c r="AK125" s="7">
        <v>42948</v>
      </c>
      <c r="AL125" s="2">
        <v>19174</v>
      </c>
      <c r="AM125" s="55"/>
      <c r="AN125" s="55"/>
      <c r="AO125" s="7">
        <v>42950</v>
      </c>
      <c r="AP125" s="2">
        <v>29375</v>
      </c>
      <c r="AQ125" s="55"/>
      <c r="AR125" s="55"/>
      <c r="AS125" s="7">
        <v>42952</v>
      </c>
      <c r="AT125" s="2">
        <v>48335</v>
      </c>
      <c r="AU125" s="55"/>
      <c r="AV125" s="55"/>
      <c r="AW125" s="7">
        <v>42954</v>
      </c>
      <c r="AX125" s="2">
        <f>3415*20</f>
        <v>68300</v>
      </c>
      <c r="AY125" s="55"/>
      <c r="AZ125" s="55"/>
      <c r="BA125" s="7">
        <v>42956</v>
      </c>
      <c r="BB125" s="2">
        <f>5147*20</f>
        <v>102940</v>
      </c>
      <c r="BC125" s="55"/>
      <c r="BD125" s="55"/>
      <c r="BE125" s="7">
        <v>42958</v>
      </c>
      <c r="BF125" s="2">
        <f>6370*20</f>
        <v>127400</v>
      </c>
      <c r="BG125" s="55"/>
      <c r="BH125" s="55"/>
      <c r="BI125" s="7">
        <v>42960</v>
      </c>
      <c r="BJ125" s="2">
        <f>7218*20</f>
        <v>144360</v>
      </c>
      <c r="BK125" s="55"/>
      <c r="BL125" s="55"/>
      <c r="BM125" s="7">
        <v>42962</v>
      </c>
      <c r="BN125" s="2">
        <f>7617*20</f>
        <v>152340</v>
      </c>
      <c r="BO125" s="55"/>
      <c r="BP125" s="55"/>
      <c r="BQ125" s="7">
        <v>42964</v>
      </c>
      <c r="BR125" s="2">
        <f>6522*20</f>
        <v>130440</v>
      </c>
      <c r="BS125" s="55"/>
      <c r="BT125" s="55"/>
      <c r="BU125" s="7">
        <v>42966</v>
      </c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</row>
    <row r="126" spans="1:101" x14ac:dyDescent="0.2">
      <c r="A126" s="20" t="s">
        <v>214</v>
      </c>
      <c r="B126" s="18">
        <v>989</v>
      </c>
      <c r="C126" s="55"/>
      <c r="D126" s="55"/>
      <c r="E126" s="7">
        <v>42932</v>
      </c>
      <c r="F126" s="2">
        <v>1017</v>
      </c>
      <c r="G126" s="55"/>
      <c r="H126" s="55"/>
      <c r="I126" s="7">
        <v>42934</v>
      </c>
      <c r="J126" s="2">
        <v>1482</v>
      </c>
      <c r="K126" s="55"/>
      <c r="L126" s="55"/>
      <c r="M126" s="7">
        <v>42936</v>
      </c>
      <c r="N126" s="2">
        <v>2117</v>
      </c>
      <c r="O126" s="55"/>
      <c r="P126" s="55"/>
      <c r="Q126" s="7">
        <v>42938</v>
      </c>
      <c r="R126" s="4">
        <v>2562</v>
      </c>
      <c r="S126" s="55"/>
      <c r="T126" s="55"/>
      <c r="U126" s="7">
        <v>42940</v>
      </c>
      <c r="Z126" s="2">
        <f>9631-833</f>
        <v>8798</v>
      </c>
      <c r="AA126" s="55"/>
      <c r="AB126" s="55"/>
      <c r="AC126" s="7">
        <v>42944</v>
      </c>
      <c r="AD126" s="2">
        <f>10850-251</f>
        <v>10599</v>
      </c>
      <c r="AE126" s="55"/>
      <c r="AF126" s="55"/>
      <c r="AG126" s="7">
        <v>42946</v>
      </c>
      <c r="AH126" s="2">
        <v>13364</v>
      </c>
      <c r="AI126" s="55"/>
      <c r="AJ126" s="55"/>
      <c r="AK126" s="7">
        <v>42948</v>
      </c>
      <c r="AL126" s="2">
        <v>18258</v>
      </c>
      <c r="AM126" s="55"/>
      <c r="AN126" s="55"/>
      <c r="AO126" s="7">
        <v>42950</v>
      </c>
      <c r="AP126" s="2">
        <v>29070</v>
      </c>
      <c r="AQ126" s="55"/>
      <c r="AR126" s="55"/>
      <c r="AS126" s="7">
        <v>42952</v>
      </c>
      <c r="AT126" s="2">
        <v>49101</v>
      </c>
      <c r="AU126" s="55"/>
      <c r="AV126" s="55"/>
      <c r="AW126" s="7">
        <v>42954</v>
      </c>
      <c r="AX126" s="2">
        <f>3465*20</f>
        <v>69300</v>
      </c>
      <c r="AY126" s="55"/>
      <c r="AZ126" s="55"/>
      <c r="BA126" s="7">
        <v>42956</v>
      </c>
      <c r="BB126" s="2">
        <f>5094*20</f>
        <v>101880</v>
      </c>
      <c r="BC126" s="55"/>
      <c r="BD126" s="55"/>
      <c r="BE126" s="7">
        <v>42958</v>
      </c>
      <c r="BF126" s="2">
        <f>6345*20</f>
        <v>126900</v>
      </c>
      <c r="BG126" s="55"/>
      <c r="BH126" s="55"/>
      <c r="BI126" s="7">
        <v>42960</v>
      </c>
      <c r="BJ126" s="2">
        <f>7225*20</f>
        <v>144500</v>
      </c>
      <c r="BK126" s="55"/>
      <c r="BL126" s="55"/>
      <c r="BM126" s="7">
        <v>42962</v>
      </c>
      <c r="BN126" s="2">
        <f>7779*20</f>
        <v>155580</v>
      </c>
      <c r="BO126" s="55"/>
      <c r="BP126" s="55"/>
      <c r="BQ126" s="7">
        <v>42964</v>
      </c>
      <c r="BR126" s="2">
        <f>6449*20</f>
        <v>128980</v>
      </c>
      <c r="BS126" s="55"/>
      <c r="BT126" s="55"/>
      <c r="BU126" s="7">
        <v>42966</v>
      </c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</row>
    <row r="127" spans="1:101" x14ac:dyDescent="0.2">
      <c r="A127" s="20" t="s">
        <v>215</v>
      </c>
      <c r="B127" s="18">
        <v>980</v>
      </c>
      <c r="C127" s="55"/>
      <c r="D127" s="55"/>
      <c r="E127" s="7">
        <v>42932</v>
      </c>
      <c r="F127" s="2">
        <v>1069</v>
      </c>
      <c r="G127" s="55"/>
      <c r="H127" s="55"/>
      <c r="I127" s="7">
        <v>42934</v>
      </c>
      <c r="J127" s="2">
        <v>1451</v>
      </c>
      <c r="K127" s="55"/>
      <c r="L127" s="55"/>
      <c r="M127" s="7">
        <v>42936</v>
      </c>
      <c r="N127" s="2">
        <v>2196</v>
      </c>
      <c r="O127" s="55"/>
      <c r="P127" s="55"/>
      <c r="Q127" s="7">
        <v>42938</v>
      </c>
      <c r="R127" s="4">
        <v>2683</v>
      </c>
      <c r="S127" s="55"/>
      <c r="T127" s="55"/>
      <c r="U127" s="7">
        <v>42940</v>
      </c>
      <c r="AA127" s="55"/>
      <c r="AB127" s="55"/>
      <c r="AC127" s="7">
        <v>42944</v>
      </c>
      <c r="AE127" s="55"/>
      <c r="AF127" s="55"/>
      <c r="AG127" s="7">
        <v>42946</v>
      </c>
      <c r="AH127" s="2">
        <v>12938</v>
      </c>
      <c r="AI127" s="55"/>
      <c r="AJ127" s="55"/>
      <c r="AK127" s="7">
        <v>42948</v>
      </c>
      <c r="AL127" s="2">
        <v>18673</v>
      </c>
      <c r="AM127" s="55"/>
      <c r="AN127" s="55"/>
      <c r="AO127" s="7">
        <v>42950</v>
      </c>
      <c r="AP127" s="2">
        <v>28369</v>
      </c>
      <c r="AQ127" s="55"/>
      <c r="AR127" s="55"/>
      <c r="AS127" s="7">
        <v>42952</v>
      </c>
      <c r="AT127" s="2">
        <v>49843</v>
      </c>
      <c r="AU127" s="55"/>
      <c r="AV127" s="55"/>
      <c r="AW127" s="7">
        <v>42954</v>
      </c>
      <c r="AX127" s="2">
        <f>3390*20</f>
        <v>67800</v>
      </c>
      <c r="AY127" s="55"/>
      <c r="AZ127" s="55"/>
      <c r="BA127" s="7">
        <v>42956</v>
      </c>
      <c r="BB127" s="2">
        <f>5218*20</f>
        <v>104360</v>
      </c>
      <c r="BC127" s="55"/>
      <c r="BD127" s="55"/>
      <c r="BE127" s="7">
        <v>42958</v>
      </c>
      <c r="BF127" s="2">
        <f>6259*20</f>
        <v>125180</v>
      </c>
      <c r="BG127" s="55"/>
      <c r="BH127" s="55"/>
      <c r="BI127" s="7">
        <v>42960</v>
      </c>
      <c r="BJ127" s="2">
        <f>7286*20</f>
        <v>145720</v>
      </c>
      <c r="BK127" s="55"/>
      <c r="BL127" s="55"/>
      <c r="BM127" s="7">
        <v>42962</v>
      </c>
      <c r="BN127" s="2">
        <f>7535*20</f>
        <v>150700</v>
      </c>
      <c r="BO127" s="55"/>
      <c r="BP127" s="55"/>
      <c r="BQ127" s="7">
        <v>42964</v>
      </c>
      <c r="BR127" s="2">
        <f>6438*20</f>
        <v>128760</v>
      </c>
      <c r="BS127" s="55"/>
      <c r="BT127" s="55"/>
      <c r="BU127" s="7">
        <v>42966</v>
      </c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</row>
    <row r="128" spans="1:101" x14ac:dyDescent="0.2">
      <c r="A128" s="20" t="s">
        <v>227</v>
      </c>
      <c r="B128" s="18">
        <f>(innoculationdensity!$D$37)</f>
        <v>1501.5933333333337</v>
      </c>
      <c r="C128" s="56">
        <f t="shared" ref="C128" si="278">AVERAGE(B128:B136)</f>
        <v>1501.5933333333339</v>
      </c>
      <c r="D128" s="56">
        <f t="shared" ref="D128" si="279">(STDEV(B128:B136))</f>
        <v>2.4116620165382783E-13</v>
      </c>
      <c r="E128" s="7">
        <v>42939</v>
      </c>
      <c r="G128" s="55"/>
      <c r="H128" s="56" t="e">
        <f t="shared" ref="H128" si="280">(STDEV(F128:F136))</f>
        <v>#DIV/0!</v>
      </c>
      <c r="J128" s="2">
        <f>6274-682</f>
        <v>5592</v>
      </c>
      <c r="K128" s="56">
        <f t="shared" ref="K128" si="281">AVERAGE(J128:J136)</f>
        <v>5038.333333333333</v>
      </c>
      <c r="L128" s="56">
        <f t="shared" ref="L128" si="282">(STDEV(J128:J136))</f>
        <v>387.8353602582759</v>
      </c>
      <c r="M128" s="7">
        <v>42943</v>
      </c>
      <c r="N128" s="2">
        <f>13103-432</f>
        <v>12671</v>
      </c>
      <c r="O128" s="56">
        <f t="shared" ref="O128" si="283">AVERAGE(N128:N136)</f>
        <v>11423.888888888889</v>
      </c>
      <c r="P128" s="56">
        <f t="shared" ref="P128" si="284">(STDEV(N128:N136))</f>
        <v>764.73074419112459</v>
      </c>
      <c r="Q128" s="7">
        <v>42945</v>
      </c>
      <c r="R128" s="4">
        <v>13417</v>
      </c>
      <c r="S128" s="56">
        <f t="shared" ref="S128" si="285">AVERAGE(R128:R136)</f>
        <v>13355.555555555555</v>
      </c>
      <c r="T128" s="56">
        <f>(STDEV(R128:R136))</f>
        <v>647.20033820894878</v>
      </c>
      <c r="U128" s="7">
        <v>42947</v>
      </c>
      <c r="V128" s="2">
        <f>4253*20</f>
        <v>85060</v>
      </c>
      <c r="W128" s="54">
        <f t="shared" ref="W128" si="286">AVERAGE(V128:V136)</f>
        <v>102317.77777777778</v>
      </c>
      <c r="X128" s="56">
        <f t="shared" ref="X128" si="287">(STDEV(V128:V136))</f>
        <v>15910.978739362474</v>
      </c>
      <c r="Y128" s="7">
        <v>42949</v>
      </c>
      <c r="Z128" s="2">
        <f>12465*20</f>
        <v>249300</v>
      </c>
      <c r="AA128" s="54">
        <f t="shared" ref="AA128" si="288">AVERAGE(Z128:Z136)</f>
        <v>287515.55555555556</v>
      </c>
      <c r="AB128" s="56">
        <f t="shared" ref="AB128" si="289">(STDEV(Z128:Z136))</f>
        <v>47447.371663536549</v>
      </c>
      <c r="AC128" s="7">
        <v>42586</v>
      </c>
      <c r="AD128" s="2">
        <f>28437*20</f>
        <v>568740</v>
      </c>
      <c r="AE128" s="54">
        <f t="shared" ref="AE128" si="290">AVERAGE(AD128:AD136)</f>
        <v>625428.88888888888</v>
      </c>
      <c r="AF128" s="56">
        <f t="shared" ref="AF128" si="291">(STDEV(AD128:AD136))</f>
        <v>63894.355862713812</v>
      </c>
      <c r="AG128" s="7">
        <v>41857</v>
      </c>
      <c r="AH128" s="2">
        <f>55964*20</f>
        <v>1119280</v>
      </c>
      <c r="AI128" s="54">
        <f t="shared" ref="AI128" si="292">AVERAGE(AH128:AH136)</f>
        <v>1256215.5555555555</v>
      </c>
      <c r="AJ128" s="56">
        <f t="shared" ref="AJ128" si="293">(STDEV(AH128:AH136))</f>
        <v>101023.95843451086</v>
      </c>
      <c r="AK128" s="7">
        <v>42955</v>
      </c>
      <c r="AL128" s="2">
        <f>78272*20</f>
        <v>1565440</v>
      </c>
      <c r="AM128" s="54">
        <f t="shared" ref="AM128" si="294">AVERAGE(AL128:AL136)</f>
        <v>1630095.5555555555</v>
      </c>
      <c r="AN128" s="56">
        <f t="shared" ref="AN128" si="295">(STDEV(AL128:AL136))</f>
        <v>64638.892145346814</v>
      </c>
      <c r="AO128" s="7">
        <v>42957</v>
      </c>
      <c r="AP128" s="2">
        <f>101480*20</f>
        <v>2029600</v>
      </c>
      <c r="AQ128" s="54">
        <f t="shared" ref="AQ128" si="296">AVERAGE(AP128:AP136)</f>
        <v>1963560</v>
      </c>
      <c r="AR128" s="56">
        <f t="shared" ref="AR128:AR164" si="297">(STDEV(AP128:AP136))</f>
        <v>121046.89793629575</v>
      </c>
      <c r="AS128" s="7">
        <v>42959</v>
      </c>
      <c r="AT128" s="2">
        <f>107530*20</f>
        <v>2150600</v>
      </c>
      <c r="AU128" s="54">
        <f t="shared" ref="AU128" si="298">AVERAGE(AT128:AT136)</f>
        <v>1938520</v>
      </c>
      <c r="AV128" s="56">
        <f>(STDEV(AT128:AT136))</f>
        <v>218115.35480107769</v>
      </c>
      <c r="AW128" s="7">
        <v>42961</v>
      </c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</row>
    <row r="129" spans="1:101" x14ac:dyDescent="0.2">
      <c r="A129" s="20" t="s">
        <v>228</v>
      </c>
      <c r="B129" s="18">
        <f>(innoculationdensity!$D$37)</f>
        <v>1501.5933333333337</v>
      </c>
      <c r="C129" s="55"/>
      <c r="D129" s="55"/>
      <c r="E129" s="7">
        <v>42939</v>
      </c>
      <c r="G129" s="55"/>
      <c r="H129" s="55"/>
      <c r="J129" s="2">
        <f>5996-682</f>
        <v>5314</v>
      </c>
      <c r="K129" s="55"/>
      <c r="L129" s="55"/>
      <c r="M129" s="7">
        <v>42943</v>
      </c>
      <c r="N129" s="2">
        <f>12618-432</f>
        <v>12186</v>
      </c>
      <c r="O129" s="55"/>
      <c r="P129" s="55"/>
      <c r="Q129" s="7">
        <v>42945</v>
      </c>
      <c r="R129" s="4">
        <v>13127</v>
      </c>
      <c r="S129" s="55"/>
      <c r="T129" s="55"/>
      <c r="U129" s="7">
        <v>42947</v>
      </c>
      <c r="V129" s="2">
        <f>4119*20</f>
        <v>82380</v>
      </c>
      <c r="W129" s="55"/>
      <c r="X129" s="55"/>
      <c r="Y129" s="7">
        <v>42949</v>
      </c>
      <c r="Z129" s="2">
        <f>12092*20</f>
        <v>241840</v>
      </c>
      <c r="AA129" s="55"/>
      <c r="AB129" s="55"/>
      <c r="AC129" s="7">
        <v>42586</v>
      </c>
      <c r="AD129" s="2">
        <f>28373*20</f>
        <v>567460</v>
      </c>
      <c r="AE129" s="55"/>
      <c r="AF129" s="55"/>
      <c r="AG129" s="7">
        <v>41857</v>
      </c>
      <c r="AH129" s="2">
        <f>56410*20</f>
        <v>1128200</v>
      </c>
      <c r="AI129" s="55"/>
      <c r="AJ129" s="55"/>
      <c r="AK129" s="7">
        <v>42955</v>
      </c>
      <c r="AL129" s="2">
        <f>77555*20</f>
        <v>1551100</v>
      </c>
      <c r="AM129" s="55"/>
      <c r="AN129" s="55"/>
      <c r="AO129" s="7">
        <v>42957</v>
      </c>
      <c r="AP129" s="2">
        <f>101912*20</f>
        <v>2038240</v>
      </c>
      <c r="AQ129" s="55"/>
      <c r="AR129" s="55"/>
      <c r="AS129" s="7">
        <v>42959</v>
      </c>
      <c r="AT129" s="2">
        <f>106750*20</f>
        <v>2135000</v>
      </c>
      <c r="AU129" s="55"/>
      <c r="AV129" s="55"/>
      <c r="AW129" s="7">
        <v>42961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</row>
    <row r="130" spans="1:101" x14ac:dyDescent="0.2">
      <c r="A130" s="20" t="s">
        <v>229</v>
      </c>
      <c r="B130" s="18">
        <f>(innoculationdensity!$D$37)</f>
        <v>1501.5933333333337</v>
      </c>
      <c r="C130" s="55"/>
      <c r="D130" s="55"/>
      <c r="E130" s="7">
        <v>42939</v>
      </c>
      <c r="G130" s="55"/>
      <c r="H130" s="55"/>
      <c r="K130" s="55"/>
      <c r="L130" s="55"/>
      <c r="M130" s="7">
        <v>42943</v>
      </c>
      <c r="N130" s="2">
        <f>12199-432</f>
        <v>11767</v>
      </c>
      <c r="O130" s="55"/>
      <c r="P130" s="55"/>
      <c r="Q130" s="7">
        <v>42945</v>
      </c>
      <c r="R130" s="4">
        <v>13305</v>
      </c>
      <c r="S130" s="55"/>
      <c r="T130" s="55"/>
      <c r="U130" s="7">
        <v>42947</v>
      </c>
      <c r="V130" s="2">
        <f>4195*20</f>
        <v>83900</v>
      </c>
      <c r="W130" s="55"/>
      <c r="X130" s="55"/>
      <c r="Y130" s="7">
        <v>42949</v>
      </c>
      <c r="Z130" s="2">
        <f>12165*20</f>
        <v>243300</v>
      </c>
      <c r="AA130" s="55"/>
      <c r="AB130" s="55"/>
      <c r="AC130" s="7">
        <v>42586</v>
      </c>
      <c r="AD130" s="2">
        <f>28040*20</f>
        <v>560800</v>
      </c>
      <c r="AE130" s="55"/>
      <c r="AF130" s="55"/>
      <c r="AG130" s="7">
        <v>41857</v>
      </c>
      <c r="AH130" s="2">
        <f>56635*20</f>
        <v>1132700</v>
      </c>
      <c r="AI130" s="55"/>
      <c r="AJ130" s="55"/>
      <c r="AK130" s="7">
        <v>42955</v>
      </c>
      <c r="AL130" s="2">
        <f>78338*20</f>
        <v>1566760</v>
      </c>
      <c r="AM130" s="55"/>
      <c r="AN130" s="55"/>
      <c r="AO130" s="7">
        <v>42957</v>
      </c>
      <c r="AP130" s="2">
        <f>102089*(20)</f>
        <v>2041780</v>
      </c>
      <c r="AQ130" s="55"/>
      <c r="AR130" s="55"/>
      <c r="AS130" s="7">
        <v>42959</v>
      </c>
      <c r="AT130" s="2">
        <f>108136*20</f>
        <v>2162720</v>
      </c>
      <c r="AU130" s="55"/>
      <c r="AV130" s="55"/>
      <c r="AW130" s="7">
        <v>42961</v>
      </c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</row>
    <row r="131" spans="1:101" x14ac:dyDescent="0.2">
      <c r="A131" s="20" t="s">
        <v>230</v>
      </c>
      <c r="B131" s="18">
        <f>(innoculationdensity!$D$37)</f>
        <v>1501.5933333333337</v>
      </c>
      <c r="C131" s="55"/>
      <c r="D131" s="55"/>
      <c r="E131" s="7">
        <v>42939</v>
      </c>
      <c r="G131" s="55"/>
      <c r="H131" s="55"/>
      <c r="J131" s="2">
        <f>5365-682</f>
        <v>4683</v>
      </c>
      <c r="K131" s="55"/>
      <c r="L131" s="55"/>
      <c r="M131" s="7">
        <v>42943</v>
      </c>
      <c r="N131" s="2">
        <f>11905-432</f>
        <v>11473</v>
      </c>
      <c r="O131" s="55"/>
      <c r="P131" s="55"/>
      <c r="Q131" s="7">
        <v>42945</v>
      </c>
      <c r="R131" s="4">
        <v>14306</v>
      </c>
      <c r="S131" s="55"/>
      <c r="T131" s="55"/>
      <c r="U131" s="7">
        <v>42947</v>
      </c>
      <c r="V131" s="2">
        <f>5303*20</f>
        <v>106060</v>
      </c>
      <c r="W131" s="55"/>
      <c r="X131" s="55"/>
      <c r="Y131" s="7">
        <v>42949</v>
      </c>
      <c r="Z131" s="2">
        <f>17531*20</f>
        <v>350620</v>
      </c>
      <c r="AA131" s="55"/>
      <c r="AB131" s="55"/>
      <c r="AC131" s="7">
        <v>42586</v>
      </c>
      <c r="AD131" s="2">
        <f>35498*20</f>
        <v>709960</v>
      </c>
      <c r="AE131" s="55"/>
      <c r="AF131" s="55"/>
      <c r="AG131" s="7">
        <v>41857</v>
      </c>
      <c r="AH131" s="2">
        <f>67537*20</f>
        <v>1350740</v>
      </c>
      <c r="AI131" s="55"/>
      <c r="AJ131" s="55"/>
      <c r="AK131" s="7">
        <v>42955</v>
      </c>
      <c r="AL131" s="2">
        <f>81463*20</f>
        <v>1629260</v>
      </c>
      <c r="AM131" s="55"/>
      <c r="AN131" s="55"/>
      <c r="AO131" s="7">
        <v>42957</v>
      </c>
      <c r="AP131" s="2">
        <f>89856*20</f>
        <v>1797120</v>
      </c>
      <c r="AQ131" s="55"/>
      <c r="AR131" s="55"/>
      <c r="AS131" s="7">
        <v>42959</v>
      </c>
      <c r="AT131" s="2">
        <f>83177*20</f>
        <v>1663540</v>
      </c>
      <c r="AU131" s="55"/>
      <c r="AV131" s="55"/>
      <c r="AW131" s="7">
        <v>42961</v>
      </c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</row>
    <row r="132" spans="1:101" x14ac:dyDescent="0.2">
      <c r="A132" s="20" t="s">
        <v>231</v>
      </c>
      <c r="B132" s="18">
        <f>(innoculationdensity!$D$37)</f>
        <v>1501.5933333333337</v>
      </c>
      <c r="C132" s="55"/>
      <c r="D132" s="55"/>
      <c r="E132" s="7">
        <v>42939</v>
      </c>
      <c r="G132" s="55"/>
      <c r="H132" s="55"/>
      <c r="J132" s="2">
        <f>5300-682</f>
        <v>4618</v>
      </c>
      <c r="K132" s="55"/>
      <c r="L132" s="55"/>
      <c r="M132" s="7">
        <v>42943</v>
      </c>
      <c r="N132" s="2">
        <f>10753-432</f>
        <v>10321</v>
      </c>
      <c r="O132" s="55"/>
      <c r="P132" s="55"/>
      <c r="Q132" s="7">
        <v>42945</v>
      </c>
      <c r="R132" s="4">
        <v>13905</v>
      </c>
      <c r="S132" s="55"/>
      <c r="T132" s="55"/>
      <c r="U132" s="7">
        <v>42947</v>
      </c>
      <c r="V132" s="2">
        <f>5143*20</f>
        <v>102860</v>
      </c>
      <c r="W132" s="55"/>
      <c r="X132" s="55"/>
      <c r="Y132" s="7">
        <v>42949</v>
      </c>
      <c r="Z132" s="2">
        <f>17473*20</f>
        <v>349460</v>
      </c>
      <c r="AA132" s="55"/>
      <c r="AB132" s="55"/>
      <c r="AC132" s="7">
        <v>42586</v>
      </c>
      <c r="AD132" s="2">
        <f>35611*20</f>
        <v>712220</v>
      </c>
      <c r="AE132" s="55"/>
      <c r="AF132" s="55"/>
      <c r="AG132" s="7">
        <v>41857</v>
      </c>
      <c r="AH132" s="2">
        <f>67737*20</f>
        <v>1354740</v>
      </c>
      <c r="AI132" s="55"/>
      <c r="AJ132" s="55"/>
      <c r="AK132" s="7">
        <v>42955</v>
      </c>
      <c r="AL132" s="2">
        <f>80787*20</f>
        <v>1615740</v>
      </c>
      <c r="AM132" s="55"/>
      <c r="AN132" s="55"/>
      <c r="AO132" s="7">
        <v>42957</v>
      </c>
      <c r="AP132" s="2">
        <f>90436*20</f>
        <v>1808720</v>
      </c>
      <c r="AQ132" s="55"/>
      <c r="AR132" s="55"/>
      <c r="AS132" s="7">
        <v>42959</v>
      </c>
      <c r="AT132" s="2">
        <f>83155*20</f>
        <v>1663100</v>
      </c>
      <c r="AU132" s="55"/>
      <c r="AV132" s="55"/>
      <c r="AW132" s="7">
        <v>42961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</row>
    <row r="133" spans="1:101" x14ac:dyDescent="0.2">
      <c r="A133" s="20" t="s">
        <v>232</v>
      </c>
      <c r="B133" s="18">
        <f>(innoculationdensity!$D$37)</f>
        <v>1501.5933333333337</v>
      </c>
      <c r="C133" s="55"/>
      <c r="D133" s="55"/>
      <c r="E133" s="7">
        <v>42939</v>
      </c>
      <c r="G133" s="55"/>
      <c r="H133" s="55"/>
      <c r="K133" s="55"/>
      <c r="L133" s="55"/>
      <c r="M133" s="7">
        <v>42943</v>
      </c>
      <c r="N133" s="2">
        <f>10997-432</f>
        <v>10565</v>
      </c>
      <c r="O133" s="55"/>
      <c r="P133" s="55"/>
      <c r="Q133" s="7">
        <v>42945</v>
      </c>
      <c r="R133" s="4">
        <v>14073</v>
      </c>
      <c r="S133" s="55"/>
      <c r="T133" s="55"/>
      <c r="U133" s="7">
        <v>42947</v>
      </c>
      <c r="V133" s="2">
        <f>4987*20</f>
        <v>99740</v>
      </c>
      <c r="W133" s="55"/>
      <c r="X133" s="55"/>
      <c r="Y133" s="7">
        <v>42949</v>
      </c>
      <c r="Z133" s="2">
        <f>17369*20</f>
        <v>347380</v>
      </c>
      <c r="AA133" s="55"/>
      <c r="AB133" s="55"/>
      <c r="AC133" s="7">
        <v>42586</v>
      </c>
      <c r="AD133" s="2">
        <f>35040*20</f>
        <v>700800</v>
      </c>
      <c r="AE133" s="55"/>
      <c r="AF133" s="55"/>
      <c r="AG133" s="7">
        <v>41857</v>
      </c>
      <c r="AH133" s="2">
        <f>67643*20</f>
        <v>1352860</v>
      </c>
      <c r="AI133" s="55"/>
      <c r="AJ133" s="55"/>
      <c r="AK133" s="7">
        <v>42955</v>
      </c>
      <c r="AL133" s="2">
        <f>80807*20</f>
        <v>1616140</v>
      </c>
      <c r="AM133" s="55"/>
      <c r="AN133" s="55"/>
      <c r="AO133" s="7">
        <v>42957</v>
      </c>
      <c r="AP133" s="2">
        <f>90089*20</f>
        <v>1801780</v>
      </c>
      <c r="AQ133" s="55"/>
      <c r="AR133" s="55"/>
      <c r="AS133" s="7">
        <v>42959</v>
      </c>
      <c r="AT133" s="2">
        <f>82653*20</f>
        <v>1653060</v>
      </c>
      <c r="AU133" s="55"/>
      <c r="AV133" s="55"/>
      <c r="AW133" s="7">
        <v>42961</v>
      </c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</row>
    <row r="134" spans="1:101" x14ac:dyDescent="0.2">
      <c r="A134" s="20" t="s">
        <v>233</v>
      </c>
      <c r="B134" s="18">
        <f>(innoculationdensity!$D$37)</f>
        <v>1501.5933333333337</v>
      </c>
      <c r="C134" s="55"/>
      <c r="D134" s="55"/>
      <c r="E134" s="7">
        <v>42939</v>
      </c>
      <c r="G134" s="55"/>
      <c r="H134" s="55"/>
      <c r="J134" s="2">
        <f>5513-682</f>
        <v>4831</v>
      </c>
      <c r="K134" s="55"/>
      <c r="L134" s="55"/>
      <c r="M134" s="7">
        <v>42943</v>
      </c>
      <c r="N134" s="2">
        <f>12226-432</f>
        <v>11794</v>
      </c>
      <c r="O134" s="55"/>
      <c r="P134" s="55"/>
      <c r="Q134" s="7">
        <v>42945</v>
      </c>
      <c r="R134" s="4">
        <v>13039</v>
      </c>
      <c r="S134" s="55"/>
      <c r="T134" s="55"/>
      <c r="U134" s="7">
        <v>42947</v>
      </c>
      <c r="V134" s="2">
        <f>5981*20</f>
        <v>119620</v>
      </c>
      <c r="W134" s="55"/>
      <c r="X134" s="55"/>
      <c r="Y134" s="7">
        <v>42949</v>
      </c>
      <c r="Z134" s="2">
        <f>13532*20</f>
        <v>270640</v>
      </c>
      <c r="AA134" s="55"/>
      <c r="AB134" s="55"/>
      <c r="AC134" s="7">
        <v>42586</v>
      </c>
      <c r="AD134" s="2">
        <f>30340*20</f>
        <v>606800</v>
      </c>
      <c r="AE134" s="55"/>
      <c r="AF134" s="55"/>
      <c r="AG134" s="7">
        <v>41857</v>
      </c>
      <c r="AH134" s="2">
        <f>64295*20</f>
        <v>1285900</v>
      </c>
      <c r="AI134" s="55"/>
      <c r="AJ134" s="55"/>
      <c r="AK134" s="7">
        <v>42955</v>
      </c>
      <c r="AL134" s="2">
        <f>85366*20</f>
        <v>1707320</v>
      </c>
      <c r="AM134" s="55"/>
      <c r="AN134" s="55"/>
      <c r="AO134" s="7">
        <v>42957</v>
      </c>
      <c r="AP134" s="2">
        <f>102690*20</f>
        <v>2053800</v>
      </c>
      <c r="AQ134" s="55"/>
      <c r="AR134" s="55"/>
      <c r="AS134" s="7">
        <v>42959</v>
      </c>
      <c r="AT134" s="2">
        <f>100432*20</f>
        <v>2008640</v>
      </c>
      <c r="AU134" s="55"/>
      <c r="AV134" s="55"/>
      <c r="AW134" s="7">
        <v>42961</v>
      </c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</row>
    <row r="135" spans="1:101" x14ac:dyDescent="0.2">
      <c r="A135" s="20" t="s">
        <v>234</v>
      </c>
      <c r="B135" s="18">
        <f>(innoculationdensity!$D$37)</f>
        <v>1501.5933333333337</v>
      </c>
      <c r="C135" s="55"/>
      <c r="D135" s="55"/>
      <c r="E135" s="7">
        <v>42939</v>
      </c>
      <c r="G135" s="55"/>
      <c r="H135" s="55"/>
      <c r="J135" s="2">
        <f>5874-682</f>
        <v>5192</v>
      </c>
      <c r="K135" s="55"/>
      <c r="L135" s="55"/>
      <c r="M135" s="7">
        <v>42943</v>
      </c>
      <c r="N135" s="2">
        <f>11410-432</f>
        <v>10978</v>
      </c>
      <c r="O135" s="55"/>
      <c r="P135" s="55"/>
      <c r="Q135" s="7">
        <v>42945</v>
      </c>
      <c r="R135" s="4">
        <v>12347</v>
      </c>
      <c r="S135" s="55"/>
      <c r="T135" s="55"/>
      <c r="U135" s="7">
        <v>42947</v>
      </c>
      <c r="V135" s="2">
        <f>6055*20</f>
        <v>121100</v>
      </c>
      <c r="W135" s="55"/>
      <c r="X135" s="55"/>
      <c r="Y135" s="7">
        <v>42949</v>
      </c>
      <c r="Z135" s="2">
        <f>13548*20</f>
        <v>270960</v>
      </c>
      <c r="AA135" s="55"/>
      <c r="AB135" s="55"/>
      <c r="AC135" s="7">
        <v>42586</v>
      </c>
      <c r="AD135" s="2">
        <f>30181*20</f>
        <v>603620</v>
      </c>
      <c r="AE135" s="55"/>
      <c r="AF135" s="55"/>
      <c r="AG135" s="7">
        <v>41857</v>
      </c>
      <c r="AH135" s="2">
        <f>64496*20</f>
        <v>1289920</v>
      </c>
      <c r="AI135" s="55"/>
      <c r="AJ135" s="55"/>
      <c r="AK135" s="7">
        <v>42955</v>
      </c>
      <c r="AL135" s="2">
        <f>85531*20</f>
        <v>1710620</v>
      </c>
      <c r="AM135" s="55"/>
      <c r="AN135" s="55"/>
      <c r="AO135" s="7">
        <v>42957</v>
      </c>
      <c r="AP135" s="2">
        <f>102778*20</f>
        <v>2055560</v>
      </c>
      <c r="AQ135" s="55"/>
      <c r="AR135" s="55"/>
      <c r="AS135" s="7">
        <v>42959</v>
      </c>
      <c r="AT135" s="2">
        <f>100445*20</f>
        <v>2008900</v>
      </c>
      <c r="AU135" s="55"/>
      <c r="AV135" s="55"/>
      <c r="AW135" s="7">
        <v>42961</v>
      </c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</row>
    <row r="136" spans="1:101" x14ac:dyDescent="0.2">
      <c r="A136" s="20" t="s">
        <v>235</v>
      </c>
      <c r="B136" s="18">
        <f>(innoculationdensity!$D$37)</f>
        <v>1501.5933333333337</v>
      </c>
      <c r="C136" s="55"/>
      <c r="D136" s="55"/>
      <c r="E136" s="7">
        <v>42939</v>
      </c>
      <c r="G136" s="59"/>
      <c r="H136" s="55"/>
      <c r="K136" s="55"/>
      <c r="L136" s="55"/>
      <c r="M136" s="7">
        <v>42943</v>
      </c>
      <c r="N136" s="2">
        <f>11492-432</f>
        <v>11060</v>
      </c>
      <c r="O136" s="55"/>
      <c r="P136" s="55"/>
      <c r="Q136" s="7">
        <v>42945</v>
      </c>
      <c r="R136" s="4">
        <v>12681</v>
      </c>
      <c r="S136" s="55"/>
      <c r="T136" s="55"/>
      <c r="U136" s="7">
        <v>42947</v>
      </c>
      <c r="V136" s="2">
        <f>6007*20</f>
        <v>120140</v>
      </c>
      <c r="W136" s="55"/>
      <c r="X136" s="55"/>
      <c r="Y136" s="7">
        <v>42949</v>
      </c>
      <c r="Z136" s="2">
        <f>13207*20</f>
        <v>264140</v>
      </c>
      <c r="AA136" s="55"/>
      <c r="AB136" s="55"/>
      <c r="AC136" s="7">
        <v>42586</v>
      </c>
      <c r="AD136" s="2">
        <f>29923*20</f>
        <v>598460</v>
      </c>
      <c r="AE136" s="55"/>
      <c r="AF136" s="55"/>
      <c r="AG136" s="7">
        <v>41857</v>
      </c>
      <c r="AH136" s="2">
        <f>64580*20</f>
        <v>1291600</v>
      </c>
      <c r="AI136" s="55"/>
      <c r="AJ136" s="55"/>
      <c r="AK136" s="7">
        <v>42955</v>
      </c>
      <c r="AL136" s="2">
        <f>85424*20</f>
        <v>1708480</v>
      </c>
      <c r="AM136" s="55"/>
      <c r="AN136" s="55"/>
      <c r="AO136" s="7">
        <v>42957</v>
      </c>
      <c r="AP136" s="2">
        <f>102272*20</f>
        <v>2045440</v>
      </c>
      <c r="AQ136" s="55"/>
      <c r="AR136" s="55"/>
      <c r="AS136" s="7">
        <v>42959</v>
      </c>
      <c r="AT136" s="2">
        <f>100056*20</f>
        <v>2001120</v>
      </c>
      <c r="AU136" s="55"/>
      <c r="AV136" s="55"/>
      <c r="AW136" s="7">
        <v>42961</v>
      </c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</row>
    <row r="137" spans="1:101" x14ac:dyDescent="0.2">
      <c r="A137" s="20" t="s">
        <v>237</v>
      </c>
      <c r="B137" s="18">
        <f>((22000*64)/1000)</f>
        <v>1408</v>
      </c>
      <c r="C137" s="56">
        <f t="shared" ref="C137" si="299">AVERAGE(B137:B145)</f>
        <v>1408</v>
      </c>
      <c r="D137" s="56">
        <f t="shared" ref="D137" si="300">(STDEV(B137:B145))</f>
        <v>0</v>
      </c>
      <c r="E137" s="7">
        <v>42942</v>
      </c>
      <c r="F137" s="2">
        <v>1485</v>
      </c>
      <c r="G137" s="56">
        <f t="shared" ref="G137" si="301">AVERAGE(F137:F145)</f>
        <v>1210.75</v>
      </c>
      <c r="H137" s="56">
        <f t="shared" ref="H137" si="302">(STDEV(F137:F145))</f>
        <v>191.58716777786256</v>
      </c>
      <c r="I137" s="7">
        <v>42944</v>
      </c>
      <c r="J137" s="2">
        <v>1022</v>
      </c>
      <c r="K137" s="56">
        <f t="shared" ref="K137" si="303">AVERAGE(J137:J145)</f>
        <v>1023.6666666666666</v>
      </c>
      <c r="L137" s="56">
        <f t="shared" ref="L137" si="304">(STDEV(J137:J145))</f>
        <v>187.62795633913407</v>
      </c>
      <c r="M137" s="7">
        <v>42946</v>
      </c>
      <c r="N137" s="2">
        <v>1524</v>
      </c>
      <c r="O137" s="56">
        <f t="shared" ref="O137" si="305">AVERAGE(N137:N145)</f>
        <v>1332.4444444444443</v>
      </c>
      <c r="P137" s="56">
        <f t="shared" ref="P137" si="306">(STDEV(N137:N145))</f>
        <v>110.89309165938958</v>
      </c>
      <c r="Q137" s="7">
        <v>42948</v>
      </c>
      <c r="R137" s="4">
        <v>2428</v>
      </c>
      <c r="S137" s="56">
        <f t="shared" ref="S137" si="307">AVERAGE(R137:R145)</f>
        <v>2523.3333333333335</v>
      </c>
      <c r="T137" s="56">
        <f t="shared" ref="T137" si="308">(STDEV(R137:R145))</f>
        <v>291.74432299532413</v>
      </c>
      <c r="U137" s="7">
        <v>42950</v>
      </c>
      <c r="V137" s="2">
        <v>3464</v>
      </c>
      <c r="W137" s="54">
        <f t="shared" ref="W137" si="309">AVERAGE(V137:V145)</f>
        <v>3956.1111111111113</v>
      </c>
      <c r="X137" s="56">
        <f t="shared" ref="X137" si="310">(STDEV(V137:V145))</f>
        <v>892.07391011681977</v>
      </c>
      <c r="Y137" s="7">
        <v>42952</v>
      </c>
      <c r="Z137" s="2">
        <v>6055</v>
      </c>
      <c r="AA137" s="54">
        <f t="shared" ref="AA137" si="311">AVERAGE(Z137:Z145)</f>
        <v>8089.5555555555557</v>
      </c>
      <c r="AB137" s="56">
        <f t="shared" ref="AB137" si="312">(STDEV(Z137:Z145))</f>
        <v>3115.4177934552818</v>
      </c>
      <c r="AC137" s="7">
        <v>42954</v>
      </c>
      <c r="AD137" s="2">
        <v>9501</v>
      </c>
      <c r="AE137" s="54">
        <f t="shared" ref="AE137" si="313">AVERAGE(AD137:AD145)</f>
        <v>11152.444444444445</v>
      </c>
      <c r="AF137" s="56">
        <f t="shared" ref="AF137" si="314">(STDEV(AD137:AD145))</f>
        <v>3251.4097369876026</v>
      </c>
      <c r="AG137" s="7">
        <v>42956</v>
      </c>
      <c r="AH137" s="2">
        <v>13810</v>
      </c>
      <c r="AI137" s="54">
        <f t="shared" ref="AI137" si="315">AVERAGE(AH137:AH145)</f>
        <v>16580.222222222223</v>
      </c>
      <c r="AJ137" s="56">
        <f t="shared" ref="AJ137" si="316">(STDEV(AH137:AH145))</f>
        <v>5381.1530079012264</v>
      </c>
      <c r="AK137" s="7">
        <v>42958</v>
      </c>
      <c r="AL137" s="2">
        <v>21407</v>
      </c>
      <c r="AM137" s="54">
        <f t="shared" ref="AM137" si="317">AVERAGE(AL137:AL145)</f>
        <v>25991</v>
      </c>
      <c r="AN137" s="56">
        <f t="shared" ref="AN137" si="318">(STDEV(AL137:AL145))</f>
        <v>9331.6497469632886</v>
      </c>
      <c r="AO137" s="7">
        <v>42960</v>
      </c>
      <c r="AP137" s="2">
        <v>32783</v>
      </c>
      <c r="AQ137" s="54">
        <f t="shared" ref="AQ137" si="319">AVERAGE(AP137:AP145)</f>
        <v>40868</v>
      </c>
      <c r="AR137" s="56">
        <f t="shared" ref="AR137" si="320">(STDEV(AP137:AP145))</f>
        <v>15080.343265323903</v>
      </c>
      <c r="AS137" s="7">
        <v>42962</v>
      </c>
      <c r="AT137" s="2">
        <f>2346*20</f>
        <v>46920</v>
      </c>
      <c r="AU137" s="54">
        <f t="shared" ref="AU137" si="321">AVERAGE(AT137:AT145)</f>
        <v>62982.222222222219</v>
      </c>
      <c r="AV137" s="56">
        <f t="shared" ref="AV137" si="322">(STDEV(AT137:AT145))</f>
        <v>27253.189619647179</v>
      </c>
      <c r="AW137" s="7">
        <v>42964</v>
      </c>
      <c r="AX137" s="2">
        <f>3706*20</f>
        <v>74120</v>
      </c>
      <c r="AY137" s="54">
        <f t="shared" ref="AY137" si="323">AVERAGE(AX137:AX145)</f>
        <v>108455.55555555556</v>
      </c>
      <c r="AZ137" s="56">
        <f>(STDEV(AX137:AX145))</f>
        <v>56999.109447234165</v>
      </c>
      <c r="BA137" s="7">
        <v>42966</v>
      </c>
      <c r="BB137" s="2">
        <f>5039*20</f>
        <v>100780</v>
      </c>
      <c r="BC137" s="54">
        <f t="shared" ref="BC137" si="324">AVERAGE(BB137:BB145)</f>
        <v>141031.11111111112</v>
      </c>
      <c r="BD137" s="56">
        <f>(STDEV(BB137:BB145))</f>
        <v>63596.136762472532</v>
      </c>
      <c r="BE137" s="7">
        <v>42968</v>
      </c>
      <c r="BF137" s="2">
        <f>8322*20</f>
        <v>166440</v>
      </c>
      <c r="BG137" s="54">
        <f t="shared" ref="BG137" si="325">AVERAGE(BF137:BF145)</f>
        <v>213648.88888888888</v>
      </c>
      <c r="BH137" s="56">
        <f>(STDEV(BF137:BF145))</f>
        <v>70431.843019412147</v>
      </c>
      <c r="BI137" s="7">
        <v>42970</v>
      </c>
      <c r="BJ137" s="2">
        <f>9247*20</f>
        <v>184940</v>
      </c>
      <c r="BK137" s="54">
        <f t="shared" ref="BK137" si="326">AVERAGE(BJ137:BJ145)</f>
        <v>236655.55555555556</v>
      </c>
      <c r="BL137" s="56">
        <f>(STDEV(BJ137:BJ145))</f>
        <v>40278.811772168483</v>
      </c>
      <c r="BM137" s="7">
        <v>42972</v>
      </c>
      <c r="BN137" s="2">
        <f>9862*20</f>
        <v>197240</v>
      </c>
      <c r="BO137" s="54">
        <f t="shared" ref="BO137" si="327">AVERAGE(BN137:BN145)</f>
        <v>246126.66666666666</v>
      </c>
      <c r="BP137" s="56">
        <f>(STDEV(BN137:BN145))</f>
        <v>38523.703093030919</v>
      </c>
      <c r="BQ137" s="7">
        <v>42974</v>
      </c>
      <c r="BR137" s="2">
        <f>8077*20</f>
        <v>161540</v>
      </c>
      <c r="BS137" s="54">
        <f t="shared" ref="BS137" si="328">AVERAGE(BR137:BR145)</f>
        <v>213080</v>
      </c>
      <c r="BT137" s="56">
        <f>(STDEV(BR137:BR145))</f>
        <v>43751.710823692367</v>
      </c>
      <c r="BU137" s="7">
        <v>42976</v>
      </c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</row>
    <row r="138" spans="1:101" x14ac:dyDescent="0.2">
      <c r="A138" s="20" t="s">
        <v>238</v>
      </c>
      <c r="B138" s="18">
        <f t="shared" ref="B138:B145" si="329">((22000*64)/1000)</f>
        <v>1408</v>
      </c>
      <c r="C138" s="55"/>
      <c r="D138" s="55"/>
      <c r="E138" s="7">
        <v>42942</v>
      </c>
      <c r="F138" s="2">
        <v>1424</v>
      </c>
      <c r="G138" s="55"/>
      <c r="H138" s="55"/>
      <c r="I138" s="7">
        <v>42944</v>
      </c>
      <c r="J138" s="2">
        <v>1251</v>
      </c>
      <c r="K138" s="55"/>
      <c r="L138" s="55"/>
      <c r="M138" s="7">
        <v>42946</v>
      </c>
      <c r="N138" s="2">
        <v>1449</v>
      </c>
      <c r="O138" s="55"/>
      <c r="P138" s="55"/>
      <c r="Q138" s="7">
        <v>42948</v>
      </c>
      <c r="R138" s="4">
        <v>2537</v>
      </c>
      <c r="S138" s="55"/>
      <c r="T138" s="55"/>
      <c r="U138" s="7">
        <v>42950</v>
      </c>
      <c r="V138" s="2">
        <v>3552</v>
      </c>
      <c r="W138" s="55"/>
      <c r="X138" s="55"/>
      <c r="Y138" s="7">
        <v>42952</v>
      </c>
      <c r="Z138" s="2">
        <v>6029</v>
      </c>
      <c r="AA138" s="55"/>
      <c r="AB138" s="55"/>
      <c r="AC138" s="7">
        <v>42954</v>
      </c>
      <c r="AD138" s="2">
        <v>9592</v>
      </c>
      <c r="AE138" s="55"/>
      <c r="AF138" s="55"/>
      <c r="AG138" s="7">
        <v>42956</v>
      </c>
      <c r="AH138" s="2">
        <v>13496</v>
      </c>
      <c r="AI138" s="55"/>
      <c r="AJ138" s="55"/>
      <c r="AK138" s="7">
        <v>42958</v>
      </c>
      <c r="AL138" s="2">
        <v>20920</v>
      </c>
      <c r="AM138" s="55"/>
      <c r="AN138" s="55"/>
      <c r="AO138" s="7">
        <v>42960</v>
      </c>
      <c r="AP138" s="2">
        <v>31953</v>
      </c>
      <c r="AQ138" s="55"/>
      <c r="AR138" s="55"/>
      <c r="AS138" s="7">
        <v>42962</v>
      </c>
      <c r="AT138" s="2">
        <f>2314*20</f>
        <v>46280</v>
      </c>
      <c r="AU138" s="55"/>
      <c r="AV138" s="55"/>
      <c r="AW138" s="7">
        <v>42964</v>
      </c>
      <c r="AX138" s="2">
        <f>3755*20</f>
        <v>75100</v>
      </c>
      <c r="AY138" s="55"/>
      <c r="AZ138" s="55"/>
      <c r="BA138" s="7">
        <v>42966</v>
      </c>
      <c r="BB138" s="2">
        <f>5024*20</f>
        <v>100480</v>
      </c>
      <c r="BC138" s="55"/>
      <c r="BD138" s="55"/>
      <c r="BE138" s="7">
        <v>42968</v>
      </c>
      <c r="BF138" s="2">
        <f>8165*20</f>
        <v>163300</v>
      </c>
      <c r="BG138" s="55"/>
      <c r="BH138" s="55"/>
      <c r="BI138" s="7">
        <v>42970</v>
      </c>
      <c r="BJ138" s="2">
        <f>9083*20</f>
        <v>181660</v>
      </c>
      <c r="BK138" s="55"/>
      <c r="BL138" s="55"/>
      <c r="BM138" s="7">
        <v>42972</v>
      </c>
      <c r="BN138" s="2">
        <f>9864*20</f>
        <v>197280</v>
      </c>
      <c r="BO138" s="55"/>
      <c r="BP138" s="55"/>
      <c r="BQ138" s="7">
        <v>42974</v>
      </c>
      <c r="BR138" s="2">
        <f>8073*20</f>
        <v>161460</v>
      </c>
      <c r="BS138" s="55"/>
      <c r="BT138" s="55"/>
      <c r="BU138" s="7">
        <v>42976</v>
      </c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</row>
    <row r="139" spans="1:101" x14ac:dyDescent="0.2">
      <c r="A139" s="20" t="s">
        <v>239</v>
      </c>
      <c r="B139" s="18">
        <f t="shared" si="329"/>
        <v>1408</v>
      </c>
      <c r="C139" s="55"/>
      <c r="D139" s="55"/>
      <c r="E139" s="7">
        <v>42942</v>
      </c>
      <c r="F139" s="2">
        <v>1298</v>
      </c>
      <c r="G139" s="55"/>
      <c r="H139" s="55"/>
      <c r="I139" s="7">
        <v>42944</v>
      </c>
      <c r="J139" s="2">
        <v>1131</v>
      </c>
      <c r="K139" s="55"/>
      <c r="L139" s="55"/>
      <c r="M139" s="7">
        <v>42946</v>
      </c>
      <c r="N139" s="2">
        <v>1271</v>
      </c>
      <c r="O139" s="55"/>
      <c r="P139" s="55"/>
      <c r="Q139" s="7">
        <v>42948</v>
      </c>
      <c r="R139" s="4">
        <v>2547</v>
      </c>
      <c r="S139" s="55"/>
      <c r="T139" s="55"/>
      <c r="U139" s="7">
        <v>42950</v>
      </c>
      <c r="V139" s="2">
        <v>3410</v>
      </c>
      <c r="W139" s="55"/>
      <c r="X139" s="55"/>
      <c r="Y139" s="7">
        <v>42952</v>
      </c>
      <c r="Z139" s="2">
        <v>6069</v>
      </c>
      <c r="AA139" s="55"/>
      <c r="AB139" s="55"/>
      <c r="AC139" s="7">
        <v>42954</v>
      </c>
      <c r="AD139" s="2">
        <v>9403</v>
      </c>
      <c r="AE139" s="55"/>
      <c r="AF139" s="55"/>
      <c r="AG139" s="7">
        <v>42956</v>
      </c>
      <c r="AH139" s="2">
        <v>13922</v>
      </c>
      <c r="AI139" s="55"/>
      <c r="AJ139" s="55"/>
      <c r="AK139" s="7">
        <v>42958</v>
      </c>
      <c r="AL139" s="2">
        <v>20688</v>
      </c>
      <c r="AM139" s="55"/>
      <c r="AN139" s="55"/>
      <c r="AO139" s="7">
        <v>42960</v>
      </c>
      <c r="AP139" s="2">
        <v>31174</v>
      </c>
      <c r="AQ139" s="55"/>
      <c r="AR139" s="55"/>
      <c r="AS139" s="7">
        <v>42962</v>
      </c>
      <c r="AT139" s="2">
        <f>2325*20</f>
        <v>46500</v>
      </c>
      <c r="AU139" s="55"/>
      <c r="AV139" s="55"/>
      <c r="AW139" s="7">
        <v>42964</v>
      </c>
      <c r="AX139" s="2">
        <f>3654*20</f>
        <v>73080</v>
      </c>
      <c r="AY139" s="55"/>
      <c r="AZ139" s="55"/>
      <c r="BA139" s="7">
        <v>42966</v>
      </c>
      <c r="BB139" s="2">
        <f>4884*20</f>
        <v>97680</v>
      </c>
      <c r="BC139" s="55"/>
      <c r="BD139" s="55"/>
      <c r="BE139" s="7">
        <v>42968</v>
      </c>
      <c r="BF139" s="2">
        <f>8061*20</f>
        <v>161220</v>
      </c>
      <c r="BG139" s="55"/>
      <c r="BH139" s="55"/>
      <c r="BI139" s="7">
        <v>42970</v>
      </c>
      <c r="BJ139" s="2">
        <f>9272*20</f>
        <v>185440</v>
      </c>
      <c r="BK139" s="55"/>
      <c r="BL139" s="55"/>
      <c r="BM139" s="7">
        <v>42972</v>
      </c>
      <c r="BN139" s="2">
        <f>9731*20</f>
        <v>194620</v>
      </c>
      <c r="BO139" s="55"/>
      <c r="BP139" s="55"/>
      <c r="BQ139" s="7">
        <v>42974</v>
      </c>
      <c r="BR139" s="2">
        <f>7889*20</f>
        <v>157780</v>
      </c>
      <c r="BS139" s="55"/>
      <c r="BT139" s="55"/>
      <c r="BU139" s="7">
        <v>42976</v>
      </c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</row>
    <row r="140" spans="1:101" x14ac:dyDescent="0.2">
      <c r="A140" s="20" t="s">
        <v>240</v>
      </c>
      <c r="B140" s="18">
        <f t="shared" si="329"/>
        <v>1408</v>
      </c>
      <c r="C140" s="55"/>
      <c r="D140" s="55"/>
      <c r="E140" s="7">
        <v>42942</v>
      </c>
      <c r="F140" s="2">
        <v>997</v>
      </c>
      <c r="G140" s="55"/>
      <c r="H140" s="55"/>
      <c r="I140" s="7">
        <v>42944</v>
      </c>
      <c r="J140" s="2">
        <v>1289</v>
      </c>
      <c r="K140" s="55"/>
      <c r="L140" s="55"/>
      <c r="M140" s="7">
        <v>42946</v>
      </c>
      <c r="N140" s="2">
        <v>1407</v>
      </c>
      <c r="O140" s="55"/>
      <c r="P140" s="55"/>
      <c r="Q140" s="7">
        <v>42948</v>
      </c>
      <c r="R140" s="4">
        <v>2929</v>
      </c>
      <c r="S140" s="55"/>
      <c r="T140" s="55"/>
      <c r="U140" s="7">
        <v>42950</v>
      </c>
      <c r="V140" s="2">
        <v>5232</v>
      </c>
      <c r="W140" s="55"/>
      <c r="X140" s="55"/>
      <c r="Y140" s="7">
        <v>42952</v>
      </c>
      <c r="Z140" s="2">
        <v>9890</v>
      </c>
      <c r="AA140" s="55"/>
      <c r="AB140" s="55"/>
      <c r="AC140" s="7">
        <v>42954</v>
      </c>
      <c r="AD140" s="2">
        <v>15445</v>
      </c>
      <c r="AE140" s="55"/>
      <c r="AF140" s="55"/>
      <c r="AG140" s="7">
        <v>42956</v>
      </c>
      <c r="AH140" s="2">
        <v>24210</v>
      </c>
      <c r="AI140" s="55"/>
      <c r="AJ140" s="55"/>
      <c r="AK140" s="7">
        <v>42958</v>
      </c>
      <c r="AL140" s="2">
        <v>38413</v>
      </c>
      <c r="AM140" s="55"/>
      <c r="AN140" s="55"/>
      <c r="AO140" s="7">
        <v>42960</v>
      </c>
      <c r="AP140" s="2">
        <v>61269</v>
      </c>
      <c r="AQ140" s="55"/>
      <c r="AR140" s="55"/>
      <c r="AS140" s="7">
        <v>42962</v>
      </c>
      <c r="AT140" s="2">
        <f>4954*20</f>
        <v>99080</v>
      </c>
      <c r="AU140" s="55"/>
      <c r="AV140" s="55"/>
      <c r="AW140" s="7">
        <v>42964</v>
      </c>
      <c r="AX140" s="2">
        <f>9078*20</f>
        <v>181560</v>
      </c>
      <c r="AY140" s="55"/>
      <c r="AZ140" s="55"/>
      <c r="BA140" s="7">
        <v>42966</v>
      </c>
      <c r="BB140" s="2">
        <f>11369*20</f>
        <v>227380</v>
      </c>
      <c r="BC140" s="55"/>
      <c r="BD140" s="55"/>
      <c r="BE140" s="7">
        <v>42968</v>
      </c>
      <c r="BF140" s="2">
        <f>15369*20</f>
        <v>307380</v>
      </c>
      <c r="BG140" s="55"/>
      <c r="BH140" s="55"/>
      <c r="BI140" s="7">
        <v>42970</v>
      </c>
      <c r="BJ140" s="2">
        <f>13445*20</f>
        <v>268900</v>
      </c>
      <c r="BK140" s="55"/>
      <c r="BL140" s="55"/>
      <c r="BM140" s="7">
        <v>42972</v>
      </c>
      <c r="BN140" s="2">
        <f>12990*20</f>
        <v>259800</v>
      </c>
      <c r="BO140" s="55"/>
      <c r="BP140" s="55"/>
      <c r="BQ140" s="7">
        <v>42974</v>
      </c>
      <c r="BR140" s="2">
        <f>10872*20</f>
        <v>217440</v>
      </c>
      <c r="BS140" s="55"/>
      <c r="BT140" s="55"/>
      <c r="BU140" s="7">
        <v>42976</v>
      </c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</row>
    <row r="141" spans="1:101" x14ac:dyDescent="0.2">
      <c r="A141" s="20" t="s">
        <v>241</v>
      </c>
      <c r="B141" s="18">
        <f t="shared" si="329"/>
        <v>1408</v>
      </c>
      <c r="C141" s="55"/>
      <c r="D141" s="55"/>
      <c r="E141" s="7">
        <v>42942</v>
      </c>
      <c r="F141" s="2">
        <v>957</v>
      </c>
      <c r="G141" s="55"/>
      <c r="H141" s="55"/>
      <c r="I141" s="7">
        <v>42944</v>
      </c>
      <c r="J141" s="2">
        <v>1073</v>
      </c>
      <c r="K141" s="55"/>
      <c r="L141" s="55"/>
      <c r="M141" s="7">
        <v>42946</v>
      </c>
      <c r="N141" s="2">
        <v>1308</v>
      </c>
      <c r="O141" s="55"/>
      <c r="P141" s="55"/>
      <c r="Q141" s="7">
        <v>42948</v>
      </c>
      <c r="R141" s="4">
        <v>2895</v>
      </c>
      <c r="S141" s="55"/>
      <c r="T141" s="55"/>
      <c r="U141" s="7">
        <v>42950</v>
      </c>
      <c r="V141" s="2">
        <v>5197</v>
      </c>
      <c r="W141" s="55"/>
      <c r="X141" s="55"/>
      <c r="Y141" s="7">
        <v>42952</v>
      </c>
      <c r="Z141" s="2">
        <v>13123</v>
      </c>
      <c r="AA141" s="55"/>
      <c r="AB141" s="55"/>
      <c r="AC141" s="7">
        <v>42954</v>
      </c>
      <c r="AD141" s="2">
        <v>15608</v>
      </c>
      <c r="AE141" s="55"/>
      <c r="AF141" s="55"/>
      <c r="AG141" s="7">
        <v>42956</v>
      </c>
      <c r="AH141" s="2">
        <v>24134</v>
      </c>
      <c r="AI141" s="55"/>
      <c r="AJ141" s="55"/>
      <c r="AK141" s="7">
        <v>42958</v>
      </c>
      <c r="AL141" s="2">
        <v>38392</v>
      </c>
      <c r="AM141" s="55"/>
      <c r="AN141" s="55"/>
      <c r="AO141" s="7">
        <v>42960</v>
      </c>
      <c r="AP141" s="2">
        <v>60216</v>
      </c>
      <c r="AQ141" s="55"/>
      <c r="AR141" s="55"/>
      <c r="AS141" s="7">
        <v>42962</v>
      </c>
      <c r="AT141" s="2">
        <f>4906*20</f>
        <v>98120</v>
      </c>
      <c r="AU141" s="55"/>
      <c r="AV141" s="55"/>
      <c r="AW141" s="7">
        <v>42964</v>
      </c>
      <c r="AX141" s="2">
        <f>9304*20</f>
        <v>186080</v>
      </c>
      <c r="AY141" s="55"/>
      <c r="AZ141" s="55"/>
      <c r="BA141" s="7">
        <v>42966</v>
      </c>
      <c r="BB141" s="2">
        <f>11413*20</f>
        <v>228260</v>
      </c>
      <c r="BC141" s="55"/>
      <c r="BD141" s="55"/>
      <c r="BE141" s="7">
        <v>42968</v>
      </c>
      <c r="BF141" s="2">
        <f>15350*20</f>
        <v>307000</v>
      </c>
      <c r="BG141" s="55"/>
      <c r="BH141" s="55"/>
      <c r="BI141" s="7">
        <v>42970</v>
      </c>
      <c r="BJ141" s="2">
        <f>13481*20</f>
        <v>269620</v>
      </c>
      <c r="BK141" s="55"/>
      <c r="BL141" s="55"/>
      <c r="BM141" s="7">
        <v>42972</v>
      </c>
      <c r="BN141" s="2">
        <f>13105*20</f>
        <v>262100</v>
      </c>
      <c r="BO141" s="55"/>
      <c r="BP141" s="55"/>
      <c r="BQ141" s="7">
        <v>42974</v>
      </c>
      <c r="BR141" s="2">
        <f>11028*20</f>
        <v>220560</v>
      </c>
      <c r="BS141" s="55"/>
      <c r="BT141" s="55"/>
      <c r="BU141" s="7">
        <v>42976</v>
      </c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</row>
    <row r="142" spans="1:101" x14ac:dyDescent="0.2">
      <c r="A142" s="20" t="s">
        <v>242</v>
      </c>
      <c r="B142" s="18">
        <f t="shared" si="329"/>
        <v>1408</v>
      </c>
      <c r="C142" s="55"/>
      <c r="D142" s="55"/>
      <c r="E142" s="7">
        <v>42942</v>
      </c>
      <c r="F142" s="2">
        <v>1272</v>
      </c>
      <c r="G142" s="55"/>
      <c r="H142" s="55"/>
      <c r="I142" s="7">
        <v>42944</v>
      </c>
      <c r="J142" s="2">
        <v>1027</v>
      </c>
      <c r="K142" s="55"/>
      <c r="L142" s="55"/>
      <c r="M142" s="7">
        <v>42946</v>
      </c>
      <c r="N142" s="2">
        <v>1324</v>
      </c>
      <c r="O142" s="55"/>
      <c r="P142" s="55"/>
      <c r="Q142" s="7">
        <v>42948</v>
      </c>
      <c r="R142" s="4">
        <v>2759</v>
      </c>
      <c r="S142" s="55"/>
      <c r="T142" s="55"/>
      <c r="U142" s="7">
        <v>42950</v>
      </c>
      <c r="V142" s="2">
        <v>4966</v>
      </c>
      <c r="W142" s="55"/>
      <c r="X142" s="55"/>
      <c r="Y142" s="7">
        <v>42952</v>
      </c>
      <c r="Z142" s="2">
        <v>13089</v>
      </c>
      <c r="AA142" s="55"/>
      <c r="AB142" s="55"/>
      <c r="AC142" s="7">
        <v>42954</v>
      </c>
      <c r="AD142" s="2">
        <v>15286</v>
      </c>
      <c r="AE142" s="55"/>
      <c r="AF142" s="55"/>
      <c r="AG142" s="7">
        <v>42956</v>
      </c>
      <c r="AH142" s="2">
        <v>22698</v>
      </c>
      <c r="AI142" s="55"/>
      <c r="AJ142" s="55"/>
      <c r="AK142" s="7">
        <v>42958</v>
      </c>
      <c r="AL142" s="2">
        <v>38250</v>
      </c>
      <c r="AM142" s="55"/>
      <c r="AN142" s="55"/>
      <c r="AO142" s="7">
        <v>42960</v>
      </c>
      <c r="AP142" s="2">
        <v>61268</v>
      </c>
      <c r="AQ142" s="55"/>
      <c r="AR142" s="55"/>
      <c r="AS142" s="7">
        <v>42962</v>
      </c>
      <c r="AT142" s="2">
        <f>5026*20</f>
        <v>100520</v>
      </c>
      <c r="AU142" s="55"/>
      <c r="AV142" s="55"/>
      <c r="AW142" s="7">
        <v>42964</v>
      </c>
      <c r="AX142" s="2">
        <f>9266*20</f>
        <v>185320</v>
      </c>
      <c r="AY142" s="55"/>
      <c r="AZ142" s="55"/>
      <c r="BA142" s="7">
        <v>42966</v>
      </c>
      <c r="BB142" s="2">
        <f>11081*20</f>
        <v>221620</v>
      </c>
      <c r="BC142" s="55"/>
      <c r="BD142" s="55"/>
      <c r="BE142" s="7">
        <v>42968</v>
      </c>
      <c r="BF142" s="2">
        <f>15400*20</f>
        <v>308000</v>
      </c>
      <c r="BG142" s="55"/>
      <c r="BH142" s="55"/>
      <c r="BI142" s="7">
        <v>42970</v>
      </c>
      <c r="BJ142" s="2">
        <f>13797*20</f>
        <v>275940</v>
      </c>
      <c r="BK142" s="55"/>
      <c r="BL142" s="55"/>
      <c r="BM142" s="7">
        <v>42972</v>
      </c>
      <c r="BN142" s="2">
        <f>12910*20</f>
        <v>258200</v>
      </c>
      <c r="BO142" s="55"/>
      <c r="BP142" s="55"/>
      <c r="BQ142" s="7">
        <v>42974</v>
      </c>
      <c r="BR142" s="2">
        <f>10830*20</f>
        <v>216600</v>
      </c>
      <c r="BS142" s="55"/>
      <c r="BT142" s="55"/>
      <c r="BU142" s="7">
        <v>42976</v>
      </c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</row>
    <row r="143" spans="1:101" x14ac:dyDescent="0.2">
      <c r="A143" s="20" t="s">
        <v>243</v>
      </c>
      <c r="B143" s="18">
        <f t="shared" si="329"/>
        <v>1408</v>
      </c>
      <c r="C143" s="55"/>
      <c r="D143" s="55"/>
      <c r="E143" s="7">
        <v>42942</v>
      </c>
      <c r="F143" s="2">
        <v>1144</v>
      </c>
      <c r="G143" s="55"/>
      <c r="H143" s="55"/>
      <c r="I143" s="7">
        <v>42944</v>
      </c>
      <c r="J143" s="2">
        <v>860</v>
      </c>
      <c r="K143" s="55"/>
      <c r="L143" s="55"/>
      <c r="M143" s="7">
        <v>42946</v>
      </c>
      <c r="N143" s="2">
        <v>1313</v>
      </c>
      <c r="O143" s="55"/>
      <c r="P143" s="55"/>
      <c r="Q143" s="7">
        <v>42948</v>
      </c>
      <c r="R143" s="4">
        <v>2262</v>
      </c>
      <c r="S143" s="55"/>
      <c r="T143" s="55"/>
      <c r="U143" s="7">
        <v>42950</v>
      </c>
      <c r="V143" s="2">
        <v>3393</v>
      </c>
      <c r="W143" s="55"/>
      <c r="X143" s="55"/>
      <c r="Y143" s="7">
        <v>42952</v>
      </c>
      <c r="Z143" s="2">
        <v>6818</v>
      </c>
      <c r="AA143" s="55"/>
      <c r="AB143" s="55"/>
      <c r="AC143" s="7">
        <v>42954</v>
      </c>
      <c r="AD143" s="2">
        <v>8732</v>
      </c>
      <c r="AE143" s="55"/>
      <c r="AF143" s="55"/>
      <c r="AG143" s="7">
        <v>42956</v>
      </c>
      <c r="AH143" s="2">
        <v>12540</v>
      </c>
      <c r="AI143" s="55"/>
      <c r="AJ143" s="55"/>
      <c r="AK143" s="7">
        <v>42958</v>
      </c>
      <c r="AL143" s="2">
        <v>18957</v>
      </c>
      <c r="AM143" s="55"/>
      <c r="AN143" s="55"/>
      <c r="AO143" s="7">
        <v>42960</v>
      </c>
      <c r="AP143" s="2">
        <v>30353</v>
      </c>
      <c r="AQ143" s="55"/>
      <c r="AR143" s="55"/>
      <c r="AS143" s="7">
        <v>42962</v>
      </c>
      <c r="AT143" s="2">
        <f>2236*20</f>
        <v>44720</v>
      </c>
      <c r="AU143" s="55"/>
      <c r="AV143" s="55"/>
      <c r="AW143" s="7">
        <v>42964</v>
      </c>
      <c r="AX143" s="2">
        <f>3394*20</f>
        <v>67880</v>
      </c>
      <c r="AY143" s="55"/>
      <c r="AZ143" s="55"/>
      <c r="BA143" s="7">
        <v>42966</v>
      </c>
      <c r="BB143" s="2">
        <f>5056*20</f>
        <v>101120</v>
      </c>
      <c r="BC143" s="55"/>
      <c r="BD143" s="55"/>
      <c r="BE143" s="7">
        <v>42968</v>
      </c>
      <c r="BF143" s="2">
        <f>8628*20</f>
        <v>172560</v>
      </c>
      <c r="BG143" s="55"/>
      <c r="BH143" s="55"/>
      <c r="BI143" s="7">
        <v>42970</v>
      </c>
      <c r="BJ143" s="2">
        <f>12966*20</f>
        <v>259320</v>
      </c>
      <c r="BK143" s="55"/>
      <c r="BL143" s="55"/>
      <c r="BM143" s="7">
        <v>42972</v>
      </c>
      <c r="BN143" s="2">
        <f>14098*20</f>
        <v>281960</v>
      </c>
      <c r="BO143" s="55"/>
      <c r="BP143" s="55"/>
      <c r="BQ143" s="7">
        <v>42974</v>
      </c>
      <c r="BR143" s="2">
        <f>13036*20</f>
        <v>260720</v>
      </c>
      <c r="BS143" s="55"/>
      <c r="BT143" s="55"/>
      <c r="BU143" s="7">
        <v>42976</v>
      </c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</row>
    <row r="144" spans="1:101" x14ac:dyDescent="0.2">
      <c r="A144" s="20" t="s">
        <v>244</v>
      </c>
      <c r="B144" s="18">
        <f t="shared" si="329"/>
        <v>1408</v>
      </c>
      <c r="C144" s="55"/>
      <c r="D144" s="55"/>
      <c r="E144" s="7">
        <v>42942</v>
      </c>
      <c r="F144" s="2">
        <v>1109</v>
      </c>
      <c r="G144" s="55"/>
      <c r="H144" s="55"/>
      <c r="I144" s="7">
        <v>42944</v>
      </c>
      <c r="J144" s="2">
        <v>785</v>
      </c>
      <c r="K144" s="55"/>
      <c r="L144" s="55"/>
      <c r="M144" s="7">
        <v>42946</v>
      </c>
      <c r="N144" s="2">
        <v>1170</v>
      </c>
      <c r="O144" s="55"/>
      <c r="P144" s="55"/>
      <c r="Q144" s="7">
        <v>42948</v>
      </c>
      <c r="R144" s="4">
        <v>2221</v>
      </c>
      <c r="S144" s="55"/>
      <c r="T144" s="55"/>
      <c r="U144" s="7">
        <v>42950</v>
      </c>
      <c r="V144" s="2">
        <v>3217</v>
      </c>
      <c r="W144" s="55"/>
      <c r="X144" s="55"/>
      <c r="Y144" s="7">
        <v>42952</v>
      </c>
      <c r="Z144" s="2">
        <v>6097</v>
      </c>
      <c r="AA144" s="55"/>
      <c r="AB144" s="55"/>
      <c r="AC144" s="7">
        <v>42954</v>
      </c>
      <c r="AD144" s="2">
        <v>8443</v>
      </c>
      <c r="AE144" s="55"/>
      <c r="AF144" s="55"/>
      <c r="AG144" s="7">
        <v>42956</v>
      </c>
      <c r="AH144" s="2">
        <v>12441</v>
      </c>
      <c r="AI144" s="55"/>
      <c r="AJ144" s="55"/>
      <c r="AK144" s="7">
        <v>42958</v>
      </c>
      <c r="AL144" s="2">
        <v>18649</v>
      </c>
      <c r="AM144" s="55"/>
      <c r="AN144" s="55"/>
      <c r="AO144" s="7">
        <v>42960</v>
      </c>
      <c r="AP144" s="2">
        <v>29646</v>
      </c>
      <c r="AQ144" s="55"/>
      <c r="AR144" s="55"/>
      <c r="AS144" s="7">
        <v>42962</v>
      </c>
      <c r="AT144" s="2">
        <f>2073*20</f>
        <v>41460</v>
      </c>
      <c r="AU144" s="55"/>
      <c r="AV144" s="55"/>
      <c r="AW144" s="7">
        <v>42964</v>
      </c>
      <c r="AX144" s="2">
        <f>3327*20</f>
        <v>66540</v>
      </c>
      <c r="AY144" s="55"/>
      <c r="AZ144" s="55"/>
      <c r="BA144" s="7">
        <v>42966</v>
      </c>
      <c r="BB144" s="2">
        <f>4783*20</f>
        <v>95660</v>
      </c>
      <c r="BC144" s="55"/>
      <c r="BD144" s="55"/>
      <c r="BE144" s="7">
        <v>42968</v>
      </c>
      <c r="BF144" s="2">
        <f>8430*20</f>
        <v>168600</v>
      </c>
      <c r="BG144" s="55"/>
      <c r="BH144" s="55"/>
      <c r="BI144" s="7">
        <v>42970</v>
      </c>
      <c r="BJ144" s="2">
        <f>12581*20</f>
        <v>251620</v>
      </c>
      <c r="BK144" s="55"/>
      <c r="BL144" s="55"/>
      <c r="BM144" s="7">
        <v>42972</v>
      </c>
      <c r="BN144" s="2">
        <f>14153*20</f>
        <v>283060</v>
      </c>
      <c r="BO144" s="55"/>
      <c r="BP144" s="55"/>
      <c r="BQ144" s="7">
        <v>42974</v>
      </c>
      <c r="BR144" s="2">
        <f>13204*20</f>
        <v>264080</v>
      </c>
      <c r="BS144" s="55"/>
      <c r="BT144" s="55"/>
      <c r="BU144" s="7">
        <v>42976</v>
      </c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</row>
    <row r="145" spans="1:101" x14ac:dyDescent="0.2">
      <c r="A145" s="20" t="s">
        <v>245</v>
      </c>
      <c r="B145" s="18">
        <f t="shared" si="329"/>
        <v>1408</v>
      </c>
      <c r="C145" s="55"/>
      <c r="D145" s="55"/>
      <c r="E145" s="7">
        <v>42942</v>
      </c>
      <c r="G145" s="55"/>
      <c r="H145" s="55"/>
      <c r="I145" s="7">
        <v>42944</v>
      </c>
      <c r="J145" s="2">
        <v>775</v>
      </c>
      <c r="K145" s="55"/>
      <c r="L145" s="55"/>
      <c r="M145" s="7">
        <v>42946</v>
      </c>
      <c r="N145" s="2">
        <v>1226</v>
      </c>
      <c r="O145" s="55"/>
      <c r="P145" s="55"/>
      <c r="Q145" s="7">
        <v>42948</v>
      </c>
      <c r="R145" s="4">
        <v>2132</v>
      </c>
      <c r="S145" s="55"/>
      <c r="T145" s="55"/>
      <c r="U145" s="7">
        <v>42950</v>
      </c>
      <c r="V145" s="2">
        <v>3174</v>
      </c>
      <c r="W145" s="55"/>
      <c r="X145" s="55"/>
      <c r="Y145" s="7">
        <v>42952</v>
      </c>
      <c r="Z145" s="2">
        <v>5636</v>
      </c>
      <c r="AA145" s="55"/>
      <c r="AB145" s="55"/>
      <c r="AC145" s="7">
        <v>42954</v>
      </c>
      <c r="AD145" s="2">
        <v>8362</v>
      </c>
      <c r="AE145" s="55"/>
      <c r="AF145" s="55"/>
      <c r="AG145" s="7">
        <v>42956</v>
      </c>
      <c r="AH145" s="2">
        <v>11971</v>
      </c>
      <c r="AI145" s="55"/>
      <c r="AJ145" s="55"/>
      <c r="AK145" s="7">
        <v>42958</v>
      </c>
      <c r="AL145" s="2">
        <v>18243</v>
      </c>
      <c r="AM145" s="55"/>
      <c r="AN145" s="55"/>
      <c r="AO145" s="7">
        <v>42960</v>
      </c>
      <c r="AP145" s="2">
        <v>29150</v>
      </c>
      <c r="AQ145" s="55"/>
      <c r="AR145" s="55"/>
      <c r="AS145" s="7">
        <v>42962</v>
      </c>
      <c r="AT145" s="2">
        <f>2162*20</f>
        <v>43240</v>
      </c>
      <c r="AU145" s="55"/>
      <c r="AV145" s="55"/>
      <c r="AW145" s="7">
        <v>42964</v>
      </c>
      <c r="AX145" s="2">
        <f>3321*20</f>
        <v>66420</v>
      </c>
      <c r="AY145" s="55"/>
      <c r="AZ145" s="55"/>
      <c r="BA145" s="7">
        <v>42966</v>
      </c>
      <c r="BB145" s="2">
        <f>4815*20</f>
        <v>96300</v>
      </c>
      <c r="BC145" s="55"/>
      <c r="BD145" s="55"/>
      <c r="BE145" s="7">
        <v>42968</v>
      </c>
      <c r="BF145" s="2">
        <f>8417*20</f>
        <v>168340</v>
      </c>
      <c r="BG145" s="55"/>
      <c r="BH145" s="55"/>
      <c r="BI145" s="7">
        <v>42970</v>
      </c>
      <c r="BJ145" s="2">
        <f>12623*20</f>
        <v>252460</v>
      </c>
      <c r="BK145" s="55"/>
      <c r="BL145" s="55"/>
      <c r="BM145" s="7">
        <v>42972</v>
      </c>
      <c r="BN145" s="2">
        <f>14044*20</f>
        <v>280880</v>
      </c>
      <c r="BO145" s="55"/>
      <c r="BP145" s="55"/>
      <c r="BQ145" s="7">
        <v>42974</v>
      </c>
      <c r="BR145" s="2">
        <f>12877*20</f>
        <v>257540</v>
      </c>
      <c r="BS145" s="55"/>
      <c r="BT145" s="55"/>
      <c r="BU145" s="7">
        <v>42976</v>
      </c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</row>
    <row r="146" spans="1:101" x14ac:dyDescent="0.2">
      <c r="A146" s="20" t="s">
        <v>284</v>
      </c>
      <c r="B146" s="18">
        <f>(innoculationdensity!$D$38*10)/1000</f>
        <v>1188.0666666666666</v>
      </c>
      <c r="C146" s="56">
        <f t="shared" ref="C146" si="330">AVERAGE(B146:B154)</f>
        <v>1188.0666666666666</v>
      </c>
      <c r="D146" s="56">
        <f t="shared" ref="D146" si="331">(STDEV(B146:B154))</f>
        <v>0</v>
      </c>
      <c r="E146" s="7">
        <v>42943</v>
      </c>
      <c r="F146" s="2">
        <f>2475-432</f>
        <v>2043</v>
      </c>
      <c r="G146" s="56">
        <f t="shared" ref="G146" si="332">AVERAGE(F146:F154)</f>
        <v>2052.3333333333335</v>
      </c>
      <c r="H146" s="56">
        <f t="shared" ref="H146:H173" si="333">(STDEV(F146:F154))</f>
        <v>110.049988641526</v>
      </c>
      <c r="I146" s="7">
        <v>42945</v>
      </c>
      <c r="J146" s="2">
        <v>3461</v>
      </c>
      <c r="K146" s="56">
        <f t="shared" ref="K146" si="334">AVERAGE(J146:J154)</f>
        <v>3662.8888888888887</v>
      </c>
      <c r="L146" s="56">
        <f t="shared" ref="L146" si="335">(STDEV(J146:J154))</f>
        <v>307.50993660548778</v>
      </c>
      <c r="M146" s="7">
        <v>42947</v>
      </c>
      <c r="N146" s="2">
        <v>18456</v>
      </c>
      <c r="O146" s="56">
        <f t="shared" ref="O146" si="336">AVERAGE(N146:N154)</f>
        <v>18200.333333333332</v>
      </c>
      <c r="P146" s="56">
        <f t="shared" ref="P146" si="337">(STDEV(N146:N154))</f>
        <v>1001.0685540960719</v>
      </c>
      <c r="Q146" s="7">
        <v>42949</v>
      </c>
      <c r="R146" s="4">
        <v>43582</v>
      </c>
      <c r="S146" s="56">
        <f t="shared" ref="S146" si="338">AVERAGE(R146:R154)</f>
        <v>42680.222222222219</v>
      </c>
      <c r="T146" s="56">
        <f t="shared" ref="T146" si="339">(STDEV(R146:R154))</f>
        <v>2546.9564080377281</v>
      </c>
      <c r="U146" s="7">
        <v>42951</v>
      </c>
      <c r="V146" s="2">
        <f>5221*20</f>
        <v>104420</v>
      </c>
      <c r="W146" s="54">
        <f t="shared" ref="W146" si="340">AVERAGE(V146:V154)</f>
        <v>99988.888888888891</v>
      </c>
      <c r="X146" s="56">
        <f t="shared" ref="X146" si="341">(STDEV(V146:V154))</f>
        <v>9045.7454701705537</v>
      </c>
      <c r="Y146" s="7">
        <v>42953</v>
      </c>
      <c r="Z146" s="2">
        <f>16484*20</f>
        <v>329680</v>
      </c>
      <c r="AA146" s="54">
        <f t="shared" ref="AA146" si="342">AVERAGE(Z146:Z154)</f>
        <v>326748.88888888888</v>
      </c>
      <c r="AB146" s="56">
        <f t="shared" ref="AB146" si="343">(STDEV(Z146:Z154))</f>
        <v>5950.8916232032925</v>
      </c>
      <c r="AC146" s="7">
        <v>42955</v>
      </c>
      <c r="AD146" s="2">
        <f>32307*20</f>
        <v>646140</v>
      </c>
      <c r="AE146" s="54">
        <f t="shared" ref="AE146" si="344">AVERAGE(AD146:AD154)</f>
        <v>616435.5555555555</v>
      </c>
      <c r="AF146" s="56">
        <f t="shared" ref="AF146" si="345">(STDEV(AD146:AD154))</f>
        <v>37635.811108275295</v>
      </c>
      <c r="AG146" s="7">
        <v>42957</v>
      </c>
      <c r="AH146" s="2">
        <f>51084*20</f>
        <v>1021680</v>
      </c>
      <c r="AI146" s="54">
        <f t="shared" ref="AI146" si="346">AVERAGE(AH146:AH154)</f>
        <v>955313.33333333337</v>
      </c>
      <c r="AJ146" s="56">
        <f t="shared" ref="AJ146" si="347">(STDEV(AH146:AH154))</f>
        <v>59888.423756181794</v>
      </c>
      <c r="AK146" s="7">
        <v>42959</v>
      </c>
      <c r="AL146" s="2">
        <f>60803*20</f>
        <v>1216060</v>
      </c>
      <c r="AM146" s="54">
        <f t="shared" ref="AM146" si="348">AVERAGE(AL146:AL154)</f>
        <v>1152757.7777777778</v>
      </c>
      <c r="AN146" s="56">
        <f t="shared" ref="AN146" si="349">(STDEV(AL146:AL154))</f>
        <v>66437.227850388561</v>
      </c>
      <c r="AO146" s="7">
        <v>42961</v>
      </c>
      <c r="AP146" s="2">
        <f>57985*20</f>
        <v>1159700</v>
      </c>
      <c r="AQ146" s="54">
        <f t="shared" ref="AQ146" si="350">AVERAGE(AP146:AP154)</f>
        <v>1098311.111111111</v>
      </c>
      <c r="AR146" s="56">
        <f t="shared" ref="AR146" si="351">(STDEV(AP146:AP154))</f>
        <v>64043.28544907039</v>
      </c>
      <c r="AS146" s="7">
        <v>42963</v>
      </c>
      <c r="AT146" s="2">
        <f>44894*20</f>
        <v>897880</v>
      </c>
      <c r="AU146" s="54">
        <f t="shared" ref="AU146" si="352">AVERAGE(AT146:AT154)</f>
        <v>816260</v>
      </c>
      <c r="AV146" s="56">
        <f t="shared" ref="AV146" si="353">(STDEV(AT146:AT154))</f>
        <v>84816.989453764516</v>
      </c>
      <c r="AW146" s="7">
        <v>42965</v>
      </c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</row>
    <row r="147" spans="1:101" x14ac:dyDescent="0.2">
      <c r="A147" s="20" t="s">
        <v>285</v>
      </c>
      <c r="B147" s="18">
        <f>(innoculationdensity!$D$38*10)/1000</f>
        <v>1188.0666666666666</v>
      </c>
      <c r="C147" s="55"/>
      <c r="D147" s="55"/>
      <c r="E147" s="7">
        <v>42943</v>
      </c>
      <c r="F147" s="2">
        <f>2409-432</f>
        <v>1977</v>
      </c>
      <c r="G147" s="55"/>
      <c r="H147" s="55"/>
      <c r="I147" s="7">
        <v>42945</v>
      </c>
      <c r="J147" s="2">
        <v>3530</v>
      </c>
      <c r="K147" s="55"/>
      <c r="L147" s="55"/>
      <c r="M147" s="7">
        <v>42947</v>
      </c>
      <c r="N147" s="2">
        <v>17635</v>
      </c>
      <c r="O147" s="55"/>
      <c r="P147" s="55"/>
      <c r="Q147" s="7">
        <v>42949</v>
      </c>
      <c r="R147" s="4">
        <v>40842</v>
      </c>
      <c r="S147" s="55"/>
      <c r="T147" s="55"/>
      <c r="U147" s="7">
        <v>42951</v>
      </c>
      <c r="V147" s="2">
        <f>5745*20</f>
        <v>114900</v>
      </c>
      <c r="W147" s="55"/>
      <c r="X147" s="55"/>
      <c r="Y147" s="7">
        <v>42953</v>
      </c>
      <c r="Z147" s="2">
        <f>16636*20</f>
        <v>332720</v>
      </c>
      <c r="AA147" s="55"/>
      <c r="AB147" s="55"/>
      <c r="AC147" s="7">
        <v>42955</v>
      </c>
      <c r="AD147" s="2">
        <f>32814*20</f>
        <v>656280</v>
      </c>
      <c r="AE147" s="55"/>
      <c r="AF147" s="55"/>
      <c r="AG147" s="7">
        <v>42957</v>
      </c>
      <c r="AH147" s="2">
        <f>50984*20</f>
        <v>1019680</v>
      </c>
      <c r="AI147" s="55"/>
      <c r="AJ147" s="55"/>
      <c r="AK147" s="7">
        <v>42959</v>
      </c>
      <c r="AL147" s="2">
        <f>60616*20</f>
        <v>1212320</v>
      </c>
      <c r="AM147" s="55"/>
      <c r="AN147" s="55"/>
      <c r="AO147" s="7">
        <v>42961</v>
      </c>
      <c r="AP147" s="2">
        <f>58575*20</f>
        <v>1171500</v>
      </c>
      <c r="AQ147" s="55"/>
      <c r="AR147" s="55"/>
      <c r="AS147" s="7">
        <v>42963</v>
      </c>
      <c r="AT147" s="2">
        <f>43907*20</f>
        <v>878140</v>
      </c>
      <c r="AU147" s="55"/>
      <c r="AV147" s="55"/>
      <c r="AW147" s="7">
        <v>42965</v>
      </c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</row>
    <row r="148" spans="1:101" x14ac:dyDescent="0.2">
      <c r="A148" s="20" t="s">
        <v>286</v>
      </c>
      <c r="B148" s="18">
        <f>(innoculationdensity!$D$38*10)/1000</f>
        <v>1188.0666666666666</v>
      </c>
      <c r="C148" s="55"/>
      <c r="D148" s="55"/>
      <c r="E148" s="7">
        <v>42943</v>
      </c>
      <c r="F148" s="2">
        <f>2390-432</f>
        <v>1958</v>
      </c>
      <c r="G148" s="55"/>
      <c r="H148" s="55"/>
      <c r="I148" s="7">
        <v>42945</v>
      </c>
      <c r="J148" s="2">
        <v>3425</v>
      </c>
      <c r="K148" s="55"/>
      <c r="L148" s="55"/>
      <c r="M148" s="7">
        <v>42947</v>
      </c>
      <c r="N148" s="2">
        <v>17678</v>
      </c>
      <c r="O148" s="55"/>
      <c r="P148" s="55"/>
      <c r="Q148" s="7">
        <v>42949</v>
      </c>
      <c r="R148" s="4">
        <v>39868</v>
      </c>
      <c r="S148" s="55"/>
      <c r="T148" s="55"/>
      <c r="U148" s="7">
        <v>42951</v>
      </c>
      <c r="V148" s="2">
        <f>4983*20</f>
        <v>99660</v>
      </c>
      <c r="W148" s="55"/>
      <c r="X148" s="55"/>
      <c r="Y148" s="7">
        <v>42953</v>
      </c>
      <c r="Z148" s="2">
        <f>16191*20</f>
        <v>323820</v>
      </c>
      <c r="AA148" s="55"/>
      <c r="AB148" s="55"/>
      <c r="AC148" s="7">
        <v>42955</v>
      </c>
      <c r="AD148" s="2">
        <f>32888*20</f>
        <v>657760</v>
      </c>
      <c r="AE148" s="55"/>
      <c r="AF148" s="55"/>
      <c r="AG148" s="7">
        <v>42957</v>
      </c>
      <c r="AH148" s="2">
        <f>50679*20</f>
        <v>1013580</v>
      </c>
      <c r="AI148" s="55"/>
      <c r="AJ148" s="55"/>
      <c r="AK148" s="7">
        <v>42959</v>
      </c>
      <c r="AL148" s="2">
        <f>60067*20</f>
        <v>1201340</v>
      </c>
      <c r="AM148" s="55"/>
      <c r="AN148" s="55"/>
      <c r="AO148" s="7">
        <v>42961</v>
      </c>
      <c r="AP148" s="2">
        <f>58578*20</f>
        <v>1171560</v>
      </c>
      <c r="AQ148" s="55"/>
      <c r="AR148" s="55"/>
      <c r="AS148" s="7">
        <v>42963</v>
      </c>
      <c r="AT148" s="2">
        <f>43976*20</f>
        <v>879520</v>
      </c>
      <c r="AU148" s="55"/>
      <c r="AV148" s="55"/>
      <c r="AW148" s="7">
        <v>42965</v>
      </c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</row>
    <row r="149" spans="1:101" x14ac:dyDescent="0.2">
      <c r="A149" s="20" t="s">
        <v>287</v>
      </c>
      <c r="B149" s="18">
        <f>(innoculationdensity!$D$38*10)/1000</f>
        <v>1188.0666666666666</v>
      </c>
      <c r="C149" s="55"/>
      <c r="D149" s="55"/>
      <c r="E149" s="7">
        <v>42943</v>
      </c>
      <c r="F149" s="2">
        <f>2579-432</f>
        <v>2147</v>
      </c>
      <c r="G149" s="55"/>
      <c r="H149" s="55"/>
      <c r="I149" s="7">
        <v>42945</v>
      </c>
      <c r="J149" s="2">
        <v>3477</v>
      </c>
      <c r="K149" s="55"/>
      <c r="L149" s="55"/>
      <c r="M149" s="7">
        <v>42947</v>
      </c>
      <c r="N149" s="2">
        <v>17783</v>
      </c>
      <c r="O149" s="55"/>
      <c r="P149" s="55"/>
      <c r="Q149" s="7">
        <v>42949</v>
      </c>
      <c r="R149" s="4">
        <v>42345</v>
      </c>
      <c r="S149" s="55"/>
      <c r="T149" s="55"/>
      <c r="U149" s="7">
        <v>42951</v>
      </c>
      <c r="V149" s="2">
        <f>5409*20</f>
        <v>108180</v>
      </c>
      <c r="W149" s="55"/>
      <c r="X149" s="55"/>
      <c r="Y149" s="7">
        <v>42953</v>
      </c>
      <c r="Z149" s="2">
        <f>16131*20</f>
        <v>322620</v>
      </c>
      <c r="AA149" s="55"/>
      <c r="AB149" s="55"/>
      <c r="AC149" s="7">
        <v>42955</v>
      </c>
      <c r="AD149" s="2">
        <f>28394*20</f>
        <v>567880</v>
      </c>
      <c r="AE149" s="55"/>
      <c r="AF149" s="55"/>
      <c r="AG149" s="7">
        <v>42957</v>
      </c>
      <c r="AH149" s="2">
        <f>44020*20</f>
        <v>880400</v>
      </c>
      <c r="AI149" s="55"/>
      <c r="AJ149" s="55"/>
      <c r="AK149" s="7">
        <v>42959</v>
      </c>
      <c r="AL149" s="2">
        <f>53443*20</f>
        <v>1068860</v>
      </c>
      <c r="AM149" s="55"/>
      <c r="AN149" s="55"/>
      <c r="AO149" s="7">
        <v>42961</v>
      </c>
      <c r="AP149" s="2">
        <f>51108*20</f>
        <v>1022160</v>
      </c>
      <c r="AQ149" s="55"/>
      <c r="AR149" s="55"/>
      <c r="AS149" s="7">
        <v>42963</v>
      </c>
      <c r="AT149" s="2">
        <f>34666*20</f>
        <v>693320</v>
      </c>
      <c r="AU149" s="55"/>
      <c r="AV149" s="55"/>
      <c r="AW149" s="7">
        <v>42965</v>
      </c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</row>
    <row r="150" spans="1:101" x14ac:dyDescent="0.2">
      <c r="A150" s="20" t="s">
        <v>288</v>
      </c>
      <c r="B150" s="18">
        <f>(innoculationdensity!$D$38*10)/1000</f>
        <v>1188.0666666666666</v>
      </c>
      <c r="C150" s="55"/>
      <c r="D150" s="55"/>
      <c r="E150" s="7">
        <v>42943</v>
      </c>
      <c r="F150" s="2">
        <f>2629-432</f>
        <v>2197</v>
      </c>
      <c r="G150" s="55"/>
      <c r="H150" s="55"/>
      <c r="I150" s="7">
        <v>42945</v>
      </c>
      <c r="J150" s="2">
        <v>3432</v>
      </c>
      <c r="K150" s="55"/>
      <c r="L150" s="55"/>
      <c r="M150" s="7">
        <v>42947</v>
      </c>
      <c r="N150" s="2">
        <v>17180</v>
      </c>
      <c r="O150" s="55"/>
      <c r="P150" s="55"/>
      <c r="Q150" s="7">
        <v>42949</v>
      </c>
      <c r="R150" s="4">
        <v>41109</v>
      </c>
      <c r="S150" s="55"/>
      <c r="T150" s="55"/>
      <c r="U150" s="7">
        <v>42951</v>
      </c>
      <c r="V150" s="2">
        <f>5228*20</f>
        <v>104560</v>
      </c>
      <c r="W150" s="55"/>
      <c r="X150" s="55"/>
      <c r="Y150" s="7">
        <v>42953</v>
      </c>
      <c r="Z150" s="2">
        <f>16071*20</f>
        <v>321420</v>
      </c>
      <c r="AA150" s="55"/>
      <c r="AB150" s="55"/>
      <c r="AC150" s="7">
        <v>42955</v>
      </c>
      <c r="AD150" s="2">
        <f>28716*20</f>
        <v>574320</v>
      </c>
      <c r="AE150" s="55"/>
      <c r="AF150" s="55"/>
      <c r="AG150" s="7">
        <v>42957</v>
      </c>
      <c r="AH150" s="2">
        <f>44106*20</f>
        <v>882120</v>
      </c>
      <c r="AI150" s="55"/>
      <c r="AJ150" s="55"/>
      <c r="AK150" s="7">
        <v>42959</v>
      </c>
      <c r="AL150" s="2">
        <f>53626*20</f>
        <v>1072520</v>
      </c>
      <c r="AM150" s="55"/>
      <c r="AN150" s="55"/>
      <c r="AO150" s="7">
        <v>42961</v>
      </c>
      <c r="AP150" s="2">
        <f>50878*20</f>
        <v>1017560</v>
      </c>
      <c r="AQ150" s="55"/>
      <c r="AR150" s="55"/>
      <c r="AS150" s="7">
        <v>42963</v>
      </c>
      <c r="AT150" s="2">
        <f>35315*20</f>
        <v>706300</v>
      </c>
      <c r="AU150" s="55"/>
      <c r="AV150" s="55"/>
      <c r="AW150" s="7">
        <v>42965</v>
      </c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</row>
    <row r="151" spans="1:101" x14ac:dyDescent="0.2">
      <c r="A151" s="20" t="s">
        <v>289</v>
      </c>
      <c r="B151" s="18">
        <f>(innoculationdensity!$D$38*10)/1000</f>
        <v>1188.0666666666666</v>
      </c>
      <c r="C151" s="55"/>
      <c r="D151" s="55"/>
      <c r="E151" s="7">
        <v>42943</v>
      </c>
      <c r="F151" s="2">
        <f>2381-432</f>
        <v>1949</v>
      </c>
      <c r="G151" s="55"/>
      <c r="H151" s="55"/>
      <c r="I151" s="7">
        <v>42945</v>
      </c>
      <c r="J151" s="2">
        <v>3430</v>
      </c>
      <c r="K151" s="55"/>
      <c r="L151" s="55"/>
      <c r="M151" s="7">
        <v>42947</v>
      </c>
      <c r="N151" s="2">
        <v>17053</v>
      </c>
      <c r="O151" s="55"/>
      <c r="P151" s="55"/>
      <c r="Q151" s="7">
        <v>42949</v>
      </c>
      <c r="R151" s="4">
        <v>39463</v>
      </c>
      <c r="S151" s="55"/>
      <c r="T151" s="55"/>
      <c r="U151" s="7">
        <v>42951</v>
      </c>
      <c r="V151" s="2">
        <f>4942*20</f>
        <v>98840</v>
      </c>
      <c r="W151" s="55"/>
      <c r="X151" s="55"/>
      <c r="Y151" s="7">
        <v>42953</v>
      </c>
      <c r="Z151" s="2">
        <f>15887*20</f>
        <v>317740</v>
      </c>
      <c r="AA151" s="55"/>
      <c r="AB151" s="55"/>
      <c r="AC151" s="7">
        <v>42955</v>
      </c>
      <c r="AD151" s="2">
        <f>28340*20</f>
        <v>566800</v>
      </c>
      <c r="AE151" s="55"/>
      <c r="AF151" s="55"/>
      <c r="AG151" s="7">
        <v>42957</v>
      </c>
      <c r="AH151" s="2">
        <f>44139*20</f>
        <v>882780</v>
      </c>
      <c r="AI151" s="55"/>
      <c r="AJ151" s="55"/>
      <c r="AK151" s="7">
        <v>42959</v>
      </c>
      <c r="AL151" s="2">
        <f>52836*20</f>
        <v>1056720</v>
      </c>
      <c r="AM151" s="55"/>
      <c r="AN151" s="55"/>
      <c r="AO151" s="7">
        <v>42961</v>
      </c>
      <c r="AP151" s="2">
        <f>51112*20</f>
        <v>1022240</v>
      </c>
      <c r="AQ151" s="55"/>
      <c r="AR151" s="55"/>
      <c r="AS151" s="7">
        <v>42963</v>
      </c>
      <c r="AT151" s="2">
        <f>35726*20</f>
        <v>714520</v>
      </c>
      <c r="AU151" s="55"/>
      <c r="AV151" s="55"/>
      <c r="AW151" s="7">
        <v>42965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</row>
    <row r="152" spans="1:101" x14ac:dyDescent="0.2">
      <c r="A152" s="20" t="s">
        <v>290</v>
      </c>
      <c r="B152" s="18">
        <f>(innoculationdensity!$D$38*10)/1000</f>
        <v>1188.0666666666666</v>
      </c>
      <c r="C152" s="55"/>
      <c r="D152" s="55"/>
      <c r="E152" s="7">
        <v>42943</v>
      </c>
      <c r="F152" s="2">
        <f>2336-432</f>
        <v>1904</v>
      </c>
      <c r="G152" s="55"/>
      <c r="H152" s="55"/>
      <c r="I152" s="7">
        <v>42945</v>
      </c>
      <c r="J152" s="2">
        <v>4069</v>
      </c>
      <c r="K152" s="55"/>
      <c r="L152" s="55"/>
      <c r="M152" s="7">
        <v>42947</v>
      </c>
      <c r="N152" s="2">
        <v>20062</v>
      </c>
      <c r="O152" s="55"/>
      <c r="P152" s="55"/>
      <c r="Q152" s="7">
        <v>42949</v>
      </c>
      <c r="R152" s="4">
        <v>46080</v>
      </c>
      <c r="S152" s="55"/>
      <c r="T152" s="55"/>
      <c r="U152" s="7">
        <v>42951</v>
      </c>
      <c r="V152" s="2">
        <f>4580*20</f>
        <v>91600</v>
      </c>
      <c r="W152" s="55"/>
      <c r="X152" s="55"/>
      <c r="Y152" s="7">
        <v>42953</v>
      </c>
      <c r="Z152" s="2">
        <f>16835*20</f>
        <v>336700</v>
      </c>
      <c r="AA152" s="55"/>
      <c r="AB152" s="55"/>
      <c r="AC152" s="7">
        <v>42955</v>
      </c>
      <c r="AD152" s="2">
        <f>31754*20</f>
        <v>635080</v>
      </c>
      <c r="AE152" s="55"/>
      <c r="AF152" s="55"/>
      <c r="AG152" s="7">
        <v>42957</v>
      </c>
      <c r="AH152" s="2">
        <f>48806*20</f>
        <v>976120</v>
      </c>
      <c r="AI152" s="55"/>
      <c r="AJ152" s="55"/>
      <c r="AK152" s="7">
        <v>42959</v>
      </c>
      <c r="AL152" s="2">
        <f>59240*20</f>
        <v>1184800</v>
      </c>
      <c r="AM152" s="55"/>
      <c r="AN152" s="55"/>
      <c r="AO152" s="7">
        <v>42961</v>
      </c>
      <c r="AP152" s="2">
        <f>55286*20</f>
        <v>1105720</v>
      </c>
      <c r="AQ152" s="55"/>
      <c r="AR152" s="55"/>
      <c r="AS152" s="7">
        <v>42963</v>
      </c>
      <c r="AT152" s="2">
        <f>43199*20</f>
        <v>863980</v>
      </c>
      <c r="AU152" s="55"/>
      <c r="AV152" s="55"/>
      <c r="AW152" s="7">
        <v>42965</v>
      </c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</row>
    <row r="153" spans="1:101" x14ac:dyDescent="0.2">
      <c r="A153" s="20" t="s">
        <v>291</v>
      </c>
      <c r="B153" s="18">
        <f>(innoculationdensity!$D$38*10)/1000</f>
        <v>1188.0666666666666</v>
      </c>
      <c r="C153" s="55"/>
      <c r="D153" s="55"/>
      <c r="E153" s="7">
        <v>42943</v>
      </c>
      <c r="F153" s="2">
        <f>2554-432</f>
        <v>2122</v>
      </c>
      <c r="G153" s="55"/>
      <c r="H153" s="55"/>
      <c r="I153" s="7">
        <v>42945</v>
      </c>
      <c r="J153" s="2">
        <v>4097</v>
      </c>
      <c r="K153" s="55"/>
      <c r="L153" s="55"/>
      <c r="M153" s="7">
        <v>42947</v>
      </c>
      <c r="N153" s="2">
        <v>18702</v>
      </c>
      <c r="O153" s="55"/>
      <c r="P153" s="55"/>
      <c r="Q153" s="7">
        <v>42949</v>
      </c>
      <c r="R153" s="4">
        <v>45010</v>
      </c>
      <c r="S153" s="55"/>
      <c r="T153" s="55"/>
      <c r="U153" s="7">
        <v>42951</v>
      </c>
      <c r="V153" s="2">
        <f>4527*20</f>
        <v>90540</v>
      </c>
      <c r="W153" s="55"/>
      <c r="X153" s="55"/>
      <c r="Y153" s="7">
        <v>42953</v>
      </c>
      <c r="Z153" s="2">
        <f>16446*20</f>
        <v>328920</v>
      </c>
      <c r="AA153" s="55"/>
      <c r="AB153" s="55"/>
      <c r="AC153" s="7">
        <v>42955</v>
      </c>
      <c r="AD153" s="2">
        <f>31529*20</f>
        <v>630580</v>
      </c>
      <c r="AE153" s="55"/>
      <c r="AF153" s="55"/>
      <c r="AG153" s="7">
        <v>42957</v>
      </c>
      <c r="AH153" s="2">
        <f>48225*20</f>
        <v>964500</v>
      </c>
      <c r="AI153" s="55"/>
      <c r="AJ153" s="55"/>
      <c r="AK153" s="7">
        <v>42959</v>
      </c>
      <c r="AL153" s="2">
        <f>59335*20</f>
        <v>1186700</v>
      </c>
      <c r="AM153" s="55"/>
      <c r="AN153" s="55"/>
      <c r="AO153" s="7">
        <v>42961</v>
      </c>
      <c r="AP153" s="2">
        <f>55298*20</f>
        <v>1105960</v>
      </c>
      <c r="AQ153" s="55"/>
      <c r="AR153" s="55"/>
      <c r="AS153" s="7">
        <v>42963</v>
      </c>
      <c r="AT153" s="2">
        <f>42940*20</f>
        <v>858800</v>
      </c>
      <c r="AU153" s="55"/>
      <c r="AV153" s="55"/>
      <c r="AW153" s="7">
        <v>42965</v>
      </c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</row>
    <row r="154" spans="1:101" x14ac:dyDescent="0.2">
      <c r="A154" s="20" t="s">
        <v>292</v>
      </c>
      <c r="B154" s="18">
        <f>(innoculationdensity!$D$38*10)/1000</f>
        <v>1188.0666666666666</v>
      </c>
      <c r="C154" s="55"/>
      <c r="D154" s="55"/>
      <c r="E154" s="7">
        <v>42943</v>
      </c>
      <c r="F154" s="2">
        <f>2606-432</f>
        <v>2174</v>
      </c>
      <c r="G154" s="55"/>
      <c r="H154" s="55"/>
      <c r="I154" s="7">
        <v>42945</v>
      </c>
      <c r="J154" s="2">
        <v>4045</v>
      </c>
      <c r="K154" s="55"/>
      <c r="L154" s="55"/>
      <c r="M154" s="7">
        <v>42947</v>
      </c>
      <c r="N154" s="2">
        <v>19254</v>
      </c>
      <c r="O154" s="55"/>
      <c r="P154" s="55"/>
      <c r="Q154" s="7">
        <v>42949</v>
      </c>
      <c r="R154" s="4">
        <v>45823</v>
      </c>
      <c r="S154" s="55"/>
      <c r="T154" s="55"/>
      <c r="U154" s="7">
        <v>42951</v>
      </c>
      <c r="V154" s="2">
        <f>4360*20</f>
        <v>87200</v>
      </c>
      <c r="W154" s="55"/>
      <c r="X154" s="55"/>
      <c r="Y154" s="7">
        <v>42953</v>
      </c>
      <c r="Z154" s="2">
        <f>16356*20</f>
        <v>327120</v>
      </c>
      <c r="AA154" s="55"/>
      <c r="AB154" s="55"/>
      <c r="AC154" s="7">
        <v>42955</v>
      </c>
      <c r="AD154" s="2">
        <f>30654*20</f>
        <v>613080</v>
      </c>
      <c r="AE154" s="55"/>
      <c r="AF154" s="55"/>
      <c r="AG154" s="7">
        <v>42957</v>
      </c>
      <c r="AH154" s="2">
        <f>47848*20</f>
        <v>956960</v>
      </c>
      <c r="AI154" s="55"/>
      <c r="AJ154" s="55"/>
      <c r="AK154" s="7">
        <v>42959</v>
      </c>
      <c r="AL154" s="2">
        <f>58775*20</f>
        <v>1175500</v>
      </c>
      <c r="AM154" s="55"/>
      <c r="AN154" s="55"/>
      <c r="AO154" s="7">
        <v>42961</v>
      </c>
      <c r="AP154" s="2">
        <f>55420*20</f>
        <v>1108400</v>
      </c>
      <c r="AQ154" s="55"/>
      <c r="AR154" s="55"/>
      <c r="AS154" s="7">
        <v>42963</v>
      </c>
      <c r="AT154" s="2">
        <f>42694*20</f>
        <v>853880</v>
      </c>
      <c r="AU154" s="55"/>
      <c r="AV154" s="55"/>
      <c r="AW154" s="7">
        <v>42965</v>
      </c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</row>
    <row r="155" spans="1:101" x14ac:dyDescent="0.2">
      <c r="A155" s="20" t="s">
        <v>293</v>
      </c>
      <c r="B155" s="18">
        <f>(innoculationdensity!$D$41*3.5)/1000</f>
        <v>1088.29</v>
      </c>
      <c r="C155" s="56">
        <f t="shared" ref="C155" si="354">AVERAGE(B155:B163)</f>
        <v>1088.29</v>
      </c>
      <c r="D155" s="56">
        <f t="shared" ref="D155:D164" si="355">(STDEV(B155:B163))</f>
        <v>0</v>
      </c>
      <c r="E155" s="7">
        <v>42943</v>
      </c>
      <c r="F155" s="2">
        <f>2526-432</f>
        <v>2094</v>
      </c>
      <c r="G155" s="56">
        <f t="shared" ref="G155" si="356">AVERAGE(F155:F163)</f>
        <v>2172.6666666666665</v>
      </c>
      <c r="H155" s="56">
        <f t="shared" ref="H155" si="357">(STDEV(F155:F163))</f>
        <v>154.06654406456971</v>
      </c>
      <c r="I155" s="7">
        <v>42945</v>
      </c>
      <c r="J155" s="2">
        <v>1268</v>
      </c>
      <c r="K155" s="56">
        <f t="shared" ref="K155" si="358">AVERAGE(J155:J163)</f>
        <v>1214.4444444444443</v>
      </c>
      <c r="L155" s="56">
        <f t="shared" ref="L155" si="359">(STDEV(J155:J163))</f>
        <v>58.378315989567376</v>
      </c>
      <c r="M155" s="7">
        <v>42947</v>
      </c>
      <c r="N155" s="2">
        <v>7318</v>
      </c>
      <c r="O155" s="56">
        <f t="shared" ref="O155" si="360">AVERAGE(N155:N163)</f>
        <v>7362.8888888888887</v>
      </c>
      <c r="P155" s="56">
        <f t="shared" ref="P155" si="361">(STDEV(N155:N163))</f>
        <v>139.10467681250373</v>
      </c>
      <c r="Q155" s="7">
        <v>42949</v>
      </c>
      <c r="R155" s="4">
        <v>19357</v>
      </c>
      <c r="S155" s="56">
        <f t="shared" ref="S155" si="362">AVERAGE(R155:R163)</f>
        <v>17986.222222222223</v>
      </c>
      <c r="T155" s="56">
        <f t="shared" ref="T155" si="363">(STDEV(R155:R163))</f>
        <v>898.94268140101372</v>
      </c>
      <c r="U155" s="7">
        <v>42951</v>
      </c>
      <c r="V155" s="2">
        <v>38701</v>
      </c>
      <c r="W155" s="54">
        <f t="shared" ref="W155" si="364">AVERAGE(V155:V163)</f>
        <v>36417.333333333336</v>
      </c>
      <c r="X155" s="56">
        <f t="shared" ref="X155" si="365">(STDEV(V155:V163))</f>
        <v>1640.0958813435268</v>
      </c>
      <c r="Y155" s="7">
        <v>42953</v>
      </c>
      <c r="Z155" s="2">
        <f>5073*20</f>
        <v>101460</v>
      </c>
      <c r="AA155" s="54">
        <f t="shared" ref="AA155" si="366">AVERAGE(Z155:Z163)</f>
        <v>93300</v>
      </c>
      <c r="AB155" s="56">
        <f t="shared" ref="AB155" si="367">(STDEV(Z155:Z163))</f>
        <v>6852.313477943052</v>
      </c>
      <c r="AC155" s="7">
        <v>42955</v>
      </c>
      <c r="AD155" s="2">
        <f>10450*20</f>
        <v>209000</v>
      </c>
      <c r="AE155" s="54">
        <f t="shared" ref="AE155" si="368">AVERAGE(AD155:AD163)</f>
        <v>197344.44444444444</v>
      </c>
      <c r="AF155" s="56">
        <f t="shared" ref="AF155" si="369">(STDEV(AD155:AD163))</f>
        <v>11330.162301475551</v>
      </c>
      <c r="AG155" s="7">
        <v>42957</v>
      </c>
      <c r="AH155" s="2">
        <f>13894*20</f>
        <v>277880</v>
      </c>
      <c r="AI155" s="54">
        <f t="shared" ref="AI155" si="370">AVERAGE(AH155:AH163)</f>
        <v>273304.44444444444</v>
      </c>
      <c r="AJ155" s="56">
        <f t="shared" ref="AJ155" si="371">(STDEV(AH155:AH163))</f>
        <v>5649.4847356000328</v>
      </c>
      <c r="AK155" s="7">
        <v>42959</v>
      </c>
      <c r="AL155" s="2">
        <f>15985*20</f>
        <v>319700</v>
      </c>
      <c r="AM155" s="54">
        <f t="shared" ref="AM155" si="372">AVERAGE(AL155:AL163)</f>
        <v>301266.66666666669</v>
      </c>
      <c r="AN155" s="56">
        <f t="shared" ref="AN155" si="373">(STDEV(AL155:AL163))</f>
        <v>10757.364918975278</v>
      </c>
      <c r="AO155" s="7">
        <v>42961</v>
      </c>
      <c r="AP155" s="2">
        <f>18013*20</f>
        <v>360260</v>
      </c>
      <c r="AQ155" s="54">
        <f t="shared" ref="AQ155" si="374">AVERAGE(AP155:AP163)</f>
        <v>359924.44444444444</v>
      </c>
      <c r="AR155" s="56">
        <f t="shared" ref="AR155" si="375">(STDEV(AP155:AP163))</f>
        <v>10110.092866921539</v>
      </c>
      <c r="AS155" s="7">
        <v>42963</v>
      </c>
      <c r="AT155" s="2">
        <f>17722*20</f>
        <v>354440</v>
      </c>
      <c r="AU155" s="54">
        <f t="shared" ref="AU155" si="376">AVERAGE(AT155:AT163)</f>
        <v>366564.44444444444</v>
      </c>
      <c r="AV155" s="56">
        <f t="shared" ref="AV155" si="377">(STDEV(AT155:AT163))</f>
        <v>9858.2340090798098</v>
      </c>
      <c r="AW155" s="7">
        <v>42965</v>
      </c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</row>
    <row r="156" spans="1:101" x14ac:dyDescent="0.2">
      <c r="A156" s="20" t="s">
        <v>294</v>
      </c>
      <c r="B156" s="18">
        <f>(innoculationdensity!$D$41*3.5)/1000</f>
        <v>1088.29</v>
      </c>
      <c r="C156" s="55"/>
      <c r="D156" s="55"/>
      <c r="E156" s="7">
        <v>42943</v>
      </c>
      <c r="F156" s="2">
        <f>2767-432</f>
        <v>2335</v>
      </c>
      <c r="G156" s="55"/>
      <c r="H156" s="55"/>
      <c r="I156" s="7">
        <v>42945</v>
      </c>
      <c r="J156" s="2">
        <v>1224</v>
      </c>
      <c r="K156" s="55"/>
      <c r="L156" s="55"/>
      <c r="M156" s="7">
        <v>42947</v>
      </c>
      <c r="N156" s="2">
        <v>7185</v>
      </c>
      <c r="O156" s="55"/>
      <c r="P156" s="55"/>
      <c r="Q156" s="7">
        <v>42949</v>
      </c>
      <c r="R156" s="4">
        <v>19266</v>
      </c>
      <c r="S156" s="55"/>
      <c r="T156" s="55"/>
      <c r="U156" s="7">
        <v>42951</v>
      </c>
      <c r="V156" s="2">
        <v>38588</v>
      </c>
      <c r="W156" s="55"/>
      <c r="X156" s="55"/>
      <c r="Y156" s="7">
        <v>42953</v>
      </c>
      <c r="Z156" s="2">
        <f>4898*20</f>
        <v>97960</v>
      </c>
      <c r="AA156" s="55"/>
      <c r="AB156" s="55"/>
      <c r="AC156" s="7">
        <v>42955</v>
      </c>
      <c r="AD156" s="2">
        <f>10177*20</f>
        <v>203540</v>
      </c>
      <c r="AE156" s="55"/>
      <c r="AF156" s="55"/>
      <c r="AG156" s="7">
        <v>42957</v>
      </c>
      <c r="AH156" s="2">
        <f>13328*20</f>
        <v>266560</v>
      </c>
      <c r="AI156" s="55"/>
      <c r="AJ156" s="55"/>
      <c r="AK156" s="7">
        <v>42959</v>
      </c>
      <c r="AL156" s="2">
        <f>15482*20</f>
        <v>309640</v>
      </c>
      <c r="AM156" s="55"/>
      <c r="AN156" s="55"/>
      <c r="AO156" s="7">
        <v>42961</v>
      </c>
      <c r="AP156" s="2">
        <f>17500*20</f>
        <v>350000</v>
      </c>
      <c r="AQ156" s="55"/>
      <c r="AR156" s="55"/>
      <c r="AS156" s="7">
        <v>42963</v>
      </c>
      <c r="AT156" s="2">
        <f>18130*20</f>
        <v>362600</v>
      </c>
      <c r="AU156" s="55"/>
      <c r="AV156" s="55"/>
      <c r="AW156" s="7">
        <v>42965</v>
      </c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</row>
    <row r="157" spans="1:101" x14ac:dyDescent="0.2">
      <c r="A157" s="20" t="s">
        <v>295</v>
      </c>
      <c r="B157" s="18">
        <f>(innoculationdensity!$D$41*3.5)/1000</f>
        <v>1088.29</v>
      </c>
      <c r="C157" s="55"/>
      <c r="D157" s="55"/>
      <c r="E157" s="7">
        <v>42943</v>
      </c>
      <c r="F157" s="2">
        <f>2747-432</f>
        <v>2315</v>
      </c>
      <c r="G157" s="55"/>
      <c r="H157" s="55"/>
      <c r="I157" s="7">
        <v>42945</v>
      </c>
      <c r="J157" s="2">
        <v>1220</v>
      </c>
      <c r="K157" s="55"/>
      <c r="L157" s="55"/>
      <c r="M157" s="7">
        <v>42947</v>
      </c>
      <c r="N157" s="2">
        <v>7089</v>
      </c>
      <c r="O157" s="55"/>
      <c r="P157" s="55"/>
      <c r="Q157" s="7">
        <v>42949</v>
      </c>
      <c r="R157" s="4">
        <v>18652</v>
      </c>
      <c r="S157" s="55"/>
      <c r="T157" s="55"/>
      <c r="U157" s="7">
        <v>42951</v>
      </c>
      <c r="V157" s="2">
        <v>37904</v>
      </c>
      <c r="W157" s="55"/>
      <c r="X157" s="55"/>
      <c r="Y157" s="7">
        <v>42953</v>
      </c>
      <c r="Z157" s="2">
        <f>4991*20</f>
        <v>99820</v>
      </c>
      <c r="AA157" s="55"/>
      <c r="AB157" s="55"/>
      <c r="AC157" s="7">
        <v>42955</v>
      </c>
      <c r="AD157" s="2">
        <f>10246*20</f>
        <v>204920</v>
      </c>
      <c r="AE157" s="55"/>
      <c r="AF157" s="55"/>
      <c r="AG157" s="7">
        <v>42957</v>
      </c>
      <c r="AH157" s="2">
        <f>13504*20</f>
        <v>270080</v>
      </c>
      <c r="AI157" s="55"/>
      <c r="AJ157" s="55"/>
      <c r="AK157" s="7">
        <v>42959</v>
      </c>
      <c r="AL157" s="2">
        <f>15595*20</f>
        <v>311900</v>
      </c>
      <c r="AM157" s="55"/>
      <c r="AN157" s="55"/>
      <c r="AO157" s="7">
        <v>42961</v>
      </c>
      <c r="AP157" s="2">
        <f>17943*20</f>
        <v>358860</v>
      </c>
      <c r="AQ157" s="55"/>
      <c r="AR157" s="55"/>
      <c r="AS157" s="7">
        <v>42963</v>
      </c>
      <c r="AT157" s="2">
        <f>18168*20</f>
        <v>363360</v>
      </c>
      <c r="AU157" s="55"/>
      <c r="AV157" s="55"/>
      <c r="AW157" s="7">
        <v>42965</v>
      </c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</row>
    <row r="158" spans="1:101" x14ac:dyDescent="0.2">
      <c r="A158" s="20" t="s">
        <v>296</v>
      </c>
      <c r="B158" s="18">
        <f>(innoculationdensity!$D$41*3.5)/1000</f>
        <v>1088.29</v>
      </c>
      <c r="C158" s="55"/>
      <c r="D158" s="55"/>
      <c r="E158" s="7">
        <v>42943</v>
      </c>
      <c r="F158" s="2">
        <f>2550-432</f>
        <v>2118</v>
      </c>
      <c r="G158" s="55"/>
      <c r="H158" s="55"/>
      <c r="I158" s="7">
        <v>42945</v>
      </c>
      <c r="J158" s="2">
        <v>1338</v>
      </c>
      <c r="K158" s="55"/>
      <c r="L158" s="55"/>
      <c r="M158" s="7">
        <v>42947</v>
      </c>
      <c r="N158" s="2">
        <v>7478</v>
      </c>
      <c r="O158" s="55"/>
      <c r="P158" s="55"/>
      <c r="Q158" s="7">
        <v>42949</v>
      </c>
      <c r="R158" s="4">
        <v>17852</v>
      </c>
      <c r="S158" s="55"/>
      <c r="T158" s="55"/>
      <c r="U158" s="7">
        <v>42951</v>
      </c>
      <c r="V158" s="2">
        <v>36120</v>
      </c>
      <c r="W158" s="55"/>
      <c r="X158" s="55"/>
      <c r="Y158" s="7">
        <v>42953</v>
      </c>
      <c r="Z158" s="2">
        <f>4890*20</f>
        <v>97800</v>
      </c>
      <c r="AA158" s="55"/>
      <c r="AB158" s="55"/>
      <c r="AC158" s="7">
        <v>42955</v>
      </c>
      <c r="AD158" s="2">
        <f>10314*20</f>
        <v>206280</v>
      </c>
      <c r="AE158" s="55"/>
      <c r="AF158" s="55"/>
      <c r="AG158" s="7">
        <v>42957</v>
      </c>
      <c r="AH158" s="2">
        <f>13906*20</f>
        <v>278120</v>
      </c>
      <c r="AI158" s="55"/>
      <c r="AJ158" s="55"/>
      <c r="AK158" s="7">
        <v>42959</v>
      </c>
      <c r="AL158" s="2">
        <f>15063*20</f>
        <v>301260</v>
      </c>
      <c r="AM158" s="55"/>
      <c r="AN158" s="55"/>
      <c r="AO158" s="7">
        <v>42961</v>
      </c>
      <c r="AP158" s="2">
        <f>17836*20</f>
        <v>356720</v>
      </c>
      <c r="AQ158" s="55"/>
      <c r="AR158" s="55"/>
      <c r="AS158" s="7">
        <v>42963</v>
      </c>
      <c r="AT158" s="2">
        <f>18907*20</f>
        <v>378140</v>
      </c>
      <c r="AU158" s="55"/>
      <c r="AV158" s="55"/>
      <c r="AW158" s="7">
        <v>42965</v>
      </c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</row>
    <row r="159" spans="1:101" x14ac:dyDescent="0.2">
      <c r="A159" s="20" t="s">
        <v>297</v>
      </c>
      <c r="B159" s="18">
        <f>(innoculationdensity!$D$41*3.5)/1000</f>
        <v>1088.29</v>
      </c>
      <c r="C159" s="55"/>
      <c r="D159" s="55"/>
      <c r="E159" s="7">
        <v>42943</v>
      </c>
      <c r="F159" s="2">
        <f>2453-432</f>
        <v>2021</v>
      </c>
      <c r="G159" s="55"/>
      <c r="H159" s="55"/>
      <c r="I159" s="7">
        <v>42945</v>
      </c>
      <c r="J159" s="2">
        <v>1180</v>
      </c>
      <c r="K159" s="55"/>
      <c r="L159" s="55"/>
      <c r="M159" s="7">
        <v>42947</v>
      </c>
      <c r="N159" s="2">
        <v>7457</v>
      </c>
      <c r="O159" s="55"/>
      <c r="P159" s="55"/>
      <c r="Q159" s="7">
        <v>42949</v>
      </c>
      <c r="R159" s="4">
        <v>17671</v>
      </c>
      <c r="S159" s="55"/>
      <c r="T159" s="55"/>
      <c r="U159" s="7">
        <v>42951</v>
      </c>
      <c r="V159" s="2">
        <v>36200</v>
      </c>
      <c r="W159" s="55"/>
      <c r="X159" s="55"/>
      <c r="Y159" s="7">
        <v>42953</v>
      </c>
      <c r="Z159" s="2">
        <f>4657*20</f>
        <v>93140</v>
      </c>
      <c r="AA159" s="55"/>
      <c r="AB159" s="55"/>
      <c r="AC159" s="7">
        <v>42955</v>
      </c>
      <c r="AD159" s="2">
        <f>9643*20</f>
        <v>192860</v>
      </c>
      <c r="AE159" s="55"/>
      <c r="AF159" s="55"/>
      <c r="AG159" s="7">
        <v>42957</v>
      </c>
      <c r="AH159" s="2">
        <f>13651*20</f>
        <v>273020</v>
      </c>
      <c r="AI159" s="55"/>
      <c r="AJ159" s="55"/>
      <c r="AK159" s="7">
        <v>42959</v>
      </c>
      <c r="AL159" s="2">
        <f>14711*20</f>
        <v>294220</v>
      </c>
      <c r="AM159" s="55"/>
      <c r="AN159" s="55"/>
      <c r="AO159" s="7">
        <v>42961</v>
      </c>
      <c r="AP159" s="2">
        <f>17569*20</f>
        <v>351380</v>
      </c>
      <c r="AQ159" s="55"/>
      <c r="AR159" s="55"/>
      <c r="AS159" s="7">
        <v>42963</v>
      </c>
      <c r="AT159" s="2">
        <f>17628*20</f>
        <v>352560</v>
      </c>
      <c r="AU159" s="55"/>
      <c r="AV159" s="55"/>
      <c r="AW159" s="7">
        <v>42965</v>
      </c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</row>
    <row r="160" spans="1:101" x14ac:dyDescent="0.2">
      <c r="A160" s="20" t="s">
        <v>298</v>
      </c>
      <c r="B160" s="18">
        <f>(innoculationdensity!$D$41*3.5)/1000</f>
        <v>1088.29</v>
      </c>
      <c r="C160" s="55"/>
      <c r="D160" s="55"/>
      <c r="E160" s="7">
        <v>42943</v>
      </c>
      <c r="F160" s="2">
        <f>2757-432</f>
        <v>2325</v>
      </c>
      <c r="G160" s="55"/>
      <c r="H160" s="55"/>
      <c r="I160" s="7">
        <v>42945</v>
      </c>
      <c r="J160" s="2">
        <v>1187</v>
      </c>
      <c r="K160" s="55"/>
      <c r="L160" s="55"/>
      <c r="M160" s="7">
        <v>42947</v>
      </c>
      <c r="N160" s="2">
        <v>7394</v>
      </c>
      <c r="O160" s="55"/>
      <c r="P160" s="55"/>
      <c r="Q160" s="7">
        <v>42949</v>
      </c>
      <c r="R160" s="4">
        <v>17763</v>
      </c>
      <c r="S160" s="55"/>
      <c r="T160" s="55"/>
      <c r="U160" s="7">
        <v>42951</v>
      </c>
      <c r="V160" s="2">
        <v>36199</v>
      </c>
      <c r="W160" s="55"/>
      <c r="X160" s="55"/>
      <c r="Y160" s="7">
        <v>42953</v>
      </c>
      <c r="Z160" s="2">
        <f>4744*20</f>
        <v>94880</v>
      </c>
      <c r="AA160" s="55"/>
      <c r="AB160" s="55"/>
      <c r="AC160" s="7">
        <v>42955</v>
      </c>
      <c r="AD160" s="2">
        <f>10348*20</f>
        <v>206960</v>
      </c>
      <c r="AE160" s="55"/>
      <c r="AF160" s="55"/>
      <c r="AG160" s="7">
        <v>42957</v>
      </c>
      <c r="AH160" s="2">
        <f>13585*20</f>
        <v>271700</v>
      </c>
      <c r="AI160" s="55"/>
      <c r="AJ160" s="55"/>
      <c r="AK160" s="7">
        <v>42959</v>
      </c>
      <c r="AL160" s="2">
        <f>15135*20</f>
        <v>302700</v>
      </c>
      <c r="AM160" s="55"/>
      <c r="AN160" s="55"/>
      <c r="AO160" s="7">
        <v>42961</v>
      </c>
      <c r="AP160" s="2">
        <f>17380*20</f>
        <v>347600</v>
      </c>
      <c r="AQ160" s="55"/>
      <c r="AR160" s="55"/>
      <c r="AS160" s="7">
        <v>42963</v>
      </c>
      <c r="AT160" s="2">
        <f>18114*20</f>
        <v>362280</v>
      </c>
      <c r="AU160" s="55"/>
      <c r="AV160" s="55"/>
      <c r="AW160" s="7">
        <v>42965</v>
      </c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</row>
    <row r="161" spans="1:101" x14ac:dyDescent="0.2">
      <c r="A161" s="20" t="s">
        <v>299</v>
      </c>
      <c r="B161" s="18">
        <f>(innoculationdensity!$D$41*3.5)/1000</f>
        <v>1088.29</v>
      </c>
      <c r="C161" s="55"/>
      <c r="D161" s="55"/>
      <c r="E161" s="7">
        <v>42943</v>
      </c>
      <c r="F161" s="2">
        <f>2774-432</f>
        <v>2342</v>
      </c>
      <c r="G161" s="55"/>
      <c r="H161" s="55"/>
      <c r="I161" s="7">
        <v>42945</v>
      </c>
      <c r="J161" s="2">
        <v>1148</v>
      </c>
      <c r="K161" s="55"/>
      <c r="L161" s="55"/>
      <c r="M161" s="7">
        <v>42947</v>
      </c>
      <c r="N161" s="2">
        <v>7435</v>
      </c>
      <c r="O161" s="55"/>
      <c r="P161" s="55"/>
      <c r="Q161" s="7">
        <v>42949</v>
      </c>
      <c r="R161" s="4">
        <v>17177</v>
      </c>
      <c r="S161" s="55"/>
      <c r="T161" s="55"/>
      <c r="U161" s="7">
        <v>42951</v>
      </c>
      <c r="V161" s="2">
        <v>34424</v>
      </c>
      <c r="W161" s="55"/>
      <c r="X161" s="55"/>
      <c r="Y161" s="7">
        <v>42953</v>
      </c>
      <c r="Z161" s="2">
        <f>4319*20</f>
        <v>86380</v>
      </c>
      <c r="AA161" s="55"/>
      <c r="AB161" s="55"/>
      <c r="AC161" s="7">
        <v>42955</v>
      </c>
      <c r="AD161" s="2">
        <f>9537*20</f>
        <v>190740</v>
      </c>
      <c r="AE161" s="55"/>
      <c r="AF161" s="55"/>
      <c r="AG161" s="7">
        <v>42957</v>
      </c>
      <c r="AH161" s="2">
        <f>14170*20</f>
        <v>283400</v>
      </c>
      <c r="AI161" s="55"/>
      <c r="AJ161" s="55"/>
      <c r="AK161" s="7">
        <v>42959</v>
      </c>
      <c r="AL161" s="2">
        <f>14649*20</f>
        <v>292980</v>
      </c>
      <c r="AM161" s="55"/>
      <c r="AN161" s="55"/>
      <c r="AO161" s="7">
        <v>42961</v>
      </c>
      <c r="AP161" s="2">
        <f>18942*20</f>
        <v>378840</v>
      </c>
      <c r="AQ161" s="55"/>
      <c r="AR161" s="55"/>
      <c r="AS161" s="7">
        <v>42963</v>
      </c>
      <c r="AT161" s="2">
        <f>18539*20</f>
        <v>370780</v>
      </c>
      <c r="AU161" s="55"/>
      <c r="AV161" s="55"/>
      <c r="AW161" s="7">
        <v>42965</v>
      </c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</row>
    <row r="162" spans="1:101" x14ac:dyDescent="0.2">
      <c r="A162" s="20" t="s">
        <v>301</v>
      </c>
      <c r="B162" s="18">
        <f>(innoculationdensity!$D$41*3.5)/1000</f>
        <v>1088.29</v>
      </c>
      <c r="C162" s="55"/>
      <c r="D162" s="55"/>
      <c r="E162" s="7">
        <v>42943</v>
      </c>
      <c r="F162" s="2">
        <f>2412-432</f>
        <v>1980</v>
      </c>
      <c r="G162" s="55"/>
      <c r="H162" s="55"/>
      <c r="I162" s="7">
        <v>42945</v>
      </c>
      <c r="J162" s="2">
        <v>1165</v>
      </c>
      <c r="K162" s="55"/>
      <c r="L162" s="55"/>
      <c r="M162" s="7">
        <v>42947</v>
      </c>
      <c r="N162" s="2">
        <v>7434</v>
      </c>
      <c r="O162" s="55"/>
      <c r="P162" s="55"/>
      <c r="Q162" s="7">
        <v>42949</v>
      </c>
      <c r="R162" s="4">
        <v>17072</v>
      </c>
      <c r="S162" s="55"/>
      <c r="T162" s="55"/>
      <c r="U162" s="7">
        <v>42951</v>
      </c>
      <c r="V162" s="2">
        <v>34639</v>
      </c>
      <c r="W162" s="55"/>
      <c r="X162" s="55"/>
      <c r="Y162" s="7">
        <v>42953</v>
      </c>
      <c r="Z162" s="2">
        <f>4293*20</f>
        <v>85860</v>
      </c>
      <c r="AA162" s="55"/>
      <c r="AB162" s="55"/>
      <c r="AC162" s="7">
        <v>42955</v>
      </c>
      <c r="AD162" s="2">
        <f>9197*20</f>
        <v>183940</v>
      </c>
      <c r="AE162" s="55"/>
      <c r="AF162" s="55"/>
      <c r="AG162" s="7">
        <v>42957</v>
      </c>
      <c r="AH162" s="2">
        <f>13310*20</f>
        <v>266200</v>
      </c>
      <c r="AI162" s="55"/>
      <c r="AJ162" s="55"/>
      <c r="AK162" s="7">
        <v>42959</v>
      </c>
      <c r="AL162" s="2">
        <f>14392*20</f>
        <v>287840</v>
      </c>
      <c r="AM162" s="55"/>
      <c r="AN162" s="55"/>
      <c r="AO162" s="7">
        <v>42961</v>
      </c>
      <c r="AP162" s="2">
        <f>18395*20</f>
        <v>367900</v>
      </c>
      <c r="AQ162" s="55"/>
      <c r="AR162" s="55"/>
      <c r="AS162" s="7">
        <v>42963</v>
      </c>
      <c r="AT162" s="2">
        <f>18905*20</f>
        <v>378100</v>
      </c>
      <c r="AU162" s="55"/>
      <c r="AV162" s="55"/>
      <c r="AW162" s="7">
        <v>42965</v>
      </c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</row>
    <row r="163" spans="1:101" x14ac:dyDescent="0.2">
      <c r="A163" s="20" t="s">
        <v>300</v>
      </c>
      <c r="B163" s="18">
        <f>(innoculationdensity!$D$41*3.5)/1000</f>
        <v>1088.29</v>
      </c>
      <c r="C163" s="55"/>
      <c r="D163" s="55"/>
      <c r="E163" s="7">
        <v>42943</v>
      </c>
      <c r="F163" s="2">
        <f>2456-432</f>
        <v>2024</v>
      </c>
      <c r="G163" s="55"/>
      <c r="H163" s="55"/>
      <c r="I163" s="7">
        <v>42945</v>
      </c>
      <c r="J163" s="2">
        <v>1200</v>
      </c>
      <c r="K163" s="55"/>
      <c r="L163" s="55"/>
      <c r="M163" s="7">
        <v>42947</v>
      </c>
      <c r="N163" s="2">
        <v>7476</v>
      </c>
      <c r="O163" s="55"/>
      <c r="P163" s="55"/>
      <c r="Q163" s="7">
        <v>42949</v>
      </c>
      <c r="R163" s="4">
        <v>17066</v>
      </c>
      <c r="S163" s="55"/>
      <c r="T163" s="55"/>
      <c r="U163" s="7">
        <v>42951</v>
      </c>
      <c r="V163" s="2">
        <v>34981</v>
      </c>
      <c r="W163" s="55"/>
      <c r="X163" s="55"/>
      <c r="Y163" s="7">
        <v>42953</v>
      </c>
      <c r="Z163" s="2">
        <f>4120*20</f>
        <v>82400</v>
      </c>
      <c r="AA163" s="55"/>
      <c r="AB163" s="55"/>
      <c r="AC163" s="7">
        <v>42955</v>
      </c>
      <c r="AD163" s="2">
        <f>8893*20</f>
        <v>177860</v>
      </c>
      <c r="AE163" s="55"/>
      <c r="AF163" s="55"/>
      <c r="AG163" s="7">
        <v>42957</v>
      </c>
      <c r="AH163" s="2">
        <f>13639*20</f>
        <v>272780</v>
      </c>
      <c r="AI163" s="55"/>
      <c r="AJ163" s="55"/>
      <c r="AK163" s="7">
        <v>42959</v>
      </c>
      <c r="AL163" s="2">
        <f>14558*20</f>
        <v>291160</v>
      </c>
      <c r="AM163" s="55"/>
      <c r="AN163" s="55"/>
      <c r="AO163" s="7">
        <v>42961</v>
      </c>
      <c r="AP163" s="2">
        <f>18388*20</f>
        <v>367760</v>
      </c>
      <c r="AQ163" s="55"/>
      <c r="AR163" s="55"/>
      <c r="AS163" s="7">
        <v>42963</v>
      </c>
      <c r="AT163" s="2">
        <f>18841*20</f>
        <v>376820</v>
      </c>
      <c r="AU163" s="55"/>
      <c r="AV163" s="55"/>
      <c r="AW163" s="7">
        <v>42965</v>
      </c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</row>
    <row r="164" spans="1:101" x14ac:dyDescent="0.2">
      <c r="A164" s="20" t="s">
        <v>304</v>
      </c>
      <c r="B164" s="18">
        <f>(innoculationdensity!$D$43*7)/1000</f>
        <v>1372.63</v>
      </c>
      <c r="C164" s="56">
        <f t="shared" ref="C164" si="378">AVERAGE(B164:B172)</f>
        <v>1372.63</v>
      </c>
      <c r="D164" s="56">
        <f t="shared" si="355"/>
        <v>0</v>
      </c>
      <c r="E164" s="7">
        <v>42944</v>
      </c>
      <c r="F164" s="2">
        <f>2390-251</f>
        <v>2139</v>
      </c>
      <c r="G164" s="56">
        <f t="shared" ref="G164" si="379">AVERAGE(F164:F172)</f>
        <v>2073.5</v>
      </c>
      <c r="H164" s="56">
        <f t="shared" ref="H164" si="380">(STDEV(F164:F172))</f>
        <v>135.52232288446064</v>
      </c>
      <c r="I164" s="7">
        <v>42946</v>
      </c>
      <c r="J164" s="2">
        <v>2987</v>
      </c>
      <c r="K164" s="56">
        <f t="shared" ref="K164" si="381">AVERAGE(J164:J172)</f>
        <v>2939.6666666666665</v>
      </c>
      <c r="L164" s="56">
        <f t="shared" ref="L164" si="382">(STDEV(J164:J172))</f>
        <v>205.11764916749607</v>
      </c>
      <c r="M164" s="7">
        <v>42948</v>
      </c>
      <c r="N164" s="2">
        <v>5035</v>
      </c>
      <c r="O164" s="56">
        <f t="shared" ref="O164" si="383">AVERAGE(N164:N172)</f>
        <v>5190.4444444444443</v>
      </c>
      <c r="P164" s="56">
        <f t="shared" ref="P164" si="384">(STDEV(N164:N172))</f>
        <v>368.60551783414445</v>
      </c>
      <c r="Q164" s="7">
        <v>42950</v>
      </c>
      <c r="R164" s="4">
        <v>10556</v>
      </c>
      <c r="S164" s="56">
        <f t="shared" ref="S164" si="385">AVERAGE(R164:R172)</f>
        <v>10349</v>
      </c>
      <c r="T164" s="56">
        <f t="shared" ref="T164" si="386">(STDEV(R164:R172))</f>
        <v>1057.4634745465207</v>
      </c>
      <c r="U164" s="7">
        <v>42952</v>
      </c>
      <c r="V164" s="2">
        <v>20571</v>
      </c>
      <c r="W164" s="54">
        <f t="shared" ref="W164" si="387">AVERAGE(V164:V172)</f>
        <v>21184.777777777777</v>
      </c>
      <c r="X164" s="56">
        <f t="shared" ref="X164" si="388">(STDEV(V164:V172))</f>
        <v>3968.0305498375915</v>
      </c>
      <c r="Y164" s="7">
        <v>42589</v>
      </c>
      <c r="Z164" s="2">
        <v>38224</v>
      </c>
      <c r="AA164" s="54">
        <f t="shared" ref="AA164" si="389">AVERAGE(Z164:Z172)</f>
        <v>38990.666666666664</v>
      </c>
      <c r="AB164" s="56">
        <f t="shared" ref="AB164" si="390">(STDEV(Z164:Z172))</f>
        <v>5973.8909430956301</v>
      </c>
      <c r="AC164" s="7">
        <v>42956</v>
      </c>
      <c r="AD164" s="2">
        <f>4014*20</f>
        <v>80280</v>
      </c>
      <c r="AE164" s="54">
        <f t="shared" ref="AE164" si="391">AVERAGE(AD164:AD172)</f>
        <v>82304.444444444438</v>
      </c>
      <c r="AF164" s="56">
        <f t="shared" ref="AF164" si="392">(STDEV(AD164:AD172))</f>
        <v>11707.70164369496</v>
      </c>
      <c r="AG164" s="7">
        <v>42958</v>
      </c>
      <c r="AH164" s="2">
        <f>7958*20</f>
        <v>159160</v>
      </c>
      <c r="AI164" s="54">
        <f t="shared" ref="AI164" si="393">AVERAGE(AH164:AH172)</f>
        <v>166760</v>
      </c>
      <c r="AJ164" s="56">
        <f t="shared" ref="AJ164" si="394">(STDEV(AH164:AH172))</f>
        <v>34037.297189994388</v>
      </c>
      <c r="AK164" s="7">
        <v>42960</v>
      </c>
      <c r="AL164" s="2">
        <f>15304*20</f>
        <v>306080</v>
      </c>
      <c r="AM164" s="54">
        <f t="shared" ref="AM164" si="395">AVERAGE(AL164:AL172)</f>
        <v>320626.66666666669</v>
      </c>
      <c r="AN164" s="56">
        <f t="shared" ref="AN164" si="396">(STDEV(AL164:AL172))</f>
        <v>64625.274467502262</v>
      </c>
      <c r="AO164" s="7">
        <v>42962</v>
      </c>
      <c r="AP164" s="2">
        <f>30052*20</f>
        <v>601040</v>
      </c>
      <c r="AQ164" s="54">
        <f t="shared" ref="AQ164" si="397">AVERAGE(AP164:AP172)</f>
        <v>625451.11111111112</v>
      </c>
      <c r="AR164" s="56">
        <f t="shared" si="297"/>
        <v>110932.02247823251</v>
      </c>
      <c r="AS164" s="7">
        <v>42964</v>
      </c>
      <c r="AT164" s="2">
        <f>40490*20</f>
        <v>809800</v>
      </c>
      <c r="AU164" s="54">
        <f t="shared" ref="AU164" si="398">AVERAGE(AT164:AT172)</f>
        <v>827482.22222222225</v>
      </c>
      <c r="AV164" s="56">
        <f t="shared" ref="AV164" si="399">(STDEV(AT164:AT172))</f>
        <v>119881.13256240307</v>
      </c>
      <c r="AW164" s="7">
        <v>42966</v>
      </c>
      <c r="AX164" s="2">
        <f>55350*20</f>
        <v>1107000</v>
      </c>
      <c r="AY164" s="54">
        <f t="shared" ref="AY164" si="400">AVERAGE(AX164:AX172)</f>
        <v>1108446.6666666667</v>
      </c>
      <c r="AZ164" s="56">
        <f>(STDEV(AX164:AX172))</f>
        <v>80990.058649194718</v>
      </c>
      <c r="BA164" s="7">
        <v>42968</v>
      </c>
      <c r="BB164" s="2">
        <f>72135*20</f>
        <v>1442700</v>
      </c>
      <c r="BC164" s="54">
        <f t="shared" ref="BC164" si="401">AVERAGE(BB164:BB172)</f>
        <v>1413902.2222222222</v>
      </c>
      <c r="BD164" s="56">
        <f>(STDEV(BB164:BB172))</f>
        <v>60969.220467744577</v>
      </c>
      <c r="BE164" s="7">
        <v>42970</v>
      </c>
      <c r="BF164" s="2">
        <f>75349*20</f>
        <v>1506980</v>
      </c>
      <c r="BG164" s="54">
        <f t="shared" ref="BG164" si="402">AVERAGE(BF164:BF172)</f>
        <v>1493088.888888889</v>
      </c>
      <c r="BH164" s="56">
        <f>(STDEV(BF164:BF172))</f>
        <v>31581.896889058313</v>
      </c>
      <c r="BI164" s="7">
        <v>42972</v>
      </c>
      <c r="BJ164" s="2">
        <f>80155*20</f>
        <v>1603100</v>
      </c>
      <c r="BK164" s="54">
        <f t="shared" ref="BK164" si="403">AVERAGE(BJ164:BJ172)</f>
        <v>1565966.6666666667</v>
      </c>
      <c r="BL164" s="56">
        <f>(STDEV(BJ164:BJ172))</f>
        <v>32333.471821009265</v>
      </c>
      <c r="BM164" s="7">
        <v>42974</v>
      </c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</row>
    <row r="165" spans="1:101" x14ac:dyDescent="0.2">
      <c r="A165" s="20" t="s">
        <v>305</v>
      </c>
      <c r="B165" s="18">
        <f>(innoculationdensity!$D$43*7)/1000</f>
        <v>1372.63</v>
      </c>
      <c r="C165" s="55"/>
      <c r="D165" s="55"/>
      <c r="E165" s="7">
        <v>42944</v>
      </c>
      <c r="F165" s="2">
        <f>2395-251</f>
        <v>2144</v>
      </c>
      <c r="G165" s="55"/>
      <c r="H165" s="55"/>
      <c r="I165" s="7">
        <v>42946</v>
      </c>
      <c r="J165" s="2">
        <v>2817</v>
      </c>
      <c r="K165" s="55"/>
      <c r="L165" s="55"/>
      <c r="M165" s="7">
        <v>42948</v>
      </c>
      <c r="N165" s="2">
        <v>4995</v>
      </c>
      <c r="O165" s="55"/>
      <c r="P165" s="55"/>
      <c r="Q165" s="7">
        <v>42950</v>
      </c>
      <c r="R165" s="4">
        <v>10000</v>
      </c>
      <c r="S165" s="55"/>
      <c r="T165" s="55"/>
      <c r="U165" s="7">
        <v>42952</v>
      </c>
      <c r="V165" s="2">
        <v>20330</v>
      </c>
      <c r="W165" s="55"/>
      <c r="X165" s="55"/>
      <c r="Y165" s="7">
        <v>42589</v>
      </c>
      <c r="Z165" s="2">
        <v>37892</v>
      </c>
      <c r="AA165" s="55"/>
      <c r="AB165" s="55"/>
      <c r="AC165" s="7">
        <v>42956</v>
      </c>
      <c r="AD165" s="2">
        <f>3580*20</f>
        <v>71600</v>
      </c>
      <c r="AE165" s="55"/>
      <c r="AF165" s="55"/>
      <c r="AG165" s="7">
        <v>42958</v>
      </c>
      <c r="AH165" s="2">
        <f>7630*20</f>
        <v>152600</v>
      </c>
      <c r="AI165" s="55"/>
      <c r="AJ165" s="55"/>
      <c r="AK165" s="7">
        <v>42960</v>
      </c>
      <c r="AL165" s="2">
        <f>15336*20</f>
        <v>306720</v>
      </c>
      <c r="AM165" s="55"/>
      <c r="AN165" s="55"/>
      <c r="AO165" s="7">
        <v>42962</v>
      </c>
      <c r="AP165" s="2">
        <f>30074*20</f>
        <v>601480</v>
      </c>
      <c r="AQ165" s="55"/>
      <c r="AR165" s="55"/>
      <c r="AS165" s="7">
        <v>42964</v>
      </c>
      <c r="AT165" s="2">
        <f>40860*20</f>
        <v>817200</v>
      </c>
      <c r="AU165" s="55"/>
      <c r="AV165" s="55"/>
      <c r="AW165" s="7">
        <v>42966</v>
      </c>
      <c r="AX165" s="2">
        <f>54212*20</f>
        <v>1084240</v>
      </c>
      <c r="AY165" s="55"/>
      <c r="AZ165" s="55"/>
      <c r="BA165" s="7">
        <v>42968</v>
      </c>
      <c r="BB165" s="2">
        <f>70719*20</f>
        <v>1414380</v>
      </c>
      <c r="BC165" s="55"/>
      <c r="BD165" s="55"/>
      <c r="BE165" s="7">
        <v>42970</v>
      </c>
      <c r="BF165" s="2">
        <f>75497*20</f>
        <v>1509940</v>
      </c>
      <c r="BG165" s="55"/>
      <c r="BH165" s="55"/>
      <c r="BI165" s="7">
        <v>42972</v>
      </c>
      <c r="BJ165" s="2">
        <f>80591*20</f>
        <v>1611820</v>
      </c>
      <c r="BK165" s="55"/>
      <c r="BL165" s="55"/>
      <c r="BM165" s="7">
        <v>42974</v>
      </c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</row>
    <row r="166" spans="1:101" x14ac:dyDescent="0.2">
      <c r="A166" s="20" t="s">
        <v>306</v>
      </c>
      <c r="B166" s="18">
        <f>(innoculationdensity!$D$43*7)/1000</f>
        <v>1372.63</v>
      </c>
      <c r="C166" s="55"/>
      <c r="D166" s="55"/>
      <c r="E166" s="7">
        <v>42944</v>
      </c>
      <c r="G166" s="55"/>
      <c r="H166" s="55"/>
      <c r="I166" s="7">
        <v>42946</v>
      </c>
      <c r="J166" s="2">
        <v>2871</v>
      </c>
      <c r="K166" s="55"/>
      <c r="L166" s="55"/>
      <c r="M166" s="7">
        <v>42948</v>
      </c>
      <c r="N166" s="2">
        <v>4924</v>
      </c>
      <c r="O166" s="55"/>
      <c r="P166" s="55"/>
      <c r="Q166" s="7">
        <v>42950</v>
      </c>
      <c r="R166" s="4">
        <v>10102</v>
      </c>
      <c r="S166" s="55"/>
      <c r="T166" s="55"/>
      <c r="U166" s="7">
        <v>42952</v>
      </c>
      <c r="V166" s="2">
        <v>20413</v>
      </c>
      <c r="W166" s="55"/>
      <c r="X166" s="55"/>
      <c r="Y166" s="7">
        <v>42589</v>
      </c>
      <c r="Z166" s="2">
        <v>37939</v>
      </c>
      <c r="AA166" s="55"/>
      <c r="AB166" s="55"/>
      <c r="AC166" s="7">
        <v>42956</v>
      </c>
      <c r="AD166" s="2">
        <f>3733*20</f>
        <v>74660</v>
      </c>
      <c r="AE166" s="55"/>
      <c r="AF166" s="55"/>
      <c r="AG166" s="7">
        <v>42958</v>
      </c>
      <c r="AH166" s="2">
        <f>7638*20</f>
        <v>152760</v>
      </c>
      <c r="AI166" s="55"/>
      <c r="AJ166" s="55"/>
      <c r="AK166" s="7">
        <v>42960</v>
      </c>
      <c r="AL166" s="2">
        <f>15002*20</f>
        <v>300040</v>
      </c>
      <c r="AM166" s="55"/>
      <c r="AN166" s="55"/>
      <c r="AO166" s="7">
        <v>42962</v>
      </c>
      <c r="AP166" s="2">
        <f>29485*20</f>
        <v>589700</v>
      </c>
      <c r="AQ166" s="55"/>
      <c r="AR166" s="55"/>
      <c r="AS166" s="7">
        <v>42964</v>
      </c>
      <c r="AT166" s="2">
        <f>40634*20</f>
        <v>812680</v>
      </c>
      <c r="AU166" s="55"/>
      <c r="AV166" s="55"/>
      <c r="AW166" s="7">
        <v>42966</v>
      </c>
      <c r="AX166" s="2">
        <f>54565*20</f>
        <v>1091300</v>
      </c>
      <c r="AY166" s="55"/>
      <c r="AZ166" s="55"/>
      <c r="BA166" s="7">
        <v>42968</v>
      </c>
      <c r="BB166" s="2">
        <f>70168*20</f>
        <v>1403360</v>
      </c>
      <c r="BC166" s="55"/>
      <c r="BD166" s="55"/>
      <c r="BE166" s="7">
        <v>42970</v>
      </c>
      <c r="BF166" s="2">
        <f>76137*20</f>
        <v>1522740</v>
      </c>
      <c r="BG166" s="55"/>
      <c r="BH166" s="55"/>
      <c r="BI166" s="7">
        <v>42972</v>
      </c>
      <c r="BJ166" s="2">
        <f>80566*20</f>
        <v>1611320</v>
      </c>
      <c r="BK166" s="55"/>
      <c r="BL166" s="55"/>
      <c r="BM166" s="7">
        <v>42974</v>
      </c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</row>
    <row r="167" spans="1:101" x14ac:dyDescent="0.2">
      <c r="A167" s="20" t="s">
        <v>307</v>
      </c>
      <c r="B167" s="18">
        <f>(innoculationdensity!$D$43*7)/1000</f>
        <v>1372.63</v>
      </c>
      <c r="C167" s="55"/>
      <c r="D167" s="55"/>
      <c r="E167" s="7">
        <v>42944</v>
      </c>
      <c r="F167" s="2">
        <f>2527-251</f>
        <v>2276</v>
      </c>
      <c r="G167" s="55"/>
      <c r="H167" s="55"/>
      <c r="I167" s="7">
        <v>42946</v>
      </c>
      <c r="J167" s="2">
        <v>3283</v>
      </c>
      <c r="K167" s="55"/>
      <c r="L167" s="55"/>
      <c r="M167" s="7">
        <v>42948</v>
      </c>
      <c r="N167" s="2">
        <v>5765</v>
      </c>
      <c r="O167" s="55"/>
      <c r="P167" s="55"/>
      <c r="Q167" s="7">
        <v>42950</v>
      </c>
      <c r="R167" s="4">
        <v>11788</v>
      </c>
      <c r="S167" s="55"/>
      <c r="T167" s="55"/>
      <c r="U167" s="7">
        <v>42952</v>
      </c>
      <c r="V167" s="2">
        <v>27526</v>
      </c>
      <c r="W167" s="55"/>
      <c r="X167" s="55"/>
      <c r="Y167" s="7">
        <v>42589</v>
      </c>
      <c r="Z167" s="2">
        <v>46614</v>
      </c>
      <c r="AA167" s="55"/>
      <c r="AB167" s="55"/>
      <c r="AC167" s="7">
        <v>42956</v>
      </c>
      <c r="AD167" s="2">
        <f>4938*20</f>
        <v>98760</v>
      </c>
      <c r="AE167" s="55"/>
      <c r="AF167" s="55"/>
      <c r="AG167" s="7">
        <v>42958</v>
      </c>
      <c r="AH167" s="2">
        <f>10566*20</f>
        <v>211320</v>
      </c>
      <c r="AI167" s="55"/>
      <c r="AJ167" s="55"/>
      <c r="AK167" s="7">
        <v>42960</v>
      </c>
      <c r="AL167" s="2">
        <f>20256*20</f>
        <v>405120</v>
      </c>
      <c r="AM167" s="55"/>
      <c r="AN167" s="55"/>
      <c r="AO167" s="7">
        <v>42962</v>
      </c>
      <c r="AP167" s="2">
        <f>38358*20</f>
        <v>767160</v>
      </c>
      <c r="AQ167" s="55"/>
      <c r="AR167" s="55"/>
      <c r="AS167" s="7">
        <v>42964</v>
      </c>
      <c r="AT167" s="2">
        <f>48884*20</f>
        <v>977680</v>
      </c>
      <c r="AU167" s="55"/>
      <c r="AV167" s="55"/>
      <c r="AW167" s="7">
        <v>42966</v>
      </c>
      <c r="AX167" s="2">
        <f>60641*20</f>
        <v>1212820</v>
      </c>
      <c r="AY167" s="55"/>
      <c r="AZ167" s="55"/>
      <c r="BA167" s="7">
        <v>42968</v>
      </c>
      <c r="BB167" s="2">
        <f>74564*20</f>
        <v>1491280</v>
      </c>
      <c r="BC167" s="55"/>
      <c r="BD167" s="55"/>
      <c r="BE167" s="7">
        <v>42970</v>
      </c>
      <c r="BF167" s="2">
        <f>75779*20</f>
        <v>1515580</v>
      </c>
      <c r="BG167" s="55"/>
      <c r="BH167" s="55"/>
      <c r="BI167" s="7">
        <v>42972</v>
      </c>
      <c r="BJ167" s="2">
        <f>77090*20</f>
        <v>1541800</v>
      </c>
      <c r="BK167" s="55"/>
      <c r="BL167" s="55"/>
      <c r="BM167" s="7">
        <v>42974</v>
      </c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</row>
    <row r="168" spans="1:101" x14ac:dyDescent="0.2">
      <c r="A168" s="20" t="s">
        <v>308</v>
      </c>
      <c r="B168" s="18">
        <f>(innoculationdensity!$D$43*7)/1000</f>
        <v>1372.63</v>
      </c>
      <c r="C168" s="55"/>
      <c r="D168" s="55"/>
      <c r="E168" s="7">
        <v>42944</v>
      </c>
      <c r="F168" s="2">
        <f>2257-251</f>
        <v>2006</v>
      </c>
      <c r="G168" s="55"/>
      <c r="H168" s="55"/>
      <c r="I168" s="7">
        <v>42946</v>
      </c>
      <c r="J168" s="2">
        <v>3138</v>
      </c>
      <c r="K168" s="55"/>
      <c r="L168" s="55"/>
      <c r="M168" s="7">
        <v>42948</v>
      </c>
      <c r="N168" s="2">
        <v>5657</v>
      </c>
      <c r="O168" s="55"/>
      <c r="P168" s="55"/>
      <c r="Q168" s="7">
        <v>42950</v>
      </c>
      <c r="R168" s="4">
        <v>11659</v>
      </c>
      <c r="S168" s="55"/>
      <c r="T168" s="55"/>
      <c r="U168" s="7">
        <v>42952</v>
      </c>
      <c r="V168" s="2">
        <v>25351</v>
      </c>
      <c r="W168" s="55"/>
      <c r="X168" s="55"/>
      <c r="Y168" s="7">
        <v>42589</v>
      </c>
      <c r="Z168" s="2">
        <v>46266</v>
      </c>
      <c r="AA168" s="55"/>
      <c r="AB168" s="55"/>
      <c r="AC168" s="7">
        <v>42956</v>
      </c>
      <c r="AD168" s="2">
        <f>4818*20</f>
        <v>96360</v>
      </c>
      <c r="AE168" s="55"/>
      <c r="AF168" s="55"/>
      <c r="AG168" s="7">
        <v>42958</v>
      </c>
      <c r="AH168" s="2">
        <f>10622*20</f>
        <v>212440</v>
      </c>
      <c r="AI168" s="55"/>
      <c r="AJ168" s="55"/>
      <c r="AK168" s="7">
        <v>42960</v>
      </c>
      <c r="AL168" s="2">
        <f>20299*20</f>
        <v>405980</v>
      </c>
      <c r="AM168" s="55"/>
      <c r="AN168" s="55"/>
      <c r="AO168" s="7">
        <v>42962</v>
      </c>
      <c r="AP168" s="2">
        <f>38206*20</f>
        <v>764120</v>
      </c>
      <c r="AQ168" s="55"/>
      <c r="AR168" s="55"/>
      <c r="AS168" s="7">
        <v>42964</v>
      </c>
      <c r="AT168" s="2">
        <f>48283*20</f>
        <v>965660</v>
      </c>
      <c r="AU168" s="55"/>
      <c r="AV168" s="55"/>
      <c r="AW168" s="7">
        <v>42966</v>
      </c>
      <c r="AX168" s="2">
        <f>60346*20</f>
        <v>1206920</v>
      </c>
      <c r="AY168" s="55"/>
      <c r="AZ168" s="55"/>
      <c r="BA168" s="7">
        <v>42968</v>
      </c>
      <c r="BB168" s="2">
        <f>73915*20</f>
        <v>1478300</v>
      </c>
      <c r="BC168" s="55"/>
      <c r="BD168" s="55"/>
      <c r="BE168" s="7">
        <v>42970</v>
      </c>
      <c r="BF168" s="2">
        <f>75923*20</f>
        <v>1518460</v>
      </c>
      <c r="BG168" s="55"/>
      <c r="BH168" s="55"/>
      <c r="BI168" s="7">
        <v>42972</v>
      </c>
      <c r="BJ168" s="2">
        <f>77041*20</f>
        <v>1540820</v>
      </c>
      <c r="BK168" s="55"/>
      <c r="BL168" s="55"/>
      <c r="BM168" s="7">
        <v>42974</v>
      </c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</row>
    <row r="169" spans="1:101" x14ac:dyDescent="0.2">
      <c r="A169" s="20" t="s">
        <v>309</v>
      </c>
      <c r="B169" s="18">
        <f>(innoculationdensity!$D$43*7)/1000</f>
        <v>1372.63</v>
      </c>
      <c r="C169" s="55"/>
      <c r="D169" s="55"/>
      <c r="E169" s="7">
        <v>42944</v>
      </c>
      <c r="G169" s="55"/>
      <c r="H169" s="55"/>
      <c r="I169" s="7">
        <v>42946</v>
      </c>
      <c r="J169" s="2">
        <v>3132</v>
      </c>
      <c r="K169" s="55"/>
      <c r="L169" s="55"/>
      <c r="M169" s="7">
        <v>42948</v>
      </c>
      <c r="N169" s="2">
        <v>5592</v>
      </c>
      <c r="O169" s="55"/>
      <c r="P169" s="55"/>
      <c r="Q169" s="7">
        <v>42950</v>
      </c>
      <c r="R169" s="4">
        <v>11359</v>
      </c>
      <c r="S169" s="55"/>
      <c r="T169" s="55"/>
      <c r="U169" s="7">
        <v>42952</v>
      </c>
      <c r="V169" s="2">
        <v>25202</v>
      </c>
      <c r="W169" s="55"/>
      <c r="X169" s="55"/>
      <c r="Y169" s="7">
        <v>42589</v>
      </c>
      <c r="Z169" s="2">
        <v>46071</v>
      </c>
      <c r="AA169" s="55"/>
      <c r="AB169" s="55"/>
      <c r="AC169" s="7">
        <v>42956</v>
      </c>
      <c r="AD169" s="2">
        <f>4801*20</f>
        <v>96020</v>
      </c>
      <c r="AE169" s="55"/>
      <c r="AF169" s="55"/>
      <c r="AG169" s="7">
        <v>42958</v>
      </c>
      <c r="AH169" s="2">
        <f>10390*20</f>
        <v>207800</v>
      </c>
      <c r="AI169" s="55"/>
      <c r="AJ169" s="55"/>
      <c r="AK169" s="7">
        <v>42960</v>
      </c>
      <c r="AL169" s="2">
        <f>19728*20</f>
        <v>394560</v>
      </c>
      <c r="AM169" s="55"/>
      <c r="AN169" s="55"/>
      <c r="AO169" s="7">
        <v>42962</v>
      </c>
      <c r="AP169" s="2">
        <f>38211*20</f>
        <v>764220</v>
      </c>
      <c r="AQ169" s="55"/>
      <c r="AR169" s="55"/>
      <c r="AS169" s="7">
        <v>42964</v>
      </c>
      <c r="AT169" s="2">
        <f>48684*20</f>
        <v>973680</v>
      </c>
      <c r="AU169" s="55"/>
      <c r="AV169" s="55"/>
      <c r="AW169" s="7">
        <v>42966</v>
      </c>
      <c r="AX169" s="2">
        <f>60207*20</f>
        <v>1204140</v>
      </c>
      <c r="AY169" s="55"/>
      <c r="AZ169" s="55"/>
      <c r="BA169" s="7">
        <v>42968</v>
      </c>
      <c r="BB169" s="2">
        <f>73395*20</f>
        <v>1467900</v>
      </c>
      <c r="BC169" s="55"/>
      <c r="BD169" s="55"/>
      <c r="BE169" s="7">
        <v>42970</v>
      </c>
      <c r="BF169" s="2">
        <f>75484*20</f>
        <v>1509680</v>
      </c>
      <c r="BG169" s="55"/>
      <c r="BH169" s="55"/>
      <c r="BI169" s="7">
        <v>42972</v>
      </c>
      <c r="BJ169" s="2">
        <f>77092*20</f>
        <v>1541840</v>
      </c>
      <c r="BK169" s="55"/>
      <c r="BL169" s="55"/>
      <c r="BM169" s="7">
        <v>42974</v>
      </c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</row>
    <row r="170" spans="1:101" x14ac:dyDescent="0.2">
      <c r="A170" s="20" t="s">
        <v>310</v>
      </c>
      <c r="B170" s="18">
        <f>(innoculationdensity!$D$43*7)/1000</f>
        <v>1372.63</v>
      </c>
      <c r="C170" s="55"/>
      <c r="D170" s="55"/>
      <c r="E170" s="7">
        <v>42944</v>
      </c>
      <c r="F170" s="2">
        <f>2177-251</f>
        <v>1926</v>
      </c>
      <c r="G170" s="55"/>
      <c r="H170" s="55"/>
      <c r="I170" s="7">
        <v>42946</v>
      </c>
      <c r="J170" s="2">
        <v>2795</v>
      </c>
      <c r="K170" s="55"/>
      <c r="L170" s="55"/>
      <c r="M170" s="7">
        <v>42948</v>
      </c>
      <c r="N170" s="2">
        <v>5011</v>
      </c>
      <c r="O170" s="55"/>
      <c r="P170" s="55"/>
      <c r="Q170" s="7">
        <v>42950</v>
      </c>
      <c r="R170" s="4">
        <v>9515</v>
      </c>
      <c r="S170" s="55"/>
      <c r="T170" s="55"/>
      <c r="U170" s="7">
        <v>42952</v>
      </c>
      <c r="V170" s="2">
        <v>17499</v>
      </c>
      <c r="W170" s="55"/>
      <c r="X170" s="55"/>
      <c r="Y170" s="7">
        <v>42589</v>
      </c>
      <c r="Z170" s="2">
        <v>33069</v>
      </c>
      <c r="AA170" s="55"/>
      <c r="AB170" s="55"/>
      <c r="AC170" s="7">
        <v>42956</v>
      </c>
      <c r="AD170" s="2">
        <f>3498*20</f>
        <v>69960</v>
      </c>
      <c r="AE170" s="55"/>
      <c r="AF170" s="55"/>
      <c r="AG170" s="7">
        <v>42958</v>
      </c>
      <c r="AH170" s="2">
        <f>6582*20</f>
        <v>131640</v>
      </c>
      <c r="AI170" s="55"/>
      <c r="AJ170" s="55"/>
      <c r="AK170" s="7">
        <v>42960</v>
      </c>
      <c r="AL170" s="2">
        <f>13072*20</f>
        <v>261440</v>
      </c>
      <c r="AM170" s="55"/>
      <c r="AN170" s="55"/>
      <c r="AO170" s="7">
        <v>42962</v>
      </c>
      <c r="AP170" s="2">
        <f>25858*20</f>
        <v>517160</v>
      </c>
      <c r="AQ170" s="55"/>
      <c r="AR170" s="55"/>
      <c r="AS170" s="7">
        <v>42964</v>
      </c>
      <c r="AT170" s="2">
        <f>34950*20</f>
        <v>699000</v>
      </c>
      <c r="AU170" s="55"/>
      <c r="AV170" s="55"/>
      <c r="AW170" s="7">
        <v>42966</v>
      </c>
      <c r="AX170" s="2">
        <f>50909*20</f>
        <v>1018180</v>
      </c>
      <c r="AY170" s="55"/>
      <c r="AZ170" s="55"/>
      <c r="BA170" s="7">
        <v>42968</v>
      </c>
      <c r="BB170" s="2">
        <f>67524*20</f>
        <v>1350480</v>
      </c>
      <c r="BC170" s="55"/>
      <c r="BD170" s="55"/>
      <c r="BE170" s="7">
        <v>42970</v>
      </c>
      <c r="BF170" s="2">
        <f>72507*20</f>
        <v>1450140</v>
      </c>
      <c r="BG170" s="55"/>
      <c r="BH170" s="55"/>
      <c r="BI170" s="7">
        <v>42972</v>
      </c>
      <c r="BJ170" s="2">
        <f>77396*20</f>
        <v>1547920</v>
      </c>
      <c r="BK170" s="55"/>
      <c r="BL170" s="55"/>
      <c r="BM170" s="7">
        <v>42974</v>
      </c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</row>
    <row r="171" spans="1:101" x14ac:dyDescent="0.2">
      <c r="A171" s="20" t="s">
        <v>311</v>
      </c>
      <c r="B171" s="18">
        <f>(innoculationdensity!$D$43*7)/1000</f>
        <v>1372.63</v>
      </c>
      <c r="C171" s="55"/>
      <c r="D171" s="55"/>
      <c r="E171" s="7">
        <v>42944</v>
      </c>
      <c r="F171" s="2">
        <f>2201-251</f>
        <v>1950</v>
      </c>
      <c r="G171" s="55"/>
      <c r="H171" s="55"/>
      <c r="I171" s="7">
        <v>42946</v>
      </c>
      <c r="J171" s="2">
        <v>2729</v>
      </c>
      <c r="K171" s="55"/>
      <c r="L171" s="55"/>
      <c r="M171" s="7">
        <v>42948</v>
      </c>
      <c r="N171" s="2">
        <v>4824</v>
      </c>
      <c r="O171" s="55"/>
      <c r="P171" s="55"/>
      <c r="Q171" s="7">
        <v>42950</v>
      </c>
      <c r="R171" s="4">
        <v>9049</v>
      </c>
      <c r="S171" s="55"/>
      <c r="T171" s="55"/>
      <c r="U171" s="7">
        <v>42952</v>
      </c>
      <c r="V171" s="2">
        <v>16887</v>
      </c>
      <c r="W171" s="55"/>
      <c r="X171" s="55"/>
      <c r="Y171" s="7">
        <v>42589</v>
      </c>
      <c r="Z171" s="2">
        <v>32318</v>
      </c>
      <c r="AA171" s="55"/>
      <c r="AB171" s="55"/>
      <c r="AC171" s="7">
        <v>42956</v>
      </c>
      <c r="AD171" s="2">
        <f>4063*20</f>
        <v>81260</v>
      </c>
      <c r="AE171" s="55"/>
      <c r="AF171" s="55"/>
      <c r="AG171" s="7">
        <v>42958</v>
      </c>
      <c r="AH171" s="2">
        <f>6830*20</f>
        <v>136600</v>
      </c>
      <c r="AI171" s="55"/>
      <c r="AJ171" s="55"/>
      <c r="AK171" s="7">
        <v>42960</v>
      </c>
      <c r="AL171" s="2">
        <f>12596*20</f>
        <v>251920</v>
      </c>
      <c r="AM171" s="55"/>
      <c r="AN171" s="55"/>
      <c r="AO171" s="7">
        <v>42962</v>
      </c>
      <c r="AP171" s="2">
        <f>25665*20</f>
        <v>513300</v>
      </c>
      <c r="AQ171" s="55"/>
      <c r="AR171" s="55"/>
      <c r="AS171" s="7">
        <v>42964</v>
      </c>
      <c r="AT171" s="2">
        <f>35195*20</f>
        <v>703900</v>
      </c>
      <c r="AU171" s="55"/>
      <c r="AV171" s="55"/>
      <c r="AW171" s="7">
        <v>42966</v>
      </c>
      <c r="AX171" s="2">
        <f>51374*20</f>
        <v>1027480</v>
      </c>
      <c r="AY171" s="55"/>
      <c r="AZ171" s="55"/>
      <c r="BA171" s="7">
        <v>42968</v>
      </c>
      <c r="BB171" s="2">
        <f>67542*20</f>
        <v>1350840</v>
      </c>
      <c r="BC171" s="55"/>
      <c r="BD171" s="55"/>
      <c r="BE171" s="7">
        <v>42970</v>
      </c>
      <c r="BF171" s="2">
        <f>72622*20</f>
        <v>1452440</v>
      </c>
      <c r="BG171" s="55"/>
      <c r="BH171" s="55"/>
      <c r="BI171" s="7">
        <v>42972</v>
      </c>
      <c r="BJ171" s="2">
        <f>77543*20</f>
        <v>1550860</v>
      </c>
      <c r="BK171" s="55"/>
      <c r="BL171" s="55"/>
      <c r="BM171" s="7">
        <v>42974</v>
      </c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</row>
    <row r="172" spans="1:101" x14ac:dyDescent="0.2">
      <c r="A172" s="20" t="s">
        <v>312</v>
      </c>
      <c r="B172" s="18">
        <f>(innoculationdensity!$D$43*7)/1000</f>
        <v>1372.63</v>
      </c>
      <c r="C172" s="55"/>
      <c r="D172" s="55"/>
      <c r="E172" s="7">
        <v>42944</v>
      </c>
      <c r="G172" s="55"/>
      <c r="H172" s="55"/>
      <c r="I172" s="7">
        <v>42946</v>
      </c>
      <c r="J172" s="2">
        <v>2705</v>
      </c>
      <c r="K172" s="55"/>
      <c r="L172" s="55"/>
      <c r="M172" s="7">
        <v>42948</v>
      </c>
      <c r="N172" s="2">
        <v>4911</v>
      </c>
      <c r="O172" s="55"/>
      <c r="P172" s="55"/>
      <c r="Q172" s="7">
        <v>42950</v>
      </c>
      <c r="R172" s="4">
        <v>9113</v>
      </c>
      <c r="S172" s="55"/>
      <c r="T172" s="55"/>
      <c r="U172" s="7">
        <v>42952</v>
      </c>
      <c r="V172" s="2">
        <v>16884</v>
      </c>
      <c r="W172" s="55"/>
      <c r="X172" s="55"/>
      <c r="Y172" s="7">
        <v>42589</v>
      </c>
      <c r="Z172" s="2">
        <v>32523</v>
      </c>
      <c r="AA172" s="55"/>
      <c r="AB172" s="55"/>
      <c r="AC172" s="7">
        <v>42956</v>
      </c>
      <c r="AD172" s="2">
        <f>3592*20</f>
        <v>71840</v>
      </c>
      <c r="AE172" s="55"/>
      <c r="AF172" s="55"/>
      <c r="AG172" s="7">
        <v>42958</v>
      </c>
      <c r="AH172" s="2">
        <f>6826*20</f>
        <v>136520</v>
      </c>
      <c r="AI172" s="55"/>
      <c r="AJ172" s="55"/>
      <c r="AK172" s="7">
        <v>42960</v>
      </c>
      <c r="AL172" s="2">
        <f>12689*20</f>
        <v>253780</v>
      </c>
      <c r="AM172" s="55"/>
      <c r="AN172" s="55"/>
      <c r="AO172" s="7">
        <v>42962</v>
      </c>
      <c r="AP172" s="2">
        <f>25544*20</f>
        <v>510880</v>
      </c>
      <c r="AQ172" s="55"/>
      <c r="AR172" s="55"/>
      <c r="AS172" s="7">
        <v>42964</v>
      </c>
      <c r="AT172" s="2">
        <f>34387*20</f>
        <v>687740</v>
      </c>
      <c r="AU172" s="55"/>
      <c r="AV172" s="55"/>
      <c r="AW172" s="7">
        <v>42966</v>
      </c>
      <c r="AX172" s="2">
        <f>51197*20</f>
        <v>1023940</v>
      </c>
      <c r="AY172" s="55"/>
      <c r="AZ172" s="55"/>
      <c r="BA172" s="7">
        <v>42968</v>
      </c>
      <c r="BB172" s="2">
        <f>66294*20</f>
        <v>1325880</v>
      </c>
      <c r="BC172" s="55"/>
      <c r="BD172" s="55"/>
      <c r="BE172" s="7">
        <v>42970</v>
      </c>
      <c r="BF172" s="2">
        <f>72592*20</f>
        <v>1451840</v>
      </c>
      <c r="BG172" s="55"/>
      <c r="BH172" s="55"/>
      <c r="BI172" s="7">
        <v>42972</v>
      </c>
      <c r="BJ172" s="2">
        <f>77211*20</f>
        <v>1544220</v>
      </c>
      <c r="BK172" s="55"/>
      <c r="BL172" s="55"/>
      <c r="BM172" s="7">
        <v>42974</v>
      </c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</row>
    <row r="173" spans="1:101" x14ac:dyDescent="0.2">
      <c r="A173" s="20" t="s">
        <v>313</v>
      </c>
      <c r="B173" s="18">
        <f>innoculationdensity!$D$46</f>
        <v>1492.26</v>
      </c>
      <c r="C173" s="56">
        <f t="shared" ref="C173" si="404">AVERAGE(B173:B181)</f>
        <v>1492.26</v>
      </c>
      <c r="D173" s="56">
        <f t="shared" ref="D173" si="405">(STDEV(B173:B181))</f>
        <v>0</v>
      </c>
      <c r="E173" s="7">
        <v>42944</v>
      </c>
      <c r="F173" s="2">
        <v>1107</v>
      </c>
      <c r="G173" s="56">
        <f t="shared" ref="G173" si="406">AVERAGE(F173:F181)</f>
        <v>1242</v>
      </c>
      <c r="H173" s="56">
        <f t="shared" si="333"/>
        <v>130.07382519169644</v>
      </c>
      <c r="I173" s="7">
        <v>42946</v>
      </c>
      <c r="J173" s="2">
        <v>2629</v>
      </c>
      <c r="K173" s="56">
        <f t="shared" ref="K173" si="407">AVERAGE(J173:J181)</f>
        <v>2684.8888888888887</v>
      </c>
      <c r="L173" s="56">
        <f t="shared" ref="L173" si="408">(STDEV(J173:J181))</f>
        <v>136.51414253150151</v>
      </c>
      <c r="M173" s="7">
        <v>42948</v>
      </c>
      <c r="N173" s="2">
        <v>6053</v>
      </c>
      <c r="O173" s="56">
        <f t="shared" ref="O173" si="409">AVERAGE(N173:N181)</f>
        <v>6496</v>
      </c>
      <c r="P173" s="56">
        <f t="shared" ref="P173" si="410">(STDEV(N173:N181))</f>
        <v>303.90459029109775</v>
      </c>
      <c r="Q173" s="7">
        <v>42950</v>
      </c>
      <c r="R173" s="4">
        <v>15034</v>
      </c>
      <c r="S173" s="56">
        <f t="shared" ref="S173" si="411">AVERAGE(R173:R181)</f>
        <v>14134.888888888889</v>
      </c>
      <c r="T173" s="56">
        <f t="shared" ref="T173" si="412">(STDEV(R173:R181))</f>
        <v>1484.6768541036502</v>
      </c>
      <c r="U173" s="7">
        <v>42952</v>
      </c>
      <c r="V173" s="2">
        <v>32169</v>
      </c>
      <c r="W173" s="54">
        <f t="shared" ref="W173" si="413">AVERAGE(V173:V181)</f>
        <v>31102.333333333332</v>
      </c>
      <c r="X173" s="56">
        <f t="shared" ref="X173" si="414">(STDEV(V173:V181))</f>
        <v>2108.1918200201803</v>
      </c>
      <c r="Y173" s="7">
        <v>42589</v>
      </c>
      <c r="Z173" s="2">
        <v>72059</v>
      </c>
      <c r="AA173" s="54">
        <f t="shared" ref="AA173" si="415">AVERAGE(Z173:Z181)</f>
        <v>71658.111111111109</v>
      </c>
      <c r="AB173" s="56">
        <f t="shared" ref="AB173" si="416">(STDEV(Z173:Z181))</f>
        <v>5004.8790805683921</v>
      </c>
      <c r="AC173" s="7">
        <v>42956</v>
      </c>
      <c r="AD173" s="2">
        <f>11297*20</f>
        <v>225940</v>
      </c>
      <c r="AE173" s="54">
        <f t="shared" ref="AE173" si="417">AVERAGE(AD173:AD181)</f>
        <v>228468.88888888888</v>
      </c>
      <c r="AF173" s="56">
        <f t="shared" ref="AF173" si="418">(STDEV(AD173:AD181))</f>
        <v>13182.928775924987</v>
      </c>
      <c r="AG173" s="7">
        <v>42958</v>
      </c>
      <c r="AH173" s="2">
        <f>24092*20</f>
        <v>481840</v>
      </c>
      <c r="AI173" s="54">
        <f t="shared" ref="AI173" si="419">AVERAGE(AH173:AH181)</f>
        <v>496102.22222222225</v>
      </c>
      <c r="AJ173" s="56">
        <f t="shared" ref="AJ173" si="420">(STDEV(AH173:AH181))</f>
        <v>31975.832193149319</v>
      </c>
      <c r="AK173" s="7">
        <v>42960</v>
      </c>
      <c r="AL173" s="2">
        <f>36109*20</f>
        <v>722180</v>
      </c>
      <c r="AM173" s="54">
        <f t="shared" ref="AM173" si="421">AVERAGE(AL173:AL181)</f>
        <v>715626.66666666663</v>
      </c>
      <c r="AN173" s="56">
        <f t="shared" ref="AN173" si="422">(STDEV(AL173:AL181))</f>
        <v>54275.022800547951</v>
      </c>
      <c r="AO173" s="7">
        <v>42962</v>
      </c>
      <c r="AP173" s="2">
        <f>41863*20</f>
        <v>837260</v>
      </c>
      <c r="AQ173" s="54">
        <f t="shared" ref="AQ173" si="423">AVERAGE(AP173:AP181)</f>
        <v>822802.22222222225</v>
      </c>
      <c r="AR173" s="56">
        <f t="shared" ref="AR173" si="424">(STDEV(AP173:AP181))</f>
        <v>39209.453508617589</v>
      </c>
      <c r="AS173" s="7">
        <v>42964</v>
      </c>
      <c r="AT173" s="2">
        <f>48477*20</f>
        <v>969540</v>
      </c>
      <c r="AU173" s="54">
        <f t="shared" ref="AU173" si="425">AVERAGE(AT173:AT181)</f>
        <v>947480</v>
      </c>
      <c r="AV173" s="56">
        <f t="shared" ref="AV173" si="426">(STDEV(AT173:AT181))</f>
        <v>51344.740723856034</v>
      </c>
      <c r="AW173" s="7">
        <v>42966</v>
      </c>
      <c r="AX173" s="2">
        <f>47088*20</f>
        <v>941760</v>
      </c>
      <c r="AY173" s="54">
        <f t="shared" ref="AY173" si="427">AVERAGE(AX173:AX181)</f>
        <v>908004.4444444445</v>
      </c>
      <c r="AZ173" s="56">
        <f>(STDEV(AX173:AX181))</f>
        <v>79974.124426452938</v>
      </c>
      <c r="BA173" s="7">
        <v>42968</v>
      </c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</row>
    <row r="174" spans="1:101" x14ac:dyDescent="0.2">
      <c r="A174" s="20" t="s">
        <v>314</v>
      </c>
      <c r="B174" s="18">
        <f>innoculationdensity!$D$46</f>
        <v>1492.26</v>
      </c>
      <c r="C174" s="55"/>
      <c r="D174" s="55"/>
      <c r="E174" s="7">
        <v>42944</v>
      </c>
      <c r="F174" s="2">
        <v>1112</v>
      </c>
      <c r="G174" s="55"/>
      <c r="H174" s="55"/>
      <c r="I174" s="7">
        <v>42946</v>
      </c>
      <c r="J174" s="2">
        <v>2675</v>
      </c>
      <c r="K174" s="55"/>
      <c r="L174" s="55"/>
      <c r="M174" s="7">
        <v>42948</v>
      </c>
      <c r="N174" s="2">
        <v>6379</v>
      </c>
      <c r="O174" s="55"/>
      <c r="P174" s="55"/>
      <c r="Q174" s="7">
        <v>42950</v>
      </c>
      <c r="R174" s="4">
        <v>14792</v>
      </c>
      <c r="S174" s="55"/>
      <c r="T174" s="55"/>
      <c r="U174" s="7">
        <v>42952</v>
      </c>
      <c r="V174" s="2">
        <v>32511</v>
      </c>
      <c r="W174" s="55"/>
      <c r="X174" s="55"/>
      <c r="Y174" s="7">
        <v>42589</v>
      </c>
      <c r="Z174" s="2">
        <v>70785</v>
      </c>
      <c r="AA174" s="55"/>
      <c r="AB174" s="55"/>
      <c r="AC174" s="7">
        <v>42956</v>
      </c>
      <c r="AD174" s="2">
        <f>11368*20</f>
        <v>227360</v>
      </c>
      <c r="AE174" s="55"/>
      <c r="AF174" s="55"/>
      <c r="AG174" s="7">
        <v>42958</v>
      </c>
      <c r="AH174" s="2">
        <f>24372*20</f>
        <v>487440</v>
      </c>
      <c r="AI174" s="55"/>
      <c r="AJ174" s="55"/>
      <c r="AK174" s="7">
        <v>42960</v>
      </c>
      <c r="AL174" s="2">
        <f>35773*20</f>
        <v>715460</v>
      </c>
      <c r="AM174" s="55"/>
      <c r="AN174" s="55"/>
      <c r="AO174" s="7">
        <v>42962</v>
      </c>
      <c r="AP174" s="2">
        <f>41420*20</f>
        <v>828400</v>
      </c>
      <c r="AQ174" s="55"/>
      <c r="AR174" s="55"/>
      <c r="AS174" s="7">
        <v>42964</v>
      </c>
      <c r="AT174" s="2">
        <f>48431*20</f>
        <v>968620</v>
      </c>
      <c r="AU174" s="55"/>
      <c r="AV174" s="55"/>
      <c r="AW174" s="7">
        <v>42966</v>
      </c>
      <c r="AX174" s="2">
        <f>47272*20</f>
        <v>945440</v>
      </c>
      <c r="AY174" s="55"/>
      <c r="AZ174" s="55"/>
      <c r="BA174" s="7">
        <v>42968</v>
      </c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</row>
    <row r="175" spans="1:101" x14ac:dyDescent="0.2">
      <c r="A175" s="20" t="s">
        <v>315</v>
      </c>
      <c r="B175" s="18">
        <f>innoculationdensity!$D$46</f>
        <v>1492.26</v>
      </c>
      <c r="C175" s="55"/>
      <c r="D175" s="55"/>
      <c r="E175" s="7">
        <v>42944</v>
      </c>
      <c r="G175" s="55"/>
      <c r="H175" s="55"/>
      <c r="I175" s="7">
        <v>42946</v>
      </c>
      <c r="J175" s="2">
        <v>2492</v>
      </c>
      <c r="K175" s="55"/>
      <c r="L175" s="55"/>
      <c r="M175" s="7">
        <v>42948</v>
      </c>
      <c r="N175" s="2">
        <v>6157</v>
      </c>
      <c r="O175" s="55"/>
      <c r="P175" s="55"/>
      <c r="Q175" s="7">
        <v>42950</v>
      </c>
      <c r="R175" s="4">
        <v>14577</v>
      </c>
      <c r="S175" s="55"/>
      <c r="T175" s="55"/>
      <c r="U175" s="7">
        <v>42952</v>
      </c>
      <c r="V175" s="2">
        <v>31728</v>
      </c>
      <c r="W175" s="55"/>
      <c r="X175" s="55"/>
      <c r="Y175" s="7">
        <v>42589</v>
      </c>
      <c r="Z175" s="2">
        <v>70022</v>
      </c>
      <c r="AA175" s="55"/>
      <c r="AB175" s="55"/>
      <c r="AC175" s="7">
        <v>42956</v>
      </c>
      <c r="AD175" s="2">
        <f>11190*20</f>
        <v>223800</v>
      </c>
      <c r="AE175" s="55"/>
      <c r="AF175" s="55"/>
      <c r="AG175" s="7">
        <v>42958</v>
      </c>
      <c r="AH175" s="2">
        <f>24931*20</f>
        <v>498620</v>
      </c>
      <c r="AI175" s="55"/>
      <c r="AJ175" s="55"/>
      <c r="AK175" s="7">
        <v>42960</v>
      </c>
      <c r="AL175" s="2">
        <f>35361*20</f>
        <v>707220</v>
      </c>
      <c r="AM175" s="55"/>
      <c r="AN175" s="55"/>
      <c r="AO175" s="7">
        <v>42962</v>
      </c>
      <c r="AP175" s="2">
        <f>41720*20</f>
        <v>834400</v>
      </c>
      <c r="AQ175" s="55"/>
      <c r="AR175" s="55"/>
      <c r="AS175" s="7">
        <v>42964</v>
      </c>
      <c r="AT175" s="2">
        <f>48406*20</f>
        <v>968120</v>
      </c>
      <c r="AU175" s="55"/>
      <c r="AV175" s="55"/>
      <c r="AW175" s="7">
        <v>42966</v>
      </c>
      <c r="AX175" s="2">
        <f>47325*20</f>
        <v>946500</v>
      </c>
      <c r="AY175" s="55"/>
      <c r="AZ175" s="55"/>
      <c r="BA175" s="7">
        <v>42968</v>
      </c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</row>
    <row r="176" spans="1:101" x14ac:dyDescent="0.2">
      <c r="A176" s="20" t="s">
        <v>316</v>
      </c>
      <c r="B176" s="18">
        <f>innoculationdensity!$D$46</f>
        <v>1492.26</v>
      </c>
      <c r="C176" s="55"/>
      <c r="D176" s="55"/>
      <c r="E176" s="7">
        <v>42944</v>
      </c>
      <c r="F176" s="2">
        <v>1439</v>
      </c>
      <c r="G176" s="55"/>
      <c r="H176" s="55"/>
      <c r="I176" s="7">
        <v>42946</v>
      </c>
      <c r="J176" s="2">
        <v>2623</v>
      </c>
      <c r="K176" s="55"/>
      <c r="L176" s="55"/>
      <c r="M176" s="7">
        <v>42948</v>
      </c>
      <c r="N176" s="2">
        <v>6623</v>
      </c>
      <c r="O176" s="55"/>
      <c r="P176" s="55"/>
      <c r="Q176" s="7">
        <v>42950</v>
      </c>
      <c r="R176" s="4">
        <v>12724</v>
      </c>
      <c r="S176" s="55"/>
      <c r="T176" s="55"/>
      <c r="U176" s="7">
        <v>42952</v>
      </c>
      <c r="V176" s="2">
        <v>28722</v>
      </c>
      <c r="W176" s="55"/>
      <c r="X176" s="55"/>
      <c r="Y176" s="7">
        <v>42589</v>
      </c>
      <c r="Z176" s="2">
        <v>66685</v>
      </c>
      <c r="AA176" s="55"/>
      <c r="AB176" s="55"/>
      <c r="AC176" s="7">
        <v>42956</v>
      </c>
      <c r="AD176" s="2">
        <f>11021*20</f>
        <v>220420</v>
      </c>
      <c r="AE176" s="55"/>
      <c r="AF176" s="55"/>
      <c r="AG176" s="7">
        <v>42958</v>
      </c>
      <c r="AH176" s="2">
        <f>23383*20</f>
        <v>467660</v>
      </c>
      <c r="AI176" s="55"/>
      <c r="AJ176" s="55"/>
      <c r="AK176" s="7">
        <v>42960</v>
      </c>
      <c r="AL176" s="2">
        <f>32801*20</f>
        <v>656020</v>
      </c>
      <c r="AM176" s="55"/>
      <c r="AN176" s="55"/>
      <c r="AO176" s="7">
        <v>42962</v>
      </c>
      <c r="AP176" s="2">
        <f>38991*20</f>
        <v>779820</v>
      </c>
      <c r="AQ176" s="55"/>
      <c r="AR176" s="55"/>
      <c r="AS176" s="7">
        <v>42964</v>
      </c>
      <c r="AT176" s="2">
        <f>44103*20</f>
        <v>882060</v>
      </c>
      <c r="AU176" s="55"/>
      <c r="AV176" s="55"/>
      <c r="AW176" s="7">
        <v>42966</v>
      </c>
      <c r="AX176" s="2">
        <f>39950*20</f>
        <v>799000</v>
      </c>
      <c r="AY176" s="55"/>
      <c r="AZ176" s="55"/>
      <c r="BA176" s="7">
        <v>42968</v>
      </c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</row>
    <row r="177" spans="1:101" x14ac:dyDescent="0.2">
      <c r="A177" s="20" t="s">
        <v>317</v>
      </c>
      <c r="B177" s="18">
        <f>innoculationdensity!$D$46</f>
        <v>1492.26</v>
      </c>
      <c r="C177" s="55"/>
      <c r="D177" s="55"/>
      <c r="E177" s="7">
        <v>42944</v>
      </c>
      <c r="F177" s="2">
        <v>1331</v>
      </c>
      <c r="G177" s="55"/>
      <c r="H177" s="55"/>
      <c r="I177" s="7">
        <v>42946</v>
      </c>
      <c r="J177" s="2">
        <v>2592</v>
      </c>
      <c r="K177" s="55"/>
      <c r="L177" s="55"/>
      <c r="M177" s="7">
        <v>42948</v>
      </c>
      <c r="N177" s="2">
        <v>6377</v>
      </c>
      <c r="O177" s="55"/>
      <c r="P177" s="55"/>
      <c r="Q177" s="7">
        <v>42950</v>
      </c>
      <c r="R177" s="4">
        <v>12322</v>
      </c>
      <c r="S177" s="55"/>
      <c r="T177" s="55"/>
      <c r="U177" s="7">
        <v>42952</v>
      </c>
      <c r="V177" s="2">
        <v>28463</v>
      </c>
      <c r="W177" s="55"/>
      <c r="X177" s="55"/>
      <c r="Y177" s="7">
        <v>42589</v>
      </c>
      <c r="Z177" s="2">
        <v>65016</v>
      </c>
      <c r="AA177" s="55"/>
      <c r="AB177" s="55"/>
      <c r="AC177" s="7">
        <v>42956</v>
      </c>
      <c r="AD177" s="2">
        <f>10830*20</f>
        <v>216600</v>
      </c>
      <c r="AE177" s="55"/>
      <c r="AF177" s="55"/>
      <c r="AG177" s="7">
        <v>42958</v>
      </c>
      <c r="AH177" s="2">
        <f>23246*20</f>
        <v>464920</v>
      </c>
      <c r="AI177" s="55"/>
      <c r="AJ177" s="55"/>
      <c r="AK177" s="7">
        <v>42960</v>
      </c>
      <c r="AL177" s="2">
        <f>32873*20</f>
        <v>657460</v>
      </c>
      <c r="AM177" s="55"/>
      <c r="AN177" s="55"/>
      <c r="AO177" s="7">
        <v>42962</v>
      </c>
      <c r="AP177" s="2">
        <f>38686*20</f>
        <v>773720</v>
      </c>
      <c r="AQ177" s="55"/>
      <c r="AR177" s="55"/>
      <c r="AS177" s="7">
        <v>42964</v>
      </c>
      <c r="AT177" s="2">
        <f>43878*20</f>
        <v>877560</v>
      </c>
      <c r="AU177" s="55"/>
      <c r="AV177" s="55"/>
      <c r="AW177" s="7">
        <v>42966</v>
      </c>
      <c r="AX177" s="2">
        <f>40425*20</f>
        <v>808500</v>
      </c>
      <c r="AY177" s="55"/>
      <c r="AZ177" s="55"/>
      <c r="BA177" s="7">
        <v>42968</v>
      </c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</row>
    <row r="178" spans="1:101" x14ac:dyDescent="0.2">
      <c r="A178" s="20" t="s">
        <v>318</v>
      </c>
      <c r="B178" s="18">
        <f>innoculationdensity!$D$46</f>
        <v>1492.26</v>
      </c>
      <c r="C178" s="55"/>
      <c r="D178" s="55"/>
      <c r="E178" s="7">
        <v>42944</v>
      </c>
      <c r="G178" s="55"/>
      <c r="H178" s="55"/>
      <c r="I178" s="7">
        <v>42946</v>
      </c>
      <c r="J178" s="2">
        <v>2594</v>
      </c>
      <c r="K178" s="55"/>
      <c r="L178" s="55"/>
      <c r="M178" s="7">
        <v>42948</v>
      </c>
      <c r="N178" s="2">
        <v>6505</v>
      </c>
      <c r="O178" s="55"/>
      <c r="P178" s="55"/>
      <c r="Q178" s="7">
        <v>42950</v>
      </c>
      <c r="R178" s="4">
        <v>11683</v>
      </c>
      <c r="S178" s="55"/>
      <c r="T178" s="55"/>
      <c r="U178" s="7">
        <v>42952</v>
      </c>
      <c r="V178" s="2">
        <v>27878</v>
      </c>
      <c r="W178" s="55"/>
      <c r="X178" s="55"/>
      <c r="Y178" s="7">
        <v>42589</v>
      </c>
      <c r="Z178" s="2">
        <v>67316</v>
      </c>
      <c r="AA178" s="55"/>
      <c r="AB178" s="55"/>
      <c r="AC178" s="7">
        <v>42956</v>
      </c>
      <c r="AD178" s="2">
        <f>10442*20</f>
        <v>208840</v>
      </c>
      <c r="AE178" s="55"/>
      <c r="AF178" s="55"/>
      <c r="AG178" s="7">
        <v>42958</v>
      </c>
      <c r="AH178" s="2">
        <f>22901*20</f>
        <v>458020</v>
      </c>
      <c r="AI178" s="55"/>
      <c r="AJ178" s="55"/>
      <c r="AK178" s="7">
        <v>42960</v>
      </c>
      <c r="AL178" s="2">
        <f>32360*20</f>
        <v>647200</v>
      </c>
      <c r="AM178" s="55"/>
      <c r="AN178" s="55"/>
      <c r="AO178" s="7">
        <v>42962</v>
      </c>
      <c r="AP178" s="2">
        <f>38351*20</f>
        <v>767020</v>
      </c>
      <c r="AQ178" s="55"/>
      <c r="AR178" s="55"/>
      <c r="AS178" s="7">
        <v>42964</v>
      </c>
      <c r="AT178" s="2">
        <f>44102*20</f>
        <v>882040</v>
      </c>
      <c r="AU178" s="55"/>
      <c r="AV178" s="55"/>
      <c r="AW178" s="7">
        <v>42966</v>
      </c>
      <c r="AX178" s="2">
        <f>40095*20</f>
        <v>801900</v>
      </c>
      <c r="AY178" s="55"/>
      <c r="AZ178" s="55"/>
      <c r="BA178" s="7">
        <v>42968</v>
      </c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</row>
    <row r="179" spans="1:101" x14ac:dyDescent="0.2">
      <c r="A179" s="20" t="s">
        <v>319</v>
      </c>
      <c r="B179" s="18">
        <f>innoculationdensity!$D$46</f>
        <v>1492.26</v>
      </c>
      <c r="C179" s="55"/>
      <c r="D179" s="55"/>
      <c r="E179" s="7">
        <v>42944</v>
      </c>
      <c r="F179" s="2">
        <v>1267</v>
      </c>
      <c r="G179" s="55"/>
      <c r="H179" s="55"/>
      <c r="I179" s="7">
        <v>42946</v>
      </c>
      <c r="J179" s="2">
        <v>2811</v>
      </c>
      <c r="K179" s="55"/>
      <c r="L179" s="55"/>
      <c r="M179" s="7">
        <v>42948</v>
      </c>
      <c r="N179" s="2">
        <v>6991</v>
      </c>
      <c r="O179" s="55"/>
      <c r="P179" s="55"/>
      <c r="Q179" s="7">
        <v>42950</v>
      </c>
      <c r="R179" s="4">
        <v>15788</v>
      </c>
      <c r="S179" s="55"/>
      <c r="T179" s="55"/>
      <c r="U179" s="7">
        <v>42952</v>
      </c>
      <c r="V179" s="2">
        <v>33152</v>
      </c>
      <c r="W179" s="55"/>
      <c r="X179" s="55"/>
      <c r="Y179" s="7">
        <v>42589</v>
      </c>
      <c r="Z179" s="2">
        <v>77814</v>
      </c>
      <c r="AA179" s="55"/>
      <c r="AB179" s="55"/>
      <c r="AC179" s="7">
        <v>42956</v>
      </c>
      <c r="AD179" s="2">
        <f>12278*20</f>
        <v>245560</v>
      </c>
      <c r="AE179" s="55"/>
      <c r="AF179" s="55"/>
      <c r="AG179" s="7">
        <v>42958</v>
      </c>
      <c r="AH179" s="2">
        <f>26897*20</f>
        <v>537940</v>
      </c>
      <c r="AI179" s="55"/>
      <c r="AJ179" s="55"/>
      <c r="AK179" s="7">
        <v>42960</v>
      </c>
      <c r="AL179" s="2">
        <f>39064*20</f>
        <v>781280</v>
      </c>
      <c r="AM179" s="55"/>
      <c r="AN179" s="55"/>
      <c r="AO179" s="7">
        <v>42962</v>
      </c>
      <c r="AP179" s="2">
        <f>43125*20</f>
        <v>862500</v>
      </c>
      <c r="AQ179" s="55"/>
      <c r="AR179" s="55"/>
      <c r="AS179" s="7">
        <v>42964</v>
      </c>
      <c r="AT179" s="2">
        <f>49804*20</f>
        <v>996080</v>
      </c>
      <c r="AU179" s="55"/>
      <c r="AV179" s="55"/>
      <c r="AW179" s="7">
        <v>42966</v>
      </c>
      <c r="AX179" s="2">
        <f>48818*20</f>
        <v>976360</v>
      </c>
      <c r="AY179" s="55"/>
      <c r="AZ179" s="55"/>
      <c r="BA179" s="7">
        <v>42968</v>
      </c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</row>
    <row r="180" spans="1:101" x14ac:dyDescent="0.2">
      <c r="A180" s="20" t="s">
        <v>320</v>
      </c>
      <c r="B180" s="18">
        <f>innoculationdensity!$D$46</f>
        <v>1492.26</v>
      </c>
      <c r="C180" s="55"/>
      <c r="D180" s="55"/>
      <c r="E180" s="7">
        <v>42944</v>
      </c>
      <c r="F180" s="2">
        <v>1196</v>
      </c>
      <c r="G180" s="55"/>
      <c r="H180" s="55"/>
      <c r="I180" s="7">
        <v>42946</v>
      </c>
      <c r="J180" s="2">
        <v>2858</v>
      </c>
      <c r="K180" s="55"/>
      <c r="L180" s="55"/>
      <c r="M180" s="7">
        <v>42948</v>
      </c>
      <c r="N180" s="2">
        <v>6868</v>
      </c>
      <c r="O180" s="55"/>
      <c r="P180" s="55"/>
      <c r="Q180" s="7">
        <v>42950</v>
      </c>
      <c r="R180" s="4">
        <v>15400</v>
      </c>
      <c r="S180" s="55"/>
      <c r="T180" s="55"/>
      <c r="U180" s="7">
        <v>42952</v>
      </c>
      <c r="V180" s="2">
        <v>32768</v>
      </c>
      <c r="W180" s="55"/>
      <c r="X180" s="55"/>
      <c r="Y180" s="7">
        <v>42589</v>
      </c>
      <c r="Z180" s="2">
        <v>77981</v>
      </c>
      <c r="AA180" s="55"/>
      <c r="AB180" s="55"/>
      <c r="AC180" s="7">
        <v>42956</v>
      </c>
      <c r="AD180" s="2">
        <f>12269*20</f>
        <v>245380</v>
      </c>
      <c r="AE180" s="55"/>
      <c r="AF180" s="55"/>
      <c r="AG180" s="7">
        <v>42958</v>
      </c>
      <c r="AH180" s="2">
        <f>26782*20</f>
        <v>535640</v>
      </c>
      <c r="AI180" s="55"/>
      <c r="AJ180" s="55"/>
      <c r="AK180" s="7">
        <v>42960</v>
      </c>
      <c r="AL180" s="2">
        <f>38970*20</f>
        <v>779400</v>
      </c>
      <c r="AM180" s="55"/>
      <c r="AN180" s="55"/>
      <c r="AO180" s="7">
        <v>42962</v>
      </c>
      <c r="AP180" s="2">
        <f>43313*20</f>
        <v>866260</v>
      </c>
      <c r="AQ180" s="55"/>
      <c r="AR180" s="55"/>
      <c r="AS180" s="7">
        <v>42964</v>
      </c>
      <c r="AT180" s="2">
        <f>49723*20</f>
        <v>994460</v>
      </c>
      <c r="AU180" s="55"/>
      <c r="AV180" s="55"/>
      <c r="AW180" s="7">
        <v>42966</v>
      </c>
      <c r="AX180" s="2">
        <f>48453*20</f>
        <v>969060</v>
      </c>
      <c r="AY180" s="55"/>
      <c r="AZ180" s="55"/>
      <c r="BA180" s="7">
        <v>42968</v>
      </c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</row>
    <row r="181" spans="1:101" x14ac:dyDescent="0.2">
      <c r="A181" s="20" t="s">
        <v>321</v>
      </c>
      <c r="B181" s="18">
        <f>innoculationdensity!$D$46</f>
        <v>1492.26</v>
      </c>
      <c r="C181" s="55"/>
      <c r="D181" s="55"/>
      <c r="E181" s="7">
        <v>42944</v>
      </c>
      <c r="G181" s="55"/>
      <c r="H181" s="55"/>
      <c r="I181" s="7">
        <v>42946</v>
      </c>
      <c r="J181" s="2">
        <v>2890</v>
      </c>
      <c r="K181" s="55"/>
      <c r="L181" s="55"/>
      <c r="M181" s="7">
        <v>42948</v>
      </c>
      <c r="N181" s="2">
        <v>6511</v>
      </c>
      <c r="O181" s="55"/>
      <c r="P181" s="55"/>
      <c r="Q181" s="7">
        <v>42950</v>
      </c>
      <c r="R181" s="4">
        <v>14894</v>
      </c>
      <c r="S181" s="55"/>
      <c r="T181" s="55"/>
      <c r="U181" s="7">
        <v>42952</v>
      </c>
      <c r="V181" s="2">
        <v>32530</v>
      </c>
      <c r="W181" s="55"/>
      <c r="X181" s="55"/>
      <c r="Y181" s="7">
        <v>42589</v>
      </c>
      <c r="Z181" s="2">
        <v>77245</v>
      </c>
      <c r="AA181" s="55"/>
      <c r="AB181" s="55"/>
      <c r="AC181" s="7">
        <v>42956</v>
      </c>
      <c r="AD181" s="2">
        <f>12116*20</f>
        <v>242320</v>
      </c>
      <c r="AE181" s="55"/>
      <c r="AF181" s="55"/>
      <c r="AG181" s="7">
        <v>42958</v>
      </c>
      <c r="AH181" s="2">
        <f>26642*20</f>
        <v>532840</v>
      </c>
      <c r="AI181" s="55"/>
      <c r="AJ181" s="55"/>
      <c r="AK181" s="7">
        <v>42960</v>
      </c>
      <c r="AL181" s="2">
        <f>38721*20</f>
        <v>774420</v>
      </c>
      <c r="AM181" s="55"/>
      <c r="AN181" s="55"/>
      <c r="AO181" s="7">
        <v>42962</v>
      </c>
      <c r="AP181" s="2">
        <f>42792*20</f>
        <v>855840</v>
      </c>
      <c r="AQ181" s="55"/>
      <c r="AR181" s="55"/>
      <c r="AS181" s="7">
        <v>42964</v>
      </c>
      <c r="AT181" s="2">
        <f>49442*20</f>
        <v>988840</v>
      </c>
      <c r="AU181" s="55"/>
      <c r="AV181" s="55"/>
      <c r="AW181" s="7">
        <v>42966</v>
      </c>
      <c r="AX181" s="2">
        <f>49176*20</f>
        <v>983520</v>
      </c>
      <c r="AY181" s="55"/>
      <c r="AZ181" s="55"/>
      <c r="BA181" s="7">
        <v>42968</v>
      </c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</row>
  </sheetData>
  <mergeCells count="556">
    <mergeCell ref="BX101:BX109"/>
    <mergeCell ref="BW110:BW118"/>
    <mergeCell ref="BS101:BS109"/>
    <mergeCell ref="AM128:AM136"/>
    <mergeCell ref="AN128:AN136"/>
    <mergeCell ref="BX110:BX118"/>
    <mergeCell ref="BW101:BW109"/>
    <mergeCell ref="BT101:BT109"/>
    <mergeCell ref="BK101:BK109"/>
    <mergeCell ref="BL101:BL109"/>
    <mergeCell ref="AQ119:AQ127"/>
    <mergeCell ref="AR119:AR127"/>
    <mergeCell ref="BC101:BC109"/>
    <mergeCell ref="BD101:BD109"/>
    <mergeCell ref="AU110:AU118"/>
    <mergeCell ref="AV110:AV118"/>
    <mergeCell ref="AU119:AU127"/>
    <mergeCell ref="AV119:AV127"/>
    <mergeCell ref="AZ101:AZ109"/>
    <mergeCell ref="AQ110:AQ118"/>
    <mergeCell ref="BC164:BC172"/>
    <mergeCell ref="BD164:BD172"/>
    <mergeCell ref="AQ146:AQ154"/>
    <mergeCell ref="AR146:AR154"/>
    <mergeCell ref="AQ155:AQ163"/>
    <mergeCell ref="AR155:AR163"/>
    <mergeCell ref="BC137:BC145"/>
    <mergeCell ref="BD137:BD145"/>
    <mergeCell ref="BG137:BG145"/>
    <mergeCell ref="AV101:AV109"/>
    <mergeCell ref="AU83:AU91"/>
    <mergeCell ref="AQ137:AQ145"/>
    <mergeCell ref="AR137:AR145"/>
    <mergeCell ref="AV83:AV91"/>
    <mergeCell ref="AE137:AE145"/>
    <mergeCell ref="AF137:AF145"/>
    <mergeCell ref="AU101:AU109"/>
    <mergeCell ref="AQ83:AQ91"/>
    <mergeCell ref="AM83:AM91"/>
    <mergeCell ref="AN83:AN91"/>
    <mergeCell ref="AM92:AM100"/>
    <mergeCell ref="AN92:AN100"/>
    <mergeCell ref="BG101:BG109"/>
    <mergeCell ref="BH101:BH109"/>
    <mergeCell ref="AY110:AY118"/>
    <mergeCell ref="AZ110:AZ118"/>
    <mergeCell ref="AY119:AY127"/>
    <mergeCell ref="AB110:AB118"/>
    <mergeCell ref="AE110:AE118"/>
    <mergeCell ref="AF110:AF118"/>
    <mergeCell ref="AE119:AE127"/>
    <mergeCell ref="AF119:AF127"/>
    <mergeCell ref="BL47:BL55"/>
    <mergeCell ref="AZ65:AZ73"/>
    <mergeCell ref="BC65:BC73"/>
    <mergeCell ref="BD65:BD73"/>
    <mergeCell ref="BG47:BG55"/>
    <mergeCell ref="BH47:BH55"/>
    <mergeCell ref="BC47:BC55"/>
    <mergeCell ref="BD47:BD55"/>
    <mergeCell ref="AI56:AI64"/>
    <mergeCell ref="AJ56:AJ64"/>
    <mergeCell ref="BK74:BK82"/>
    <mergeCell ref="BL74:BL82"/>
    <mergeCell ref="BG74:BG82"/>
    <mergeCell ref="BH74:BH82"/>
    <mergeCell ref="AY65:AY73"/>
    <mergeCell ref="BC74:BC82"/>
    <mergeCell ref="BD74:BD82"/>
    <mergeCell ref="AY74:AY82"/>
    <mergeCell ref="AZ74:AZ82"/>
    <mergeCell ref="K110:K118"/>
    <mergeCell ref="L110:L118"/>
    <mergeCell ref="L119:L127"/>
    <mergeCell ref="AA74:AA82"/>
    <mergeCell ref="AB74:AB82"/>
    <mergeCell ref="AM74:AM82"/>
    <mergeCell ref="AN74:AN82"/>
    <mergeCell ref="AI74:AI82"/>
    <mergeCell ref="AJ74:AJ82"/>
    <mergeCell ref="AB83:AB91"/>
    <mergeCell ref="AB92:AB100"/>
    <mergeCell ref="K119:K127"/>
    <mergeCell ref="O128:O136"/>
    <mergeCell ref="C128:C136"/>
    <mergeCell ref="D128:D136"/>
    <mergeCell ref="S110:S118"/>
    <mergeCell ref="T110:T118"/>
    <mergeCell ref="S119:S127"/>
    <mergeCell ref="T119:T127"/>
    <mergeCell ref="G110:G118"/>
    <mergeCell ref="BS47:BS55"/>
    <mergeCell ref="BT47:BT55"/>
    <mergeCell ref="AQ74:AQ82"/>
    <mergeCell ref="AR74:AR82"/>
    <mergeCell ref="O83:O91"/>
    <mergeCell ref="O92:O100"/>
    <mergeCell ref="O101:O109"/>
    <mergeCell ref="BK47:BK55"/>
    <mergeCell ref="BO47:BO55"/>
    <mergeCell ref="BP47:BP55"/>
    <mergeCell ref="W92:W100"/>
    <mergeCell ref="X92:X100"/>
    <mergeCell ref="P83:P91"/>
    <mergeCell ref="P92:P100"/>
    <mergeCell ref="P101:P109"/>
    <mergeCell ref="S83:S91"/>
    <mergeCell ref="S101:S109"/>
    <mergeCell ref="T101:T109"/>
    <mergeCell ref="AA110:AA118"/>
    <mergeCell ref="AA83:AA91"/>
    <mergeCell ref="AA92:AA100"/>
    <mergeCell ref="AA101:AA109"/>
    <mergeCell ref="T83:T91"/>
    <mergeCell ref="S92:S100"/>
    <mergeCell ref="T92:T100"/>
    <mergeCell ref="W83:W91"/>
    <mergeCell ref="X83:X91"/>
    <mergeCell ref="G83:G91"/>
    <mergeCell ref="H83:H91"/>
    <mergeCell ref="G92:G100"/>
    <mergeCell ref="H92:H100"/>
    <mergeCell ref="G101:G109"/>
    <mergeCell ref="H101:H109"/>
    <mergeCell ref="H110:H118"/>
    <mergeCell ref="D110:D118"/>
    <mergeCell ref="C119:C127"/>
    <mergeCell ref="D119:D127"/>
    <mergeCell ref="G119:G127"/>
    <mergeCell ref="H119:H127"/>
    <mergeCell ref="C110:C118"/>
    <mergeCell ref="O74:O82"/>
    <mergeCell ref="P74:P82"/>
    <mergeCell ref="K83:K91"/>
    <mergeCell ref="L83:L91"/>
    <mergeCell ref="K92:K100"/>
    <mergeCell ref="L92:L100"/>
    <mergeCell ref="K101:K109"/>
    <mergeCell ref="L101:L109"/>
    <mergeCell ref="C83:C91"/>
    <mergeCell ref="AY11:AY19"/>
    <mergeCell ref="AZ11:AZ19"/>
    <mergeCell ref="AY29:AY37"/>
    <mergeCell ref="AZ29:AZ37"/>
    <mergeCell ref="K74:K82"/>
    <mergeCell ref="L74:L82"/>
    <mergeCell ref="AQ65:AQ73"/>
    <mergeCell ref="AR65:AR73"/>
    <mergeCell ref="AU47:AU55"/>
    <mergeCell ref="AV47:AV55"/>
    <mergeCell ref="AY47:AY55"/>
    <mergeCell ref="AZ47:AZ55"/>
    <mergeCell ref="AU65:AU73"/>
    <mergeCell ref="AV65:AV73"/>
    <mergeCell ref="S74:S82"/>
    <mergeCell ref="T74:T82"/>
    <mergeCell ref="G74:G82"/>
    <mergeCell ref="H74:H82"/>
    <mergeCell ref="AM65:AM73"/>
    <mergeCell ref="AE65:AE73"/>
    <mergeCell ref="AF65:AF73"/>
    <mergeCell ref="AF74:AF82"/>
    <mergeCell ref="AE74:AE82"/>
    <mergeCell ref="AB65:AB73"/>
    <mergeCell ref="AI65:AI73"/>
    <mergeCell ref="AJ65:AJ73"/>
    <mergeCell ref="W74:W82"/>
    <mergeCell ref="X74:X82"/>
    <mergeCell ref="AU29:AU37"/>
    <mergeCell ref="AV29:AV37"/>
    <mergeCell ref="AU11:AU19"/>
    <mergeCell ref="AV11:AV19"/>
    <mergeCell ref="C74:C82"/>
    <mergeCell ref="D74:D82"/>
    <mergeCell ref="AN65:AN73"/>
    <mergeCell ref="AQ47:AQ55"/>
    <mergeCell ref="AR47:AR55"/>
    <mergeCell ref="AI38:AI46"/>
    <mergeCell ref="AJ38:AJ46"/>
    <mergeCell ref="AU74:AU82"/>
    <mergeCell ref="AV74:AV82"/>
    <mergeCell ref="AQ11:AQ19"/>
    <mergeCell ref="AR11:AR19"/>
    <mergeCell ref="AQ20:AQ28"/>
    <mergeCell ref="AR20:AR28"/>
    <mergeCell ref="AQ29:AQ37"/>
    <mergeCell ref="AR29:AR37"/>
    <mergeCell ref="AM38:AM46"/>
    <mergeCell ref="AN38:AN46"/>
    <mergeCell ref="AM47:AM55"/>
    <mergeCell ref="AN47:AN55"/>
    <mergeCell ref="AI47:AI55"/>
    <mergeCell ref="AJ47:AJ55"/>
    <mergeCell ref="AQ2:AQ10"/>
    <mergeCell ref="AR2:AR10"/>
    <mergeCell ref="AM11:AM19"/>
    <mergeCell ref="AN11:AN19"/>
    <mergeCell ref="AM20:AM28"/>
    <mergeCell ref="AN20:AN28"/>
    <mergeCell ref="AM29:AM37"/>
    <mergeCell ref="AN29:AN37"/>
    <mergeCell ref="AI11:AI19"/>
    <mergeCell ref="AJ11:AJ19"/>
    <mergeCell ref="AI20:AI28"/>
    <mergeCell ref="AJ20:AJ28"/>
    <mergeCell ref="AJ29:AJ37"/>
    <mergeCell ref="AI29:AI37"/>
    <mergeCell ref="AM2:AM10"/>
    <mergeCell ref="AN2:AN10"/>
    <mergeCell ref="AI2:AI10"/>
    <mergeCell ref="AJ2:AJ10"/>
    <mergeCell ref="AF20:AF28"/>
    <mergeCell ref="AA29:AA37"/>
    <mergeCell ref="AB29:AB37"/>
    <mergeCell ref="AB2:AB10"/>
    <mergeCell ref="AB11:AB19"/>
    <mergeCell ref="AB20:AB28"/>
    <mergeCell ref="AE56:AE64"/>
    <mergeCell ref="AF56:AF64"/>
    <mergeCell ref="AE47:AE55"/>
    <mergeCell ref="AF47:AF55"/>
    <mergeCell ref="AB47:AB55"/>
    <mergeCell ref="AB56:AB64"/>
    <mergeCell ref="AE38:AE46"/>
    <mergeCell ref="AF38:AF46"/>
    <mergeCell ref="AE29:AE37"/>
    <mergeCell ref="AF29:AF37"/>
    <mergeCell ref="AE2:AE10"/>
    <mergeCell ref="AF2:AF10"/>
    <mergeCell ref="AE11:AE19"/>
    <mergeCell ref="AB38:AB46"/>
    <mergeCell ref="AF11:AF19"/>
    <mergeCell ref="AA2:AA10"/>
    <mergeCell ref="AA11:AA19"/>
    <mergeCell ref="W56:W64"/>
    <mergeCell ref="X56:X64"/>
    <mergeCell ref="W65:W73"/>
    <mergeCell ref="X65:X73"/>
    <mergeCell ref="AA38:AA46"/>
    <mergeCell ref="AA56:AA64"/>
    <mergeCell ref="W29:W37"/>
    <mergeCell ref="X29:X37"/>
    <mergeCell ref="AE20:AE28"/>
    <mergeCell ref="W2:W10"/>
    <mergeCell ref="AA47:AA55"/>
    <mergeCell ref="W38:W46"/>
    <mergeCell ref="X38:X46"/>
    <mergeCell ref="W47:W55"/>
    <mergeCell ref="AA65:AA73"/>
    <mergeCell ref="S56:S64"/>
    <mergeCell ref="T56:T64"/>
    <mergeCell ref="S65:S73"/>
    <mergeCell ref="T65:T73"/>
    <mergeCell ref="S38:S46"/>
    <mergeCell ref="T38:T46"/>
    <mergeCell ref="S47:S55"/>
    <mergeCell ref="T47:T55"/>
    <mergeCell ref="X47:X55"/>
    <mergeCell ref="X2:X10"/>
    <mergeCell ref="W11:W19"/>
    <mergeCell ref="X11:X19"/>
    <mergeCell ref="W20:W28"/>
    <mergeCell ref="X20:X28"/>
    <mergeCell ref="S29:S37"/>
    <mergeCell ref="T29:T37"/>
    <mergeCell ref="S2:S10"/>
    <mergeCell ref="AA20:AA28"/>
    <mergeCell ref="K2:K10"/>
    <mergeCell ref="K11:K19"/>
    <mergeCell ref="K20:K28"/>
    <mergeCell ref="K29:K37"/>
    <mergeCell ref="G2:G10"/>
    <mergeCell ref="H2:H10"/>
    <mergeCell ref="L2:L10"/>
    <mergeCell ref="L11:L19"/>
    <mergeCell ref="L20:L28"/>
    <mergeCell ref="L29:L37"/>
    <mergeCell ref="H20:H28"/>
    <mergeCell ref="H29:H37"/>
    <mergeCell ref="G11:G19"/>
    <mergeCell ref="G20:G28"/>
    <mergeCell ref="G29:G37"/>
    <mergeCell ref="H11:H19"/>
    <mergeCell ref="O2:O10"/>
    <mergeCell ref="P2:P10"/>
    <mergeCell ref="O11:O19"/>
    <mergeCell ref="P11:P19"/>
    <mergeCell ref="O20:O28"/>
    <mergeCell ref="P20:P28"/>
    <mergeCell ref="O29:O37"/>
    <mergeCell ref="P29:P37"/>
    <mergeCell ref="T2:T10"/>
    <mergeCell ref="S11:S19"/>
    <mergeCell ref="T11:T19"/>
    <mergeCell ref="S20:S28"/>
    <mergeCell ref="T20:T28"/>
    <mergeCell ref="G47:G55"/>
    <mergeCell ref="L56:L64"/>
    <mergeCell ref="K65:K73"/>
    <mergeCell ref="L65:L73"/>
    <mergeCell ref="L38:L46"/>
    <mergeCell ref="L47:L55"/>
    <mergeCell ref="O56:O64"/>
    <mergeCell ref="P56:P64"/>
    <mergeCell ref="O65:O73"/>
    <mergeCell ref="P65:P73"/>
    <mergeCell ref="G38:G46"/>
    <mergeCell ref="H38:H46"/>
    <mergeCell ref="G56:G64"/>
    <mergeCell ref="H56:H64"/>
    <mergeCell ref="G65:G73"/>
    <mergeCell ref="H65:H73"/>
    <mergeCell ref="K38:K46"/>
    <mergeCell ref="K47:K55"/>
    <mergeCell ref="H47:H55"/>
    <mergeCell ref="K56:K64"/>
    <mergeCell ref="O47:O55"/>
    <mergeCell ref="P47:P55"/>
    <mergeCell ref="O38:O46"/>
    <mergeCell ref="P38:P46"/>
    <mergeCell ref="D2:D10"/>
    <mergeCell ref="D11:D19"/>
    <mergeCell ref="D20:D28"/>
    <mergeCell ref="D29:D37"/>
    <mergeCell ref="D38:D46"/>
    <mergeCell ref="C2:C10"/>
    <mergeCell ref="C11:C19"/>
    <mergeCell ref="C20:C28"/>
    <mergeCell ref="C29:C37"/>
    <mergeCell ref="C164:C172"/>
    <mergeCell ref="D164:D172"/>
    <mergeCell ref="C173:C181"/>
    <mergeCell ref="D173:D181"/>
    <mergeCell ref="C38:C46"/>
    <mergeCell ref="C47:C55"/>
    <mergeCell ref="C56:C64"/>
    <mergeCell ref="C65:C73"/>
    <mergeCell ref="D47:D55"/>
    <mergeCell ref="D56:D64"/>
    <mergeCell ref="D65:D73"/>
    <mergeCell ref="D83:D91"/>
    <mergeCell ref="C92:C100"/>
    <mergeCell ref="D92:D100"/>
    <mergeCell ref="C101:C109"/>
    <mergeCell ref="D101:D109"/>
    <mergeCell ref="C137:C145"/>
    <mergeCell ref="D137:D145"/>
    <mergeCell ref="C146:C154"/>
    <mergeCell ref="D146:D154"/>
    <mergeCell ref="C155:C163"/>
    <mergeCell ref="D155:D163"/>
    <mergeCell ref="G137:G145"/>
    <mergeCell ref="H137:H145"/>
    <mergeCell ref="K137:K145"/>
    <mergeCell ref="L137:L145"/>
    <mergeCell ref="K128:K136"/>
    <mergeCell ref="L128:L136"/>
    <mergeCell ref="G128:G136"/>
    <mergeCell ref="H128:H136"/>
    <mergeCell ref="G164:G172"/>
    <mergeCell ref="H164:H172"/>
    <mergeCell ref="G173:G181"/>
    <mergeCell ref="H173:H181"/>
    <mergeCell ref="G146:G154"/>
    <mergeCell ref="H146:H154"/>
    <mergeCell ref="G155:G163"/>
    <mergeCell ref="H155:H163"/>
    <mergeCell ref="O164:O172"/>
    <mergeCell ref="AI83:AI91"/>
    <mergeCell ref="AJ83:AJ91"/>
    <mergeCell ref="AJ92:AJ100"/>
    <mergeCell ref="AA119:AA127"/>
    <mergeCell ref="AB119:AB127"/>
    <mergeCell ref="S137:S145"/>
    <mergeCell ref="T137:T145"/>
    <mergeCell ref="S128:S136"/>
    <mergeCell ref="W101:W109"/>
    <mergeCell ref="X101:X109"/>
    <mergeCell ref="O110:O118"/>
    <mergeCell ref="P110:P118"/>
    <mergeCell ref="O119:O127"/>
    <mergeCell ref="P119:P127"/>
    <mergeCell ref="P164:P172"/>
    <mergeCell ref="K164:K172"/>
    <mergeCell ref="L164:L172"/>
    <mergeCell ref="K173:K181"/>
    <mergeCell ref="L173:L181"/>
    <mergeCell ref="O137:O145"/>
    <mergeCell ref="P137:P145"/>
    <mergeCell ref="K146:K154"/>
    <mergeCell ref="L146:L154"/>
    <mergeCell ref="K155:K163"/>
    <mergeCell ref="L155:L163"/>
    <mergeCell ref="O173:O181"/>
    <mergeCell ref="P173:P181"/>
    <mergeCell ref="O146:O154"/>
    <mergeCell ref="P146:P154"/>
    <mergeCell ref="O155:O163"/>
    <mergeCell ref="P155:P163"/>
    <mergeCell ref="P128:P136"/>
    <mergeCell ref="T128:T136"/>
    <mergeCell ref="W128:W136"/>
    <mergeCell ref="X128:X136"/>
    <mergeCell ref="AA128:AA136"/>
    <mergeCell ref="AB128:AB136"/>
    <mergeCell ref="S146:S154"/>
    <mergeCell ref="T146:T154"/>
    <mergeCell ref="S155:S163"/>
    <mergeCell ref="T155:T163"/>
    <mergeCell ref="AA173:AA181"/>
    <mergeCell ref="AB173:AB181"/>
    <mergeCell ref="W173:W181"/>
    <mergeCell ref="X173:X181"/>
    <mergeCell ref="AA146:AA154"/>
    <mergeCell ref="AB146:AB154"/>
    <mergeCell ref="AA155:AA163"/>
    <mergeCell ref="AB155:AB163"/>
    <mergeCell ref="W164:W172"/>
    <mergeCell ref="X164:X172"/>
    <mergeCell ref="S164:S172"/>
    <mergeCell ref="T164:T172"/>
    <mergeCell ref="S173:S181"/>
    <mergeCell ref="T173:T181"/>
    <mergeCell ref="AA164:AA172"/>
    <mergeCell ref="AE173:AE181"/>
    <mergeCell ref="AF173:AF181"/>
    <mergeCell ref="AI146:AI154"/>
    <mergeCell ref="AI155:AI163"/>
    <mergeCell ref="AE164:AE172"/>
    <mergeCell ref="AF164:AF172"/>
    <mergeCell ref="AI164:AI172"/>
    <mergeCell ref="AF155:AF163"/>
    <mergeCell ref="AE146:AE154"/>
    <mergeCell ref="AF146:AF154"/>
    <mergeCell ref="AE155:AE163"/>
    <mergeCell ref="AB164:AB172"/>
    <mergeCell ref="W137:W145"/>
    <mergeCell ref="X137:X145"/>
    <mergeCell ref="AA137:AA145"/>
    <mergeCell ref="AB137:AB145"/>
    <mergeCell ref="W146:W154"/>
    <mergeCell ref="X146:X154"/>
    <mergeCell ref="W155:W163"/>
    <mergeCell ref="X155:X163"/>
    <mergeCell ref="AB101:AB109"/>
    <mergeCell ref="AY101:AY109"/>
    <mergeCell ref="BO101:BO109"/>
    <mergeCell ref="BP101:BP109"/>
    <mergeCell ref="BG110:BG118"/>
    <mergeCell ref="BH110:BH118"/>
    <mergeCell ref="BG119:BG127"/>
    <mergeCell ref="BH119:BH127"/>
    <mergeCell ref="AJ146:AJ154"/>
    <mergeCell ref="AJ155:AJ163"/>
    <mergeCell ref="AM137:AM145"/>
    <mergeCell ref="AN137:AN145"/>
    <mergeCell ref="AJ164:AJ172"/>
    <mergeCell ref="AJ128:AJ136"/>
    <mergeCell ref="AM155:AM163"/>
    <mergeCell ref="AN155:AN163"/>
    <mergeCell ref="AQ128:AQ136"/>
    <mergeCell ref="AR128:AR136"/>
    <mergeCell ref="AZ119:AZ127"/>
    <mergeCell ref="AU128:AU136"/>
    <mergeCell ref="AV128:AV136"/>
    <mergeCell ref="AQ164:AQ172"/>
    <mergeCell ref="AR164:AR172"/>
    <mergeCell ref="AM101:AM109"/>
    <mergeCell ref="AN101:AN109"/>
    <mergeCell ref="AR110:AR118"/>
    <mergeCell ref="AR83:AR91"/>
    <mergeCell ref="AQ101:AQ109"/>
    <mergeCell ref="AM110:AM118"/>
    <mergeCell ref="AN110:AN118"/>
    <mergeCell ref="AR101:AR109"/>
    <mergeCell ref="AI110:AI118"/>
    <mergeCell ref="AJ101:AJ109"/>
    <mergeCell ref="AI128:AI136"/>
    <mergeCell ref="AE128:AE136"/>
    <mergeCell ref="AF128:AF136"/>
    <mergeCell ref="AI92:AI100"/>
    <mergeCell ref="AI101:AI109"/>
    <mergeCell ref="AM146:AM154"/>
    <mergeCell ref="AM173:AM181"/>
    <mergeCell ref="AN173:AN181"/>
    <mergeCell ref="AI173:AI181"/>
    <mergeCell ref="AJ173:AJ181"/>
    <mergeCell ref="AJ110:AJ118"/>
    <mergeCell ref="AI119:AI127"/>
    <mergeCell ref="AJ119:AJ127"/>
    <mergeCell ref="AM119:AM127"/>
    <mergeCell ref="AN119:AN127"/>
    <mergeCell ref="AM164:AM172"/>
    <mergeCell ref="AN164:AN172"/>
    <mergeCell ref="AI137:AI145"/>
    <mergeCell ref="AJ137:AJ145"/>
    <mergeCell ref="AN146:AN154"/>
    <mergeCell ref="AY173:AY181"/>
    <mergeCell ref="AU173:AU181"/>
    <mergeCell ref="AV173:AV181"/>
    <mergeCell ref="AU137:AU145"/>
    <mergeCell ref="AV137:AV145"/>
    <mergeCell ref="BO110:BO118"/>
    <mergeCell ref="BP110:BP118"/>
    <mergeCell ref="BO119:BO127"/>
    <mergeCell ref="BP119:BP127"/>
    <mergeCell ref="AZ173:AZ181"/>
    <mergeCell ref="BH137:BH145"/>
    <mergeCell ref="BK137:BK145"/>
    <mergeCell ref="BL137:BL145"/>
    <mergeCell ref="BK110:BK118"/>
    <mergeCell ref="BL110:BL118"/>
    <mergeCell ref="BK119:BK127"/>
    <mergeCell ref="BL119:BL127"/>
    <mergeCell ref="BC110:BC118"/>
    <mergeCell ref="BD110:BD118"/>
    <mergeCell ref="BC119:BC127"/>
    <mergeCell ref="BD119:BD127"/>
    <mergeCell ref="BG164:BG172"/>
    <mergeCell ref="AY164:AY172"/>
    <mergeCell ref="AZ164:AZ172"/>
    <mergeCell ref="AQ173:AQ181"/>
    <mergeCell ref="AR173:AR181"/>
    <mergeCell ref="AU146:AU154"/>
    <mergeCell ref="AV146:AV154"/>
    <mergeCell ref="AU155:AU163"/>
    <mergeCell ref="AV155:AV163"/>
    <mergeCell ref="AY137:AY145"/>
    <mergeCell ref="AZ137:AZ145"/>
    <mergeCell ref="CA101:CA109"/>
    <mergeCell ref="CB101:CB109"/>
    <mergeCell ref="BS110:BS118"/>
    <mergeCell ref="BT110:BT118"/>
    <mergeCell ref="BS119:BS127"/>
    <mergeCell ref="BT119:BT127"/>
    <mergeCell ref="AU164:AU172"/>
    <mergeCell ref="AV164:AV172"/>
    <mergeCell ref="CU110:CU118"/>
    <mergeCell ref="CV110:CV118"/>
    <mergeCell ref="BH164:BH172"/>
    <mergeCell ref="BK164:BK172"/>
    <mergeCell ref="BL164:BL172"/>
    <mergeCell ref="BO137:BO145"/>
    <mergeCell ref="BP137:BP145"/>
    <mergeCell ref="CI110:CI118"/>
    <mergeCell ref="CA110:CA118"/>
    <mergeCell ref="CB110:CB118"/>
    <mergeCell ref="BT137:BT145"/>
    <mergeCell ref="BS137:BS145"/>
    <mergeCell ref="CQ110:CQ118"/>
    <mergeCell ref="CR110:CR118"/>
    <mergeCell ref="CM110:CM118"/>
    <mergeCell ref="CN110:CN118"/>
    <mergeCell ref="CJ110:CJ118"/>
    <mergeCell ref="CE110:CE118"/>
    <mergeCell ref="CF110:CF118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zoomScale="110" zoomScaleNormal="110" zoomScalePageLayoutView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baseColWidth="10" defaultColWidth="11" defaultRowHeight="16" x14ac:dyDescent="0.2"/>
  <cols>
    <col min="1" max="1" width="11.5" style="46" customWidth="1"/>
    <col min="2" max="3" width="14.5" style="25" customWidth="1"/>
    <col min="4" max="4" width="11.33203125" style="25" bestFit="1" customWidth="1"/>
    <col min="5" max="5" width="11.33203125" style="25" customWidth="1"/>
    <col min="6" max="6" width="13" style="25" bestFit="1" customWidth="1"/>
    <col min="7" max="9" width="13" style="25" customWidth="1"/>
    <col min="10" max="13" width="11" style="25"/>
    <col min="14" max="14" width="11.33203125" style="25" bestFit="1" customWidth="1"/>
    <col min="15" max="17" width="11.33203125" style="25" customWidth="1"/>
    <col min="18" max="21" width="11" style="25"/>
    <col min="22" max="22" width="13" style="25" bestFit="1" customWidth="1"/>
    <col min="23" max="25" width="13" style="25" customWidth="1"/>
    <col min="26" max="29" width="11" style="25"/>
    <col min="30" max="30" width="11.33203125" style="25" bestFit="1" customWidth="1"/>
    <col min="31" max="41" width="11.33203125" style="25" customWidth="1"/>
    <col min="42" max="16384" width="11" style="25"/>
  </cols>
  <sheetData>
    <row r="1" spans="1:41" s="22" customFormat="1" x14ac:dyDescent="0.2">
      <c r="A1" s="21" t="s">
        <v>91</v>
      </c>
      <c r="B1" s="22" t="s">
        <v>92</v>
      </c>
      <c r="C1" s="22" t="s">
        <v>376</v>
      </c>
      <c r="D1" s="22" t="s">
        <v>152</v>
      </c>
      <c r="E1" s="22" t="s">
        <v>375</v>
      </c>
      <c r="F1" s="22" t="s">
        <v>93</v>
      </c>
      <c r="G1" s="22" t="s">
        <v>377</v>
      </c>
      <c r="H1" s="22" t="s">
        <v>247</v>
      </c>
      <c r="I1" s="22" t="s">
        <v>378</v>
      </c>
      <c r="J1" s="22" t="s">
        <v>94</v>
      </c>
      <c r="K1" s="22" t="s">
        <v>379</v>
      </c>
      <c r="L1" s="22" t="s">
        <v>216</v>
      </c>
      <c r="M1" s="22" t="s">
        <v>380</v>
      </c>
      <c r="N1" s="22" t="s">
        <v>95</v>
      </c>
      <c r="O1" s="22" t="s">
        <v>381</v>
      </c>
      <c r="P1" s="22" t="s">
        <v>326</v>
      </c>
      <c r="Q1" s="22" t="s">
        <v>382</v>
      </c>
      <c r="R1" s="22" t="s">
        <v>96</v>
      </c>
      <c r="S1" s="22" t="s">
        <v>383</v>
      </c>
      <c r="T1" s="22" t="s">
        <v>217</v>
      </c>
      <c r="U1" s="22" t="s">
        <v>384</v>
      </c>
      <c r="V1" s="22" t="s">
        <v>97</v>
      </c>
      <c r="W1" s="22" t="s">
        <v>385</v>
      </c>
      <c r="X1" s="22" t="s">
        <v>325</v>
      </c>
      <c r="Y1" s="22" t="s">
        <v>386</v>
      </c>
      <c r="Z1" s="22" t="s">
        <v>98</v>
      </c>
      <c r="AA1" s="22" t="s">
        <v>387</v>
      </c>
      <c r="AB1" s="22" t="s">
        <v>246</v>
      </c>
      <c r="AC1" s="22" t="s">
        <v>388</v>
      </c>
      <c r="AD1" s="22" t="s">
        <v>99</v>
      </c>
      <c r="AE1" s="22" t="s">
        <v>389</v>
      </c>
      <c r="AF1" s="22" t="s">
        <v>327</v>
      </c>
      <c r="AG1" s="22" t="s">
        <v>390</v>
      </c>
      <c r="AH1" s="22" t="s">
        <v>218</v>
      </c>
      <c r="AI1" s="22" t="s">
        <v>391</v>
      </c>
      <c r="AJ1" s="22" t="s">
        <v>219</v>
      </c>
      <c r="AK1" s="22" t="s">
        <v>392</v>
      </c>
      <c r="AL1" s="22" t="s">
        <v>220</v>
      </c>
      <c r="AM1" s="22" t="s">
        <v>393</v>
      </c>
      <c r="AN1" s="22" t="s">
        <v>328</v>
      </c>
      <c r="AO1" s="22" t="s">
        <v>394</v>
      </c>
    </row>
    <row r="2" spans="1:41" x14ac:dyDescent="0.2">
      <c r="A2" s="23">
        <v>0</v>
      </c>
      <c r="B2" s="24">
        <v>1152.4000000000001</v>
      </c>
      <c r="C2" s="24">
        <f>batch!D2</f>
        <v>2.4116620165382783E-13</v>
      </c>
      <c r="D2" s="24">
        <f>batch!C74</f>
        <v>1272.4166666666663</v>
      </c>
      <c r="E2" s="24">
        <f>batch!D74</f>
        <v>2.4116620165382783E-13</v>
      </c>
      <c r="F2" s="24">
        <v>1152.4000000000001</v>
      </c>
      <c r="G2" s="24">
        <f>batch!D11</f>
        <v>2.4116620165382783E-13</v>
      </c>
      <c r="H2" s="24">
        <f>batch!C128</f>
        <v>1501.5933333333339</v>
      </c>
      <c r="I2" s="24">
        <f>batch!D128</f>
        <v>2.4116620165382783E-13</v>
      </c>
      <c r="J2" s="24">
        <v>1242.4833333333336</v>
      </c>
      <c r="K2" s="24">
        <f>batch!D20</f>
        <v>0</v>
      </c>
      <c r="L2" s="24">
        <f>batch!C101</f>
        <v>1235.76</v>
      </c>
      <c r="M2" s="24">
        <f>batch!D101</f>
        <v>0</v>
      </c>
      <c r="N2" s="24">
        <v>1242.4833333333336</v>
      </c>
      <c r="O2" s="24">
        <f>batch!D29</f>
        <v>0</v>
      </c>
      <c r="P2" s="24">
        <f>batch!C173</f>
        <v>1492.26</v>
      </c>
      <c r="Q2" s="24">
        <f>batch!D173</f>
        <v>0</v>
      </c>
      <c r="R2" s="24">
        <v>2069.56</v>
      </c>
      <c r="S2" s="24">
        <f>batch!D38</f>
        <v>0</v>
      </c>
      <c r="T2" s="24">
        <f>batch!C110</f>
        <v>843</v>
      </c>
      <c r="U2" s="24">
        <f>batch!D110</f>
        <v>133.65908124777755</v>
      </c>
      <c r="V2" s="24">
        <v>2069.56</v>
      </c>
      <c r="W2" s="24">
        <f>batch!D47</f>
        <v>0</v>
      </c>
      <c r="X2" s="24">
        <f>batch!C164</f>
        <v>1372.63</v>
      </c>
      <c r="Y2" s="24">
        <f>batch!D164</f>
        <v>0</v>
      </c>
      <c r="Z2" s="24">
        <v>1406.8133333333335</v>
      </c>
      <c r="AA2" s="24">
        <f>batch!D56</f>
        <v>0</v>
      </c>
      <c r="AB2" s="24">
        <f>batch!C137</f>
        <v>1408</v>
      </c>
      <c r="AC2" s="24">
        <f>batch!D137</f>
        <v>0</v>
      </c>
      <c r="AD2" s="24">
        <v>1406.8133333333335</v>
      </c>
      <c r="AE2" s="24">
        <f>batch!D65</f>
        <v>0</v>
      </c>
      <c r="AF2" s="24">
        <f>batch!C146</f>
        <v>1188.0666666666666</v>
      </c>
      <c r="AG2" s="24">
        <f>batch!D146</f>
        <v>0</v>
      </c>
      <c r="AH2" s="24">
        <f>batch!C92</f>
        <v>1140.49</v>
      </c>
      <c r="AI2" s="24">
        <f>batch!D92</f>
        <v>0</v>
      </c>
      <c r="AJ2" s="24">
        <f>batch!C119</f>
        <v>921.33333333333337</v>
      </c>
      <c r="AK2" s="24">
        <f>batch!D119</f>
        <v>224.29166279645796</v>
      </c>
      <c r="AL2" s="24">
        <f>batch!C83</f>
        <v>1140.49</v>
      </c>
      <c r="AM2" s="24">
        <f>batch!D83</f>
        <v>0</v>
      </c>
      <c r="AN2" s="24">
        <f>batch!C155</f>
        <v>1088.29</v>
      </c>
      <c r="AO2" s="24">
        <f>batch!D155</f>
        <v>0</v>
      </c>
    </row>
    <row r="3" spans="1:41" x14ac:dyDescent="0.2">
      <c r="A3" s="23">
        <v>2</v>
      </c>
      <c r="B3" s="24">
        <v>1411.3333333333333</v>
      </c>
      <c r="C3" s="24">
        <f>batch!H2</f>
        <v>153.23185047502363</v>
      </c>
      <c r="D3" s="24">
        <f>batch!G74</f>
        <v>1490.5555555555557</v>
      </c>
      <c r="E3" s="24">
        <f>batch!H74</f>
        <v>109.02993982286598</v>
      </c>
      <c r="F3" s="24">
        <v>1467.2222222222222</v>
      </c>
      <c r="G3" s="24">
        <f>batch!H11</f>
        <v>43.147357328629575</v>
      </c>
      <c r="H3" s="26"/>
      <c r="I3" s="26"/>
      <c r="J3" s="24">
        <v>1219.2222222222222</v>
      </c>
      <c r="K3" s="24">
        <f>batch!H20</f>
        <v>55.804967919034276</v>
      </c>
      <c r="L3" s="24">
        <f>batch!G101</f>
        <v>1461.4444444444443</v>
      </c>
      <c r="M3" s="24">
        <f>batch!H101</f>
        <v>211.36349679587056</v>
      </c>
      <c r="N3" s="24">
        <v>1160.8888888888889</v>
      </c>
      <c r="O3" s="24">
        <f>batch!H29</f>
        <v>67.233630804167575</v>
      </c>
      <c r="P3" s="27">
        <f>batch!G173</f>
        <v>1242</v>
      </c>
      <c r="Q3" s="27">
        <f>batch!H173</f>
        <v>130.07382519169644</v>
      </c>
      <c r="R3" s="24">
        <f>batch!G38</f>
        <v>2410.1111111111113</v>
      </c>
      <c r="S3" s="24">
        <f>batch!H38</f>
        <v>59.33684446540034</v>
      </c>
      <c r="T3" s="24">
        <f>batch!G110</f>
        <v>796.55555555555554</v>
      </c>
      <c r="U3" s="24">
        <f>batch!H110</f>
        <v>51.286233803797465</v>
      </c>
      <c r="V3" s="24">
        <f>batch!G47</f>
        <v>2482.5555555555557</v>
      </c>
      <c r="W3" s="24">
        <f>batch!H47</f>
        <v>172.76075300188342</v>
      </c>
      <c r="X3" s="27">
        <f>batch!G164</f>
        <v>2073.5</v>
      </c>
      <c r="Y3" s="27">
        <f>batch!H164</f>
        <v>135.52232288446064</v>
      </c>
      <c r="Z3" s="24">
        <f>batch!G56</f>
        <v>1301.6666666666667</v>
      </c>
      <c r="AA3" s="24">
        <f>batch!H56</f>
        <v>174.4190356583822</v>
      </c>
      <c r="AB3" s="27">
        <f>batch!G137</f>
        <v>1210.75</v>
      </c>
      <c r="AC3" s="27">
        <f>batch!H137</f>
        <v>191.58716777786256</v>
      </c>
      <c r="AD3" s="24">
        <f>batch!G65</f>
        <v>1189.1111111111111</v>
      </c>
      <c r="AE3" s="24">
        <f>batch!H65</f>
        <v>75.451051093481198</v>
      </c>
      <c r="AF3" s="27">
        <f>batch!G146</f>
        <v>2052.3333333333335</v>
      </c>
      <c r="AG3" s="27">
        <f>batch!H146</f>
        <v>110.049988641526</v>
      </c>
      <c r="AH3" s="24">
        <f>batch!G92</f>
        <v>1299.7777777777778</v>
      </c>
      <c r="AI3" s="24">
        <f>batch!H92</f>
        <v>163.09106181653394</v>
      </c>
      <c r="AJ3" s="24">
        <f>batch!G119</f>
        <v>877.44444444444446</v>
      </c>
      <c r="AK3" s="24">
        <f>batch!H119</f>
        <v>133.84236167139966</v>
      </c>
      <c r="AL3" s="24">
        <f>batch!G83</f>
        <v>1624</v>
      </c>
      <c r="AM3" s="24">
        <f>batch!H83</f>
        <v>178.33465731595751</v>
      </c>
      <c r="AN3" s="27">
        <f>batch!G155</f>
        <v>2172.6666666666665</v>
      </c>
      <c r="AO3" s="27">
        <f>batch!H155</f>
        <v>154.06654406456971</v>
      </c>
    </row>
    <row r="4" spans="1:41" x14ac:dyDescent="0.2">
      <c r="A4" s="23">
        <v>4</v>
      </c>
      <c r="B4" s="24">
        <v>2044.7777777777778</v>
      </c>
      <c r="C4" s="24">
        <f>batch!L2</f>
        <v>307.77620837947177</v>
      </c>
      <c r="D4" s="24">
        <f>batch!K74</f>
        <v>2106.8888888888887</v>
      </c>
      <c r="E4" s="24">
        <f>batch!L74</f>
        <v>167.48839097415413</v>
      </c>
      <c r="F4" s="24">
        <v>3288.6666666666665</v>
      </c>
      <c r="G4" s="24">
        <f>batch!L11</f>
        <v>718.10932315351545</v>
      </c>
      <c r="H4" s="27">
        <f>batch!K128</f>
        <v>5038.333333333333</v>
      </c>
      <c r="I4" s="27">
        <f>batch!L128</f>
        <v>387.8353602582759</v>
      </c>
      <c r="J4" s="24">
        <v>1519.7777777777778</v>
      </c>
      <c r="K4" s="24">
        <f>batch!L20</f>
        <v>43.914057480998544</v>
      </c>
      <c r="L4" s="24">
        <f>batch!K101</f>
        <v>1961.1111111111111</v>
      </c>
      <c r="M4" s="24">
        <f>batch!L101</f>
        <v>336.92523074283264</v>
      </c>
      <c r="N4" s="24">
        <v>2271.2222222222222</v>
      </c>
      <c r="O4" s="24">
        <f>batch!L29</f>
        <v>130.56586247731238</v>
      </c>
      <c r="P4" s="24">
        <f>batch!K173</f>
        <v>2684.8888888888887</v>
      </c>
      <c r="Q4" s="24">
        <f>batch!L173</f>
        <v>136.51414253150151</v>
      </c>
      <c r="R4" s="24">
        <f>batch!K38</f>
        <v>2241.5555555555557</v>
      </c>
      <c r="S4" s="24">
        <f>batch!L38</f>
        <v>83.360828797330086</v>
      </c>
      <c r="T4" s="24">
        <f>batch!K110</f>
        <v>992.77777777777783</v>
      </c>
      <c r="U4" s="24">
        <f>batch!L110</f>
        <v>230.04389677721184</v>
      </c>
      <c r="V4" s="24">
        <f>batch!K47</f>
        <v>2386.8888888888887</v>
      </c>
      <c r="W4" s="24">
        <f>batch!L47</f>
        <v>92.210959821005616</v>
      </c>
      <c r="X4" s="24">
        <f>batch!K164</f>
        <v>2939.6666666666665</v>
      </c>
      <c r="Y4" s="24">
        <f>batch!L164</f>
        <v>205.11764916749607</v>
      </c>
      <c r="Z4" s="24">
        <f>batch!K56</f>
        <v>1237.7777777777778</v>
      </c>
      <c r="AA4" s="24">
        <f>batch!L56</f>
        <v>68.532433521978803</v>
      </c>
      <c r="AB4" s="27">
        <f>batch!K137</f>
        <v>1023.6666666666666</v>
      </c>
      <c r="AC4" s="27">
        <f>batch!L137</f>
        <v>187.62795633913407</v>
      </c>
      <c r="AD4" s="24">
        <f>batch!K65</f>
        <v>1165.3333333333333</v>
      </c>
      <c r="AE4" s="24">
        <f>batch!L65</f>
        <v>143.92706486272832</v>
      </c>
      <c r="AF4" s="24">
        <f>batch!K146</f>
        <v>3662.8888888888887</v>
      </c>
      <c r="AG4" s="24">
        <f>batch!L146</f>
        <v>307.50993660548778</v>
      </c>
      <c r="AH4" s="24">
        <f>batch!K92</f>
        <v>1457.7777777777778</v>
      </c>
      <c r="AI4" s="24">
        <f>batch!L92</f>
        <v>132.27412613373957</v>
      </c>
      <c r="AJ4" s="24">
        <f>batch!K119</f>
        <v>1325</v>
      </c>
      <c r="AK4" s="24">
        <f>batch!L119</f>
        <v>126.1269202034205</v>
      </c>
      <c r="AL4" s="24">
        <f>batch!K83</f>
        <v>2342.4444444444443</v>
      </c>
      <c r="AM4" s="24">
        <f>batch!L83</f>
        <v>613.4478606840014</v>
      </c>
      <c r="AN4" s="24">
        <f>batch!K155</f>
        <v>1214.4444444444443</v>
      </c>
      <c r="AO4" s="24">
        <f>batch!L155</f>
        <v>58.378315989567376</v>
      </c>
    </row>
    <row r="5" spans="1:41" x14ac:dyDescent="0.2">
      <c r="A5" s="23">
        <v>6</v>
      </c>
      <c r="B5" s="24">
        <f>batch!O2</f>
        <v>2474.6666666666665</v>
      </c>
      <c r="C5" s="24">
        <f>batch!P2</f>
        <v>300.34854752437207</v>
      </c>
      <c r="D5" s="24">
        <f>batch!O74</f>
        <v>2957</v>
      </c>
      <c r="E5" s="24">
        <f>batch!P74</f>
        <v>114.43229439279806</v>
      </c>
      <c r="F5" s="24">
        <f>batch!O11</f>
        <v>6036.5555555555557</v>
      </c>
      <c r="G5" s="24">
        <f>batch!P11</f>
        <v>388.01163355984289</v>
      </c>
      <c r="H5" s="24">
        <f>batch!O128</f>
        <v>11423.888888888889</v>
      </c>
      <c r="I5" s="24">
        <f>batch!P128</f>
        <v>764.73074419112459</v>
      </c>
      <c r="J5" s="24">
        <f>batch!O20</f>
        <v>2140.2222222222222</v>
      </c>
      <c r="K5" s="24">
        <f>batch!P20</f>
        <v>101.33456687845685</v>
      </c>
      <c r="L5" s="24">
        <f>batch!O101</f>
        <v>2711.1111111111113</v>
      </c>
      <c r="M5" s="24">
        <f>batch!P101</f>
        <v>481.22511479671448</v>
      </c>
      <c r="N5" s="24">
        <f>batch!O29</f>
        <v>4064.8888888888887</v>
      </c>
      <c r="O5" s="24">
        <f>batch!P29</f>
        <v>541.25697326788497</v>
      </c>
      <c r="P5" s="24">
        <f>batch!O173</f>
        <v>6496</v>
      </c>
      <c r="Q5" s="24">
        <f>batch!P173</f>
        <v>303.90459029109775</v>
      </c>
      <c r="R5" s="24">
        <f>batch!O38</f>
        <v>2601.5555555555557</v>
      </c>
      <c r="S5" s="24">
        <f>batch!P38</f>
        <v>173.23186132400062</v>
      </c>
      <c r="T5" s="24">
        <f>batch!O110</f>
        <v>1433.5555555555557</v>
      </c>
      <c r="U5" s="24">
        <f>batch!P110</f>
        <v>437.53231626678502</v>
      </c>
      <c r="V5" s="24">
        <f>batch!O47</f>
        <v>3148.6666666666665</v>
      </c>
      <c r="W5" s="24">
        <f>batch!P47</f>
        <v>52.713850172416734</v>
      </c>
      <c r="X5" s="24">
        <f>batch!O164</f>
        <v>5190.4444444444443</v>
      </c>
      <c r="Y5" s="24">
        <f>batch!P164</f>
        <v>368.60551783414445</v>
      </c>
      <c r="Z5" s="24">
        <f>batch!O56</f>
        <v>1075.8888888888889</v>
      </c>
      <c r="AA5" s="24">
        <f>batch!P56</f>
        <v>92.391077010234653</v>
      </c>
      <c r="AB5" s="24">
        <f>batch!O137</f>
        <v>1332.4444444444443</v>
      </c>
      <c r="AC5" s="24">
        <f>batch!P137</f>
        <v>110.89309165938958</v>
      </c>
      <c r="AD5" s="24">
        <f>batch!O65</f>
        <v>1242.3333333333333</v>
      </c>
      <c r="AE5" s="24">
        <f>batch!P65</f>
        <v>37.46331538985838</v>
      </c>
      <c r="AF5" s="24">
        <f>batch!O146</f>
        <v>18200.333333333332</v>
      </c>
      <c r="AG5" s="24">
        <f>batch!P146</f>
        <v>1001.0685540960719</v>
      </c>
      <c r="AH5" s="25">
        <f>batch!O92</f>
        <v>1492.7777777777778</v>
      </c>
      <c r="AI5" s="25">
        <f>batch!P92</f>
        <v>221.62342936712378</v>
      </c>
      <c r="AJ5" s="24">
        <f>batch!O119</f>
        <v>1826.4444444444443</v>
      </c>
      <c r="AK5" s="24">
        <f>batch!P119</f>
        <v>322.41243427910467</v>
      </c>
      <c r="AL5" s="24">
        <f>batch!O83</f>
        <v>3714.3333333333335</v>
      </c>
      <c r="AM5" s="24">
        <f>batch!P83</f>
        <v>971.77633743572903</v>
      </c>
      <c r="AN5" s="24">
        <f>batch!O155</f>
        <v>7362.8888888888887</v>
      </c>
      <c r="AO5" s="24">
        <f>batch!P155</f>
        <v>139.10467681250373</v>
      </c>
    </row>
    <row r="6" spans="1:41" x14ac:dyDescent="0.2">
      <c r="A6" s="23">
        <v>8</v>
      </c>
      <c r="B6" s="24">
        <f>batch!S2</f>
        <v>2744.3333333333335</v>
      </c>
      <c r="C6" s="24">
        <f>batch!T2</f>
        <v>266.37567456507736</v>
      </c>
      <c r="D6" s="24">
        <f>batch!S74</f>
        <v>4346.8888888888887</v>
      </c>
      <c r="E6" s="24">
        <f>batch!T74</f>
        <v>379.31564838681663</v>
      </c>
      <c r="F6" s="24">
        <f>batch!S11</f>
        <v>10657.111111111111</v>
      </c>
      <c r="G6" s="24">
        <f>batch!T11</f>
        <v>647.61937981434062</v>
      </c>
      <c r="H6" s="24">
        <f>batch!S128</f>
        <v>13355.555555555555</v>
      </c>
      <c r="I6" s="24">
        <f>batch!T128</f>
        <v>647.20033820894878</v>
      </c>
      <c r="J6" s="24">
        <f>batch!S20</f>
        <v>2067.7777777777778</v>
      </c>
      <c r="K6" s="24">
        <f>batch!T20</f>
        <v>82.0682304210615</v>
      </c>
      <c r="L6" s="24">
        <f>batch!S101</f>
        <v>4370.1111111111113</v>
      </c>
      <c r="M6" s="24">
        <f>batch!T101</f>
        <v>950.29645959095944</v>
      </c>
      <c r="N6" s="24">
        <f>batch!S29</f>
        <v>5795.5555555555557</v>
      </c>
      <c r="O6" s="24">
        <f>batch!T29</f>
        <v>113.89151758483938</v>
      </c>
      <c r="P6" s="24">
        <f>batch!S173</f>
        <v>14134.888888888889</v>
      </c>
      <c r="Q6" s="24">
        <f>batch!T173</f>
        <v>1484.6768541036502</v>
      </c>
      <c r="R6" s="24">
        <f>batch!S38</f>
        <v>2483</v>
      </c>
      <c r="S6" s="24">
        <f>batch!T38</f>
        <v>74.207479407402062</v>
      </c>
      <c r="T6" s="24">
        <f>batch!S110</f>
        <v>2003.2222222222222</v>
      </c>
      <c r="U6" s="24">
        <f>batch!T110</f>
        <v>822.49814251732141</v>
      </c>
      <c r="V6" s="24">
        <f>batch!S47</f>
        <v>3782.7777777777778</v>
      </c>
      <c r="W6" s="24">
        <f>batch!T47</f>
        <v>176.33262444722033</v>
      </c>
      <c r="X6" s="24">
        <f>batch!S164</f>
        <v>10349</v>
      </c>
      <c r="Y6" s="24">
        <f>batch!T164</f>
        <v>1057.4634745465207</v>
      </c>
      <c r="Z6" s="24">
        <f>batch!S56</f>
        <v>1061.2222222222222</v>
      </c>
      <c r="AA6" s="24">
        <f>batch!T56</f>
        <v>45.945015447210857</v>
      </c>
      <c r="AB6" s="24">
        <f>batch!S137</f>
        <v>2523.3333333333335</v>
      </c>
      <c r="AC6" s="24">
        <f>batch!T137</f>
        <v>291.74432299532413</v>
      </c>
      <c r="AD6" s="24">
        <f>batch!S65</f>
        <v>1870.8888888888889</v>
      </c>
      <c r="AE6" s="24">
        <f>batch!T65</f>
        <v>195.40883068866441</v>
      </c>
      <c r="AF6" s="24">
        <f>batch!S146</f>
        <v>42680.222222222219</v>
      </c>
      <c r="AG6" s="24">
        <f>batch!T146</f>
        <v>2546.9564080377281</v>
      </c>
      <c r="AH6" s="24">
        <f>batch!S92</f>
        <v>1723.3333333333333</v>
      </c>
      <c r="AI6" s="24">
        <f>batch!T92</f>
        <v>266.38130565037778</v>
      </c>
      <c r="AJ6" s="24">
        <f>batch!S119</f>
        <v>2487.4444444444443</v>
      </c>
      <c r="AK6" s="24">
        <f>batch!T119</f>
        <v>292.42909871929294</v>
      </c>
      <c r="AL6" s="24">
        <f>batch!S83</f>
        <v>8005.666666666667</v>
      </c>
      <c r="AM6" s="24">
        <f>batch!T83</f>
        <v>1841.0566938581767</v>
      </c>
      <c r="AN6" s="24">
        <f>batch!S155</f>
        <v>17986.222222222223</v>
      </c>
      <c r="AO6" s="24">
        <f>batch!T155</f>
        <v>898.94268140101372</v>
      </c>
    </row>
    <row r="7" spans="1:41" x14ac:dyDescent="0.2">
      <c r="A7" s="23">
        <v>10</v>
      </c>
      <c r="B7" s="24">
        <f>batch!W2</f>
        <v>2821.6666666666665</v>
      </c>
      <c r="C7" s="24">
        <f>batch!X2</f>
        <v>273.66174376408554</v>
      </c>
      <c r="D7" s="24">
        <f>batch!W74</f>
        <v>6840.5555555555557</v>
      </c>
      <c r="E7" s="24">
        <f>batch!X74</f>
        <v>405.07903892669856</v>
      </c>
      <c r="F7" s="24">
        <f>batch!W11</f>
        <v>21165.111111111109</v>
      </c>
      <c r="G7" s="24">
        <f>batch!X11</f>
        <v>860.7221451264694</v>
      </c>
      <c r="H7" s="24">
        <f>batch!W128</f>
        <v>102317.77777777778</v>
      </c>
      <c r="I7" s="24">
        <f>batch!X128</f>
        <v>15910.978739362474</v>
      </c>
      <c r="J7" s="24">
        <f>batch!W20</f>
        <v>2551.4444444444443</v>
      </c>
      <c r="K7" s="24">
        <f>batch!X20</f>
        <v>93.797802627661682</v>
      </c>
      <c r="L7" s="24">
        <f>batch!W101</f>
        <v>5770.5555555555557</v>
      </c>
      <c r="M7" s="24">
        <f>batch!X101</f>
        <v>1050.4557476532632</v>
      </c>
      <c r="N7" s="24">
        <f>batch!W29</f>
        <v>12170.333333333334</v>
      </c>
      <c r="O7" s="24">
        <f>batch!X29</f>
        <v>382.6391903608411</v>
      </c>
      <c r="P7" s="24">
        <f>batch!W173</f>
        <v>31102.333333333332</v>
      </c>
      <c r="Q7" s="24">
        <f>batch!X173</f>
        <v>2108.1918200201803</v>
      </c>
      <c r="R7" s="24">
        <f>batch!W38</f>
        <v>2616.3333333333335</v>
      </c>
      <c r="S7" s="24">
        <f>batch!X38</f>
        <v>107.73114684249862</v>
      </c>
      <c r="T7" s="28"/>
      <c r="U7" s="28"/>
      <c r="V7" s="24">
        <f>batch!W47</f>
        <v>5400.7777777777774</v>
      </c>
      <c r="W7" s="24">
        <f>batch!X47</f>
        <v>336.23755656446895</v>
      </c>
      <c r="X7" s="24">
        <f>batch!W164</f>
        <v>21184.777777777777</v>
      </c>
      <c r="Y7" s="24">
        <f>batch!X164</f>
        <v>3968.0305498375915</v>
      </c>
      <c r="Z7" s="24">
        <f>batch!W56</f>
        <v>1026.1111111111111</v>
      </c>
      <c r="AA7" s="24">
        <f>batch!X56</f>
        <v>96.872912163881551</v>
      </c>
      <c r="AB7" s="24">
        <f>batch!W137</f>
        <v>3956.1111111111113</v>
      </c>
      <c r="AC7" s="24">
        <f>batch!X137</f>
        <v>892.07391011681977</v>
      </c>
      <c r="AD7" s="24">
        <f>batch!W65</f>
        <v>3248.2222222222222</v>
      </c>
      <c r="AE7" s="24">
        <f>batch!X65</f>
        <v>491.18804387367169</v>
      </c>
      <c r="AF7" s="24">
        <f>batch!W146</f>
        <v>99988.888888888891</v>
      </c>
      <c r="AG7" s="24">
        <f>batch!X146</f>
        <v>9045.7454701705537</v>
      </c>
      <c r="AH7" s="24">
        <f>batch!W92</f>
        <v>1841.3333333333333</v>
      </c>
      <c r="AI7" s="24">
        <f>batch!X92</f>
        <v>258.4095586467343</v>
      </c>
      <c r="AJ7" s="28"/>
      <c r="AK7" s="28"/>
      <c r="AL7" s="24">
        <f>batch!W83</f>
        <v>11322.666666666666</v>
      </c>
      <c r="AM7" s="24">
        <f>batch!X83</f>
        <v>2592.192894057076</v>
      </c>
      <c r="AN7" s="24">
        <f>batch!W155</f>
        <v>36417.333333333336</v>
      </c>
      <c r="AO7" s="24">
        <f>batch!X155</f>
        <v>1640.0958813435268</v>
      </c>
    </row>
    <row r="8" spans="1:41" x14ac:dyDescent="0.2">
      <c r="A8" s="23">
        <v>12</v>
      </c>
      <c r="B8" s="24">
        <f>batch!AA2</f>
        <v>2763.5555555555557</v>
      </c>
      <c r="C8" s="24">
        <f>batch!AB2</f>
        <v>289.29099152544967</v>
      </c>
      <c r="D8" s="24">
        <f>batch!AA74</f>
        <v>9786.1111111111113</v>
      </c>
      <c r="E8" s="24">
        <f>batch!AB74</f>
        <v>277.02276280318756</v>
      </c>
      <c r="F8" s="24">
        <f>batch!AA11</f>
        <v>36628.222222222219</v>
      </c>
      <c r="G8" s="24">
        <f>batch!AB11</f>
        <v>7424.3667032578887</v>
      </c>
      <c r="H8" s="30">
        <f>batch!AA128</f>
        <v>287515.55555555556</v>
      </c>
      <c r="I8" s="30">
        <f>batch!AB128</f>
        <v>47447.371663536549</v>
      </c>
      <c r="J8" s="24">
        <f>batch!AA20</f>
        <v>2514.2222222222222</v>
      </c>
      <c r="K8" s="24">
        <f>batch!AB20</f>
        <v>125.06476100182834</v>
      </c>
      <c r="L8" s="24">
        <f>batch!AA101</f>
        <v>6998.333333333333</v>
      </c>
      <c r="M8" s="24">
        <f>batch!AB101</f>
        <v>1614.8070318152568</v>
      </c>
      <c r="N8" s="24">
        <f>batch!AA29</f>
        <v>17290.444444444445</v>
      </c>
      <c r="O8" s="24">
        <f>batch!AB29</f>
        <v>964.47927804477877</v>
      </c>
      <c r="P8" s="24">
        <f>batch!AA173</f>
        <v>71658.111111111109</v>
      </c>
      <c r="Q8" s="24">
        <f>batch!AB173</f>
        <v>5004.8790805683921</v>
      </c>
      <c r="R8" s="24">
        <f>batch!AA38</f>
        <v>2566.4444444444443</v>
      </c>
      <c r="S8" s="24">
        <f>batch!AB38</f>
        <v>91.845129308950163</v>
      </c>
      <c r="T8" s="27">
        <f>batch!AA110</f>
        <v>4705.5714285714284</v>
      </c>
      <c r="U8" s="27">
        <f>batch!AB110</f>
        <v>2750.2018627210409</v>
      </c>
      <c r="V8" s="24">
        <f>batch!AA47</f>
        <v>8468.4444444444453</v>
      </c>
      <c r="W8" s="24">
        <f>batch!AB47</f>
        <v>839.22674396004425</v>
      </c>
      <c r="X8" s="24">
        <f>batch!AA164</f>
        <v>38990.666666666664</v>
      </c>
      <c r="Y8" s="24">
        <f>batch!AB164</f>
        <v>5973.8909430956301</v>
      </c>
      <c r="Z8" s="24">
        <f>batch!AA56</f>
        <v>1066.3333333333333</v>
      </c>
      <c r="AA8" s="24">
        <f>batch!AB56</f>
        <v>141.45493982183868</v>
      </c>
      <c r="AB8" s="24">
        <f>batch!AA137</f>
        <v>8089.5555555555557</v>
      </c>
      <c r="AC8" s="24">
        <f>batch!AB137</f>
        <v>3115.4177934552818</v>
      </c>
      <c r="AD8" s="24">
        <f>batch!AA65</f>
        <v>8636.5555555555547</v>
      </c>
      <c r="AE8" s="24">
        <f>batch!AB65</f>
        <v>1761.6620072470701</v>
      </c>
      <c r="AF8" s="24">
        <f>batch!AA146</f>
        <v>326748.88888888888</v>
      </c>
      <c r="AG8" s="24">
        <f>batch!AB146</f>
        <v>5950.8916232032925</v>
      </c>
      <c r="AH8" s="24">
        <f>batch!AA92</f>
        <v>2050.6666666666665</v>
      </c>
      <c r="AI8" s="24">
        <f>batch!AB92</f>
        <v>321.26468838015796</v>
      </c>
      <c r="AJ8" s="27">
        <f>batch!AA119</f>
        <v>8221.5</v>
      </c>
      <c r="AK8" s="27">
        <f>batch!AB119</f>
        <v>1258.0873976000237</v>
      </c>
      <c r="AL8" s="24">
        <f>batch!AA83</f>
        <v>18508.333333333332</v>
      </c>
      <c r="AM8" s="24">
        <f>batch!AB83</f>
        <v>4682.703546029793</v>
      </c>
      <c r="AN8" s="24">
        <f>batch!AA155</f>
        <v>93300</v>
      </c>
      <c r="AO8" s="24">
        <f>batch!AB155</f>
        <v>6852.313477943052</v>
      </c>
    </row>
    <row r="9" spans="1:41" x14ac:dyDescent="0.2">
      <c r="A9" s="23">
        <v>14</v>
      </c>
      <c r="B9" s="24">
        <f>batch!AE2</f>
        <v>2730</v>
      </c>
      <c r="C9" s="24">
        <f>batch!AF2</f>
        <v>337.17132143763354</v>
      </c>
      <c r="D9" s="24">
        <f>batch!AE74</f>
        <v>16214.222222222223</v>
      </c>
      <c r="E9" s="24">
        <f>batch!AF74</f>
        <v>997.66549727072572</v>
      </c>
      <c r="F9" s="24">
        <f>batch!AE11</f>
        <v>85910.222222222219</v>
      </c>
      <c r="G9" s="24">
        <f>batch!AF11</f>
        <v>19427.804467938335</v>
      </c>
      <c r="H9" s="30">
        <f>batch!AE128</f>
        <v>625428.88888888888</v>
      </c>
      <c r="I9" s="30">
        <f>batch!AF128</f>
        <v>63894.355862713812</v>
      </c>
      <c r="J9" s="24">
        <f>batch!AE20</f>
        <v>2616.6666666666665</v>
      </c>
      <c r="K9" s="24">
        <f>batch!AF20</f>
        <v>181.3194694455066</v>
      </c>
      <c r="L9" s="31"/>
      <c r="M9" s="31"/>
      <c r="N9" s="24">
        <f>batch!AE29</f>
        <v>29701.777777777777</v>
      </c>
      <c r="O9" s="24">
        <f>batch!AF29</f>
        <v>1462.127540416514</v>
      </c>
      <c r="P9" s="24">
        <f>batch!AE173</f>
        <v>228468.88888888888</v>
      </c>
      <c r="Q9" s="24">
        <f>batch!AF173</f>
        <v>13182.928775924987</v>
      </c>
      <c r="R9" s="24">
        <f>batch!AE38</f>
        <v>2587.8888888888887</v>
      </c>
      <c r="S9" s="24">
        <f>batch!AF38</f>
        <v>60.606196969543568</v>
      </c>
      <c r="T9" s="27">
        <f>batch!AE110</f>
        <v>7666.1111111111113</v>
      </c>
      <c r="U9" s="27">
        <f>batch!AF110</f>
        <v>4818.3623629933763</v>
      </c>
      <c r="V9" s="24">
        <f>batch!AE47</f>
        <v>16045.777777777777</v>
      </c>
      <c r="W9" s="24">
        <f>batch!AF47</f>
        <v>1957.9323773931565</v>
      </c>
      <c r="X9" s="24">
        <f>batch!AE164</f>
        <v>82304.444444444438</v>
      </c>
      <c r="Y9" s="24">
        <f>batch!AF164</f>
        <v>11707.70164369496</v>
      </c>
      <c r="Z9" s="32">
        <f>batch!AE56</f>
        <v>951.66666666666663</v>
      </c>
      <c r="AA9" s="32">
        <f>batch!AF56</f>
        <v>42.026777178365705</v>
      </c>
      <c r="AB9" s="33">
        <f>batch!AE137</f>
        <v>11152.444444444445</v>
      </c>
      <c r="AC9" s="33">
        <f>batch!AF137</f>
        <v>3251.4097369876026</v>
      </c>
      <c r="AD9" s="24">
        <f>batch!AE65</f>
        <v>21237.111111111109</v>
      </c>
      <c r="AE9" s="24">
        <f>batch!AF65</f>
        <v>5971.9736780323392</v>
      </c>
      <c r="AF9" s="30">
        <f>batch!AE146</f>
        <v>616435.5555555555</v>
      </c>
      <c r="AG9" s="30">
        <f>batch!AF146</f>
        <v>37635.811108275295</v>
      </c>
      <c r="AH9" s="28"/>
      <c r="AI9" s="28"/>
      <c r="AJ9" s="27">
        <f>batch!AE119</f>
        <v>11335.428571428571</v>
      </c>
      <c r="AK9" s="27">
        <f>batch!AF119</f>
        <v>919.05002713723502</v>
      </c>
      <c r="AL9" s="28"/>
      <c r="AM9" s="28"/>
      <c r="AN9" s="48">
        <f>batch!AE155</f>
        <v>197344.44444444444</v>
      </c>
      <c r="AO9" s="48">
        <f>batch!AF155</f>
        <v>11330.162301475551</v>
      </c>
    </row>
    <row r="10" spans="1:41" x14ac:dyDescent="0.2">
      <c r="A10" s="23">
        <v>16</v>
      </c>
      <c r="B10" s="24">
        <f>batch!AI2</f>
        <v>2606.7777777777778</v>
      </c>
      <c r="C10" s="24">
        <f>batch!AJ2</f>
        <v>282.23739023106776</v>
      </c>
      <c r="D10" s="24">
        <f>batch!AI74</f>
        <v>29261.444444444445</v>
      </c>
      <c r="E10" s="24">
        <f>batch!AJ74</f>
        <v>2866.7061722084072</v>
      </c>
      <c r="F10" s="24">
        <f>batch!AI11</f>
        <v>224891.11111111112</v>
      </c>
      <c r="G10" s="24">
        <f>batch!AJ11</f>
        <v>61359.023876778832</v>
      </c>
      <c r="H10" s="30">
        <f>batch!AI128</f>
        <v>1256215.5555555555</v>
      </c>
      <c r="I10" s="30">
        <f>batch!AJ128</f>
        <v>101023.95843451086</v>
      </c>
      <c r="J10" s="24">
        <f>batch!AI20</f>
        <v>2687.1111111111113</v>
      </c>
      <c r="K10" s="24">
        <f>batch!AJ20</f>
        <v>193.43955415351618</v>
      </c>
      <c r="L10" s="27">
        <f>batch!AI101</f>
        <v>17093.428571428572</v>
      </c>
      <c r="M10" s="27">
        <f>batch!AJ101</f>
        <v>2968.3212347016847</v>
      </c>
      <c r="N10" s="24">
        <f>batch!AI29</f>
        <v>59297.777777777781</v>
      </c>
      <c r="O10" s="24">
        <f>batch!AJ29</f>
        <v>7458.2936684234055</v>
      </c>
      <c r="P10" s="30">
        <f>batch!AI173</f>
        <v>496102.22222222225</v>
      </c>
      <c r="Q10" s="30">
        <f>batch!AJ173</f>
        <v>31975.832193149319</v>
      </c>
      <c r="R10" s="24">
        <f>batch!AI38</f>
        <v>2450.3333333333335</v>
      </c>
      <c r="S10" s="24">
        <f>batch!AJ38</f>
        <v>91.651513899116793</v>
      </c>
      <c r="T10" s="24">
        <f>batch!AI110</f>
        <v>8794</v>
      </c>
      <c r="U10" s="24">
        <f>batch!AJ110</f>
        <v>4926.9877968186611</v>
      </c>
      <c r="V10" s="24">
        <f>batch!AI47</f>
        <v>23957.555555555555</v>
      </c>
      <c r="W10" s="24">
        <f>batch!AJ47</f>
        <v>2348.4417233088366</v>
      </c>
      <c r="X10" s="24">
        <f>batch!AI164</f>
        <v>166760</v>
      </c>
      <c r="Y10" s="24">
        <f>batch!AJ164</f>
        <v>34037.297189994388</v>
      </c>
      <c r="Z10" s="24"/>
      <c r="AA10" s="24"/>
      <c r="AB10" s="24">
        <f>batch!AI137</f>
        <v>16580.222222222223</v>
      </c>
      <c r="AC10" s="24">
        <f>batch!AJ137</f>
        <v>5381.1530079012264</v>
      </c>
      <c r="AD10" s="25">
        <f>batch!AI65</f>
        <v>50493.333333333336</v>
      </c>
      <c r="AE10" s="25">
        <f>batch!AJ65</f>
        <v>12594.832293444801</v>
      </c>
      <c r="AF10" s="25">
        <f>batch!AI146</f>
        <v>955313.33333333337</v>
      </c>
      <c r="AG10" s="25">
        <f>batch!AJ146</f>
        <v>59888.423756181794</v>
      </c>
      <c r="AH10" s="29">
        <f>batch!AI92</f>
        <v>2056.8333333333335</v>
      </c>
      <c r="AI10" s="29">
        <f>batch!AJ92</f>
        <v>525.44739666941587</v>
      </c>
      <c r="AJ10" s="25">
        <f>batch!AI119</f>
        <v>12867</v>
      </c>
      <c r="AK10" s="25">
        <f>batch!AJ119</f>
        <v>2473.0637880976706</v>
      </c>
      <c r="AL10" s="29">
        <f>batch!AI83</f>
        <v>116700</v>
      </c>
      <c r="AM10" s="29">
        <f>batch!AJ83</f>
        <v>38933.896799575559</v>
      </c>
      <c r="AN10" s="25">
        <f>batch!AI155</f>
        <v>273304.44444444444</v>
      </c>
      <c r="AO10" s="25">
        <f>batch!AJ155</f>
        <v>5649.4847356000328</v>
      </c>
    </row>
    <row r="11" spans="1:41" x14ac:dyDescent="0.2">
      <c r="A11" s="23">
        <v>18</v>
      </c>
      <c r="B11" s="24">
        <f>batch!AM2</f>
        <v>2374.5555555555557</v>
      </c>
      <c r="C11" s="24">
        <f>batch!AN2</f>
        <v>361.49104799120266</v>
      </c>
      <c r="D11" s="24">
        <f>batch!AM74</f>
        <v>74959.555555555562</v>
      </c>
      <c r="E11" s="24">
        <f>batch!AN74</f>
        <v>15345.539849668949</v>
      </c>
      <c r="F11" s="30">
        <f>batch!AM11</f>
        <v>478348.88888888888</v>
      </c>
      <c r="G11" s="30">
        <f>batch!AN11</f>
        <v>117203.29650274823</v>
      </c>
      <c r="H11" s="47">
        <f>batch!AM128</f>
        <v>1630095.5555555555</v>
      </c>
      <c r="I11" s="47">
        <f>batch!AN128</f>
        <v>64638.892145346814</v>
      </c>
      <c r="J11" s="24">
        <f>batch!AM20</f>
        <v>2599.6666666666665</v>
      </c>
      <c r="K11" s="24">
        <f>batch!AN20</f>
        <v>269.83745107008406</v>
      </c>
      <c r="L11" s="27">
        <f>batch!AM101</f>
        <v>24088.333333333332</v>
      </c>
      <c r="M11" s="27">
        <f>batch!AN101</f>
        <v>3504.4888714333219</v>
      </c>
      <c r="N11" s="24">
        <f>batch!AM29</f>
        <v>116611.11111111111</v>
      </c>
      <c r="O11" s="24">
        <f>batch!AN29</f>
        <v>25040.898768037674</v>
      </c>
      <c r="P11" s="30">
        <f>batch!AM173</f>
        <v>715626.66666666663</v>
      </c>
      <c r="Q11" s="30">
        <f>batch!AN173</f>
        <v>54275.022800547951</v>
      </c>
      <c r="R11" s="34">
        <f>batch!AM38</f>
        <v>2713.3333333333335</v>
      </c>
      <c r="S11" s="34">
        <f>batch!AN38</f>
        <v>275.25079473091444</v>
      </c>
      <c r="T11" s="35">
        <f>batch!AM110</f>
        <v>13029.777777777777</v>
      </c>
      <c r="U11" s="35">
        <f>batch!AN110</f>
        <v>8171.8388655457748</v>
      </c>
      <c r="V11" s="24">
        <f>batch!AM47</f>
        <v>41712.666666666664</v>
      </c>
      <c r="W11" s="24">
        <f>batch!AN47</f>
        <v>3899.5243620216042</v>
      </c>
      <c r="X11" s="24">
        <f>batch!AM164</f>
        <v>320626.66666666669</v>
      </c>
      <c r="Y11" s="24">
        <f>batch!AN164</f>
        <v>64625.274467502262</v>
      </c>
      <c r="Z11" s="24"/>
      <c r="AA11" s="24"/>
      <c r="AB11" s="24">
        <f>batch!AM137</f>
        <v>25991</v>
      </c>
      <c r="AC11" s="24">
        <f>batch!AN137</f>
        <v>9331.6497469632886</v>
      </c>
      <c r="AD11" s="24">
        <f>batch!AM65</f>
        <v>126882.22222222222</v>
      </c>
      <c r="AE11" s="24">
        <f>batch!AN65</f>
        <v>38105.97386820658</v>
      </c>
      <c r="AF11" s="30">
        <f>batch!AM146</f>
        <v>1152757.7777777778</v>
      </c>
      <c r="AG11" s="30">
        <f>batch!AN146</f>
        <v>66437.227850388561</v>
      </c>
      <c r="AH11" s="36">
        <f>batch!AM92</f>
        <v>2431.4444444444443</v>
      </c>
      <c r="AI11" s="36">
        <f>batch!AN92</f>
        <v>648.60872471604785</v>
      </c>
      <c r="AJ11" s="24">
        <f>batch!AM119</f>
        <v>18049.222222222223</v>
      </c>
      <c r="AK11" s="24">
        <f>batch!AN119</f>
        <v>3226.0692327419783</v>
      </c>
      <c r="AL11" s="37">
        <f>batch!AM83</f>
        <v>201415.55555555556</v>
      </c>
      <c r="AM11" s="37">
        <f>batch!AN83</f>
        <v>56622.703730727822</v>
      </c>
      <c r="AN11" s="30">
        <f>batch!AM155</f>
        <v>301266.66666666669</v>
      </c>
      <c r="AO11" s="30">
        <f>batch!AN155</f>
        <v>10757.364918975278</v>
      </c>
    </row>
    <row r="12" spans="1:41" x14ac:dyDescent="0.2">
      <c r="A12" s="23">
        <v>20</v>
      </c>
      <c r="B12" s="32">
        <f>batch!AQ2</f>
        <v>2438</v>
      </c>
      <c r="C12" s="32">
        <f>batch!AR2</f>
        <v>389.86856759682485</v>
      </c>
      <c r="D12" s="38">
        <f>batch!AQ74</f>
        <v>191035.55555555556</v>
      </c>
      <c r="E12" s="38">
        <f>batch!AR74</f>
        <v>54282.06589452707</v>
      </c>
      <c r="F12" s="30">
        <f>batch!AQ11</f>
        <v>791864.4444444445</v>
      </c>
      <c r="G12" s="30">
        <f>batch!AR11</f>
        <v>96969.734854633032</v>
      </c>
      <c r="H12" s="47">
        <f>batch!AQ128</f>
        <v>1963560</v>
      </c>
      <c r="I12" s="47">
        <f>batch!AR128</f>
        <v>121046.89793629575</v>
      </c>
      <c r="J12" s="32">
        <f>batch!AQ20</f>
        <v>2607.1111111111113</v>
      </c>
      <c r="K12" s="32">
        <f>batch!AR20</f>
        <v>357.49526026384041</v>
      </c>
      <c r="L12" s="39">
        <f>batch!AQ101</f>
        <v>27509.111111111109</v>
      </c>
      <c r="M12" s="39">
        <f>batch!AR101</f>
        <v>3384.6621487396883</v>
      </c>
      <c r="N12" s="30">
        <f>batch!AQ29</f>
        <v>268284.44444444444</v>
      </c>
      <c r="O12" s="30">
        <f>batch!AR29</f>
        <v>43312.316698345414</v>
      </c>
      <c r="P12" s="30">
        <f>batch!AQ173</f>
        <v>822802.22222222225</v>
      </c>
      <c r="Q12" s="30">
        <f>batch!AR173</f>
        <v>39209.453508617589</v>
      </c>
      <c r="R12" s="24"/>
      <c r="S12" s="24"/>
      <c r="T12" s="24">
        <f>batch!AQ110</f>
        <v>21826.555555555555</v>
      </c>
      <c r="U12" s="24">
        <f>batch!AR110</f>
        <v>13968.060898985865</v>
      </c>
      <c r="V12" s="24">
        <f>batch!AQ47</f>
        <v>85288.888888888891</v>
      </c>
      <c r="W12" s="24">
        <f>batch!AR47</f>
        <v>11994.565899235815</v>
      </c>
      <c r="X12" s="24">
        <f>batch!AQ164</f>
        <v>625451.11111111112</v>
      </c>
      <c r="Y12" s="24">
        <f>batch!AR164</f>
        <v>110932.02247823251</v>
      </c>
      <c r="Z12" s="24"/>
      <c r="AA12" s="24"/>
      <c r="AB12" s="24">
        <f>batch!AQ137</f>
        <v>40868</v>
      </c>
      <c r="AC12" s="24">
        <f>batch!AR137</f>
        <v>15080.343265323903</v>
      </c>
      <c r="AD12" s="30">
        <f>batch!AQ65</f>
        <v>280706.66666666669</v>
      </c>
      <c r="AE12" s="30">
        <f>batch!AR65</f>
        <v>63568.250723140089</v>
      </c>
      <c r="AF12" s="30">
        <f>batch!AQ146</f>
        <v>1098311.111111111</v>
      </c>
      <c r="AG12" s="30">
        <f>batch!AR146</f>
        <v>64043.28544907039</v>
      </c>
      <c r="AH12" s="30"/>
      <c r="AI12" s="30"/>
      <c r="AJ12" s="40">
        <f>batch!AQ119</f>
        <v>28324.444444444445</v>
      </c>
      <c r="AK12" s="40">
        <f>batch!AR119</f>
        <v>6255.0435272488548</v>
      </c>
      <c r="AL12" s="30">
        <f>batch!AQ83</f>
        <v>179140</v>
      </c>
      <c r="AM12" s="30">
        <f>batch!AR83</f>
        <v>24815.91827839542</v>
      </c>
      <c r="AN12" s="49">
        <f>batch!AQ155</f>
        <v>359924.44444444444</v>
      </c>
      <c r="AO12" s="49">
        <f>batch!AR155</f>
        <v>10110.092866921539</v>
      </c>
    </row>
    <row r="13" spans="1:41" x14ac:dyDescent="0.2">
      <c r="A13" s="23">
        <v>22</v>
      </c>
      <c r="B13" s="24"/>
      <c r="C13" s="24"/>
      <c r="D13" s="37">
        <f>batch!AU74</f>
        <v>445706.66666666669</v>
      </c>
      <c r="E13" s="37">
        <f>batch!AV74</f>
        <v>111978.56178751359</v>
      </c>
      <c r="F13" s="30">
        <f>batch!AU11</f>
        <v>1069144.4444444445</v>
      </c>
      <c r="G13" s="30">
        <f>batch!AV11</f>
        <v>53862.47374357938</v>
      </c>
      <c r="H13" s="32">
        <f>batch!AU128</f>
        <v>1938520</v>
      </c>
      <c r="I13" s="32">
        <f>batch!AV128</f>
        <v>218115.35480107769</v>
      </c>
      <c r="J13" s="24"/>
      <c r="K13" s="24"/>
      <c r="L13" s="24">
        <f>batch!AU101</f>
        <v>37880.888888888891</v>
      </c>
      <c r="M13" s="24">
        <f>batch!AV101</f>
        <v>7876.3684595828272</v>
      </c>
      <c r="N13" s="30">
        <f>batch!AU29</f>
        <v>394435.55555555556</v>
      </c>
      <c r="O13" s="30">
        <f>batch!AV29</f>
        <v>16955.228626526325</v>
      </c>
      <c r="P13" s="30">
        <f>batch!AU173</f>
        <v>947480</v>
      </c>
      <c r="Q13" s="30">
        <f>batch!AV173</f>
        <v>51344.740723856034</v>
      </c>
      <c r="R13" s="24"/>
      <c r="S13" s="24"/>
      <c r="T13" s="24">
        <f>batch!AU110</f>
        <v>32316.111111111109</v>
      </c>
      <c r="U13" s="24">
        <f>batch!AV110</f>
        <v>21774.417216336955</v>
      </c>
      <c r="V13" s="30">
        <f>batch!AU47</f>
        <v>156113.33333333334</v>
      </c>
      <c r="W13" s="30">
        <f>batch!AV47</f>
        <v>21734.50712576662</v>
      </c>
      <c r="X13" s="30">
        <f>batch!AU164</f>
        <v>827482.22222222225</v>
      </c>
      <c r="Y13" s="30">
        <f>batch!AV164</f>
        <v>119881.13256240307</v>
      </c>
      <c r="Z13" s="24"/>
      <c r="AA13" s="24"/>
      <c r="AB13" s="24">
        <f>batch!AU137</f>
        <v>62982.222222222219</v>
      </c>
      <c r="AC13" s="24">
        <f>batch!AV137</f>
        <v>27253.189619647179</v>
      </c>
      <c r="AD13" s="30">
        <f>batch!AU65</f>
        <v>484808.88888888888</v>
      </c>
      <c r="AE13" s="30">
        <f>batch!AV65</f>
        <v>97909.499085181276</v>
      </c>
      <c r="AF13" s="50">
        <f>batch!AU146</f>
        <v>816260</v>
      </c>
      <c r="AG13" s="50">
        <f>batch!AV146</f>
        <v>84816.989453764516</v>
      </c>
      <c r="AH13" s="30"/>
      <c r="AI13" s="30"/>
      <c r="AJ13" s="42">
        <f>batch!AU119</f>
        <v>47333.555555555555</v>
      </c>
      <c r="AK13" s="42">
        <f>batch!AV119</f>
        <v>8445.1322534213559</v>
      </c>
      <c r="AL13" s="43">
        <f>batch!AU83</f>
        <v>195826.66666666666</v>
      </c>
      <c r="AM13" s="43">
        <f>batch!AV83</f>
        <v>15999.80624882689</v>
      </c>
      <c r="AN13" s="32">
        <f>batch!AU155</f>
        <v>366564.44444444444</v>
      </c>
      <c r="AO13" s="32">
        <f>batch!AV155</f>
        <v>9858.2340090798098</v>
      </c>
    </row>
    <row r="14" spans="1:41" x14ac:dyDescent="0.2">
      <c r="A14" s="23">
        <v>24</v>
      </c>
      <c r="B14" s="24"/>
      <c r="C14" s="24"/>
      <c r="D14" s="30">
        <f>batch!AY74</f>
        <v>641257.77777777775</v>
      </c>
      <c r="E14" s="30">
        <f>batch!AZ74</f>
        <v>90371.862017137042</v>
      </c>
      <c r="F14" s="41">
        <f>batch!AY11</f>
        <v>1102984.4444444445</v>
      </c>
      <c r="G14" s="41">
        <f>batch!AZ11</f>
        <v>16887.189753709106</v>
      </c>
      <c r="H14" s="44"/>
      <c r="I14" s="44"/>
      <c r="J14" s="24"/>
      <c r="K14" s="24"/>
      <c r="L14" s="24">
        <f>batch!AY101</f>
        <v>60147</v>
      </c>
      <c r="M14" s="24">
        <f>batch!AZ101</f>
        <v>22860.888948157724</v>
      </c>
      <c r="N14" s="32">
        <f>batch!AY29</f>
        <v>413868.88888888888</v>
      </c>
      <c r="O14" s="32">
        <f>batch!AZ29</f>
        <v>26360.785479782484</v>
      </c>
      <c r="P14" s="52">
        <f>batch!AY173</f>
        <v>908004.4444444445</v>
      </c>
      <c r="Q14" s="52">
        <f>batch!AZ173</f>
        <v>79974.124426452938</v>
      </c>
      <c r="R14" s="24"/>
      <c r="S14" s="24"/>
      <c r="T14" s="24">
        <f>batch!AY110</f>
        <v>49290.888888888891</v>
      </c>
      <c r="U14" s="24">
        <f>batch!AZ110</f>
        <v>34078.076047674862</v>
      </c>
      <c r="V14" s="30">
        <f>batch!AY47</f>
        <v>302860</v>
      </c>
      <c r="W14" s="30">
        <f>batch!AZ47</f>
        <v>39525.195761691051</v>
      </c>
      <c r="X14" s="51">
        <f>batch!AY164</f>
        <v>1108446.6666666667</v>
      </c>
      <c r="Y14" s="51">
        <f>batch!AZ164</f>
        <v>80990.058649194718</v>
      </c>
      <c r="Z14" s="24"/>
      <c r="AA14" s="24"/>
      <c r="AB14" s="24">
        <f>batch!AY137</f>
        <v>108455.55555555556</v>
      </c>
      <c r="AC14" s="24">
        <f>batch!AZ137</f>
        <v>56999.109447234165</v>
      </c>
      <c r="AD14" s="30">
        <f>batch!AY65</f>
        <v>599266.66666666663</v>
      </c>
      <c r="AE14" s="30">
        <f>batch!AZ65</f>
        <v>91272.942869176739</v>
      </c>
      <c r="AF14" s="30"/>
      <c r="AG14" s="30"/>
      <c r="AH14" s="24"/>
      <c r="AI14" s="24"/>
      <c r="AJ14" s="30">
        <f>batch!AY119</f>
        <v>73704.444444444438</v>
      </c>
      <c r="AK14" s="30">
        <f>batch!AZ119</f>
        <v>17754.381931731041</v>
      </c>
      <c r="AL14" s="24"/>
      <c r="AM14" s="24"/>
      <c r="AN14" s="24"/>
      <c r="AO14" s="24"/>
    </row>
    <row r="15" spans="1:41" x14ac:dyDescent="0.2">
      <c r="A15" s="23">
        <v>26</v>
      </c>
      <c r="B15" s="24"/>
      <c r="C15" s="24"/>
      <c r="D15" s="30">
        <f>batch!BC74</f>
        <v>715013.33333333337</v>
      </c>
      <c r="E15" s="30">
        <f>batch!BD74</f>
        <v>52858.993558334041</v>
      </c>
      <c r="F15" s="24"/>
      <c r="G15" s="24"/>
      <c r="H15" s="24"/>
      <c r="I15" s="24"/>
      <c r="J15" s="24"/>
      <c r="K15" s="24"/>
      <c r="L15" s="24">
        <f>batch!BC101</f>
        <v>99997.777777777781</v>
      </c>
      <c r="M15" s="24">
        <f>batch!BD101</f>
        <v>40503.981834437524</v>
      </c>
      <c r="N15" s="24"/>
      <c r="O15" s="24"/>
      <c r="P15" s="24"/>
      <c r="Q15" s="24"/>
      <c r="R15" s="24"/>
      <c r="S15" s="24"/>
      <c r="T15" s="24">
        <f>batch!BC110</f>
        <v>80751.222222222219</v>
      </c>
      <c r="U15" s="24">
        <f>batch!BD110</f>
        <v>62399.376761266169</v>
      </c>
      <c r="V15" s="30">
        <f>batch!BC47</f>
        <v>459697.77777777775</v>
      </c>
      <c r="W15" s="30">
        <f>batch!BD47</f>
        <v>66169.109442733607</v>
      </c>
      <c r="X15" s="30">
        <f>batch!BC164</f>
        <v>1413902.2222222222</v>
      </c>
      <c r="Y15" s="30">
        <f>batch!BD164</f>
        <v>60969.220467744577</v>
      </c>
      <c r="Z15" s="24"/>
      <c r="AA15" s="24"/>
      <c r="AB15" s="24">
        <f>batch!BC137</f>
        <v>141031.11111111112</v>
      </c>
      <c r="AC15" s="24">
        <f>batch!BD137</f>
        <v>63596.136762472532</v>
      </c>
      <c r="AD15" s="32">
        <f>batch!BC65</f>
        <v>624855.5555555555</v>
      </c>
      <c r="AE15" s="32">
        <f>batch!BD65</f>
        <v>74772.512180464895</v>
      </c>
      <c r="AF15" s="45"/>
      <c r="AG15" s="45"/>
      <c r="AH15" s="24"/>
      <c r="AI15" s="24"/>
      <c r="AJ15" s="24">
        <f>batch!BC119</f>
        <v>99188.888888888891</v>
      </c>
      <c r="AK15" s="24">
        <f>batch!BD119</f>
        <v>14306.159900934656</v>
      </c>
      <c r="AL15" s="24"/>
      <c r="AM15" s="24"/>
      <c r="AN15" s="24"/>
      <c r="AO15" s="24"/>
    </row>
    <row r="16" spans="1:41" x14ac:dyDescent="0.2">
      <c r="A16" s="23">
        <v>28</v>
      </c>
      <c r="B16" s="24"/>
      <c r="C16" s="24"/>
      <c r="D16" s="24">
        <f>batch!BG74</f>
        <v>962340</v>
      </c>
      <c r="E16" s="24">
        <f>batch!BH74</f>
        <v>10465.213805747115</v>
      </c>
      <c r="F16" s="24"/>
      <c r="G16" s="24"/>
      <c r="H16" s="24"/>
      <c r="I16" s="24"/>
      <c r="J16" s="24"/>
      <c r="K16" s="24"/>
      <c r="L16" s="30">
        <f>batch!BG101</f>
        <v>155777.77777777778</v>
      </c>
      <c r="M16" s="30">
        <f>batch!BH101</f>
        <v>74077.925486911699</v>
      </c>
      <c r="N16" s="24"/>
      <c r="O16" s="24"/>
      <c r="P16" s="24"/>
      <c r="Q16" s="24"/>
      <c r="R16" s="24"/>
      <c r="S16" s="24"/>
      <c r="T16" s="24">
        <f>batch!BG110</f>
        <v>126886.66666666667</v>
      </c>
      <c r="U16" s="24">
        <f>batch!BH110</f>
        <v>100532.76729504664</v>
      </c>
      <c r="V16" s="30">
        <f>batch!BG47</f>
        <v>737862.22222222225</v>
      </c>
      <c r="W16" s="30">
        <f>batch!BH47</f>
        <v>61120.312862782732</v>
      </c>
      <c r="X16" s="30">
        <f>batch!BG164</f>
        <v>1493088.888888889</v>
      </c>
      <c r="Y16" s="30">
        <f>batch!BH164</f>
        <v>31581.896889058313</v>
      </c>
      <c r="Z16" s="24"/>
      <c r="AA16" s="24"/>
      <c r="AB16" s="24">
        <f>batch!BG137</f>
        <v>213648.88888888888</v>
      </c>
      <c r="AC16" s="24">
        <f>batch!BH137</f>
        <v>70431.843019412147</v>
      </c>
      <c r="AD16" s="24"/>
      <c r="AE16" s="24"/>
      <c r="AF16" s="24"/>
      <c r="AG16" s="24"/>
      <c r="AH16" s="24"/>
      <c r="AI16" s="24"/>
      <c r="AJ16" s="24">
        <f>batch!BG119</f>
        <v>125537.77777777778</v>
      </c>
      <c r="AK16" s="24">
        <f>batch!BH119</f>
        <v>4634.9805225528662</v>
      </c>
      <c r="AL16" s="24"/>
      <c r="AM16" s="24"/>
      <c r="AN16" s="24"/>
      <c r="AO16" s="24"/>
    </row>
    <row r="17" spans="1:41" x14ac:dyDescent="0.2">
      <c r="A17" s="23">
        <v>30</v>
      </c>
      <c r="B17" s="24"/>
      <c r="C17" s="24"/>
      <c r="D17" s="32">
        <f>batch!BK74</f>
        <v>1010677.7777777778</v>
      </c>
      <c r="E17" s="32">
        <f>batch!BL74</f>
        <v>67419.952865931642</v>
      </c>
      <c r="F17" s="24"/>
      <c r="G17" s="24"/>
      <c r="H17" s="24"/>
      <c r="I17" s="24"/>
      <c r="J17" s="24"/>
      <c r="K17" s="24"/>
      <c r="L17" s="24">
        <f>batch!BK101</f>
        <v>204488.88888888888</v>
      </c>
      <c r="M17" s="24">
        <f>batch!BL101</f>
        <v>86117.545315174386</v>
      </c>
      <c r="N17" s="24"/>
      <c r="O17" s="24"/>
      <c r="P17" s="24"/>
      <c r="Q17" s="24"/>
      <c r="R17" s="24"/>
      <c r="S17" s="24"/>
      <c r="T17" s="24">
        <f>batch!BK110</f>
        <v>204117.77777777778</v>
      </c>
      <c r="U17" s="24">
        <f>batch!BL110</f>
        <v>174590.71780723179</v>
      </c>
      <c r="V17" s="24">
        <f>batch!BK47</f>
        <v>995651.11111111112</v>
      </c>
      <c r="W17" s="24">
        <f>batch!BL47</f>
        <v>63753.868205083141</v>
      </c>
      <c r="X17" s="53">
        <f>batch!BK164</f>
        <v>1565966.6666666667</v>
      </c>
      <c r="Y17" s="53">
        <f>batch!BL164</f>
        <v>32333.471821009265</v>
      </c>
      <c r="Z17" s="24"/>
      <c r="AA17" s="24"/>
      <c r="AB17" s="24">
        <f>batch!BK137</f>
        <v>236655.55555555556</v>
      </c>
      <c r="AC17" s="24">
        <f>batch!BL137</f>
        <v>40278.811772168483</v>
      </c>
      <c r="AD17" s="24"/>
      <c r="AE17" s="24"/>
      <c r="AF17" s="24"/>
      <c r="AG17" s="24"/>
      <c r="AH17" s="24"/>
      <c r="AI17" s="24"/>
      <c r="AJ17" s="24">
        <f>batch!BK119</f>
        <v>142460</v>
      </c>
      <c r="AK17" s="24">
        <f>batch!BL119</f>
        <v>8923.3738014273495</v>
      </c>
      <c r="AL17" s="24"/>
      <c r="AM17" s="24"/>
      <c r="AN17" s="24"/>
      <c r="AO17" s="24"/>
    </row>
    <row r="18" spans="1:41" x14ac:dyDescent="0.2">
      <c r="A18" s="23">
        <v>32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>
        <f>batch!BO101</f>
        <v>262997.77777777775</v>
      </c>
      <c r="M18" s="24">
        <f>batch!BP101</f>
        <v>74153.013050343696</v>
      </c>
      <c r="N18" s="24"/>
      <c r="O18" s="24"/>
      <c r="P18" s="24"/>
      <c r="Q18" s="24"/>
      <c r="R18" s="24"/>
      <c r="S18" s="24"/>
      <c r="T18" s="24">
        <f>batch!BO110</f>
        <v>286724.44444444444</v>
      </c>
      <c r="U18" s="24">
        <f>batch!BP110</f>
        <v>227710.33019557493</v>
      </c>
      <c r="V18" s="24">
        <f>batch!BO47</f>
        <v>1237535.5555555555</v>
      </c>
      <c r="W18" s="24">
        <f>batch!BP47</f>
        <v>102615.54842117144</v>
      </c>
      <c r="X18" s="24"/>
      <c r="Y18" s="24"/>
      <c r="Z18" s="24"/>
      <c r="AA18" s="24"/>
      <c r="AB18" s="30">
        <f>batch!BO137</f>
        <v>246126.66666666666</v>
      </c>
      <c r="AC18" s="30">
        <f>batch!BP137</f>
        <v>38523.703093030919</v>
      </c>
      <c r="AD18" s="24"/>
      <c r="AE18" s="24"/>
      <c r="AF18" s="24"/>
      <c r="AG18" s="24"/>
      <c r="AH18" s="24"/>
      <c r="AI18" s="24"/>
      <c r="AJ18" s="30">
        <f>batch!BO119</f>
        <v>153653.33333333334</v>
      </c>
      <c r="AK18" s="30">
        <f>batch!BP119</f>
        <v>7030.4338415207349</v>
      </c>
      <c r="AL18" s="24"/>
      <c r="AM18" s="24"/>
      <c r="AN18" s="24"/>
      <c r="AO18" s="24"/>
    </row>
    <row r="19" spans="1:41" x14ac:dyDescent="0.2">
      <c r="A19" s="23">
        <v>34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0">
        <f>batch!BS101</f>
        <v>344153.33333333331</v>
      </c>
      <c r="M19" s="30">
        <f>batch!BT101</f>
        <v>60699.142498061701</v>
      </c>
      <c r="N19" s="24"/>
      <c r="O19" s="24"/>
      <c r="P19" s="24"/>
      <c r="Q19" s="24"/>
      <c r="R19" s="24"/>
      <c r="S19" s="24"/>
      <c r="T19" s="24">
        <f>batch!BS110</f>
        <v>389337.77777777775</v>
      </c>
      <c r="U19" s="24">
        <f>batch!BT110</f>
        <v>291681.00357144355</v>
      </c>
      <c r="V19" s="32">
        <f>batch!BS47</f>
        <v>1195582.2222222222</v>
      </c>
      <c r="W19" s="32">
        <f>batch!BT47</f>
        <v>85353.202309254018</v>
      </c>
      <c r="X19" s="45"/>
      <c r="Y19" s="45"/>
      <c r="Z19" s="24"/>
      <c r="AA19" s="24"/>
      <c r="AB19" s="32">
        <f>batch!BS137</f>
        <v>213080</v>
      </c>
      <c r="AC19" s="32">
        <f>batch!BT137</f>
        <v>43751.710823692367</v>
      </c>
      <c r="AD19" s="24"/>
      <c r="AE19" s="24"/>
      <c r="AF19" s="24"/>
      <c r="AG19" s="24"/>
      <c r="AH19" s="24"/>
      <c r="AI19" s="24"/>
      <c r="AJ19" s="41">
        <f>batch!BS119</f>
        <v>122493.33333333333</v>
      </c>
      <c r="AK19" s="41">
        <f>batch!BT119</f>
        <v>5590.2236091233417</v>
      </c>
      <c r="AL19" s="24"/>
      <c r="AM19" s="24"/>
      <c r="AN19" s="24"/>
      <c r="AO19" s="24"/>
    </row>
    <row r="20" spans="1:41" x14ac:dyDescent="0.2">
      <c r="A20" s="46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0">
        <f>batch!BW101</f>
        <v>353791.11111111112</v>
      </c>
      <c r="M20" s="30">
        <f>batch!BX101</f>
        <v>66424.966775385852</v>
      </c>
      <c r="N20" s="24"/>
      <c r="O20" s="24"/>
      <c r="P20" s="24"/>
      <c r="Q20" s="24"/>
      <c r="R20" s="24"/>
      <c r="S20" s="24"/>
      <c r="T20" s="24">
        <f>batch!BW110</f>
        <v>475844.44444444444</v>
      </c>
      <c r="U20" s="24">
        <f>batch!BX110</f>
        <v>308212.32385772275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x14ac:dyDescent="0.2">
      <c r="A21" s="46">
        <v>38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2">
        <f>batch!CA101</f>
        <v>368184.44444444444</v>
      </c>
      <c r="M21" s="32">
        <f>batch!CB101</f>
        <v>59977.844891074332</v>
      </c>
      <c r="N21" s="24"/>
      <c r="O21" s="24"/>
      <c r="P21" s="24"/>
      <c r="Q21" s="24"/>
      <c r="R21" s="24"/>
      <c r="S21" s="24"/>
      <c r="T21" s="30">
        <f>batch!CA110</f>
        <v>632182.22222222225</v>
      </c>
      <c r="U21" s="30">
        <f>batch!CB110</f>
        <v>337846.22055669717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x14ac:dyDescent="0.2">
      <c r="A22" s="46">
        <v>40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>
        <f>batch!CE110</f>
        <v>724315.5555555555</v>
      </c>
      <c r="U22" s="24">
        <f>batch!CF110</f>
        <v>291355.2365717456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x14ac:dyDescent="0.2">
      <c r="A23" s="46">
        <v>42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30">
        <f>batch!CI110</f>
        <v>857993.33333333337</v>
      </c>
      <c r="U23" s="30">
        <f>batch!CJ110</f>
        <v>277980.83746906009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x14ac:dyDescent="0.2">
      <c r="A24" s="46">
        <v>44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30">
        <f>batch!CM110</f>
        <v>927224.4444444445</v>
      </c>
      <c r="U24" s="30">
        <f>batch!CN110</f>
        <v>237691.71120966299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x14ac:dyDescent="0.2">
      <c r="A25" s="46">
        <v>46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41">
        <f>batch!CQ110</f>
        <v>1068297.7777777778</v>
      </c>
      <c r="U25" s="41">
        <f>batch!CR110</f>
        <v>282109.14987721387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</row>
    <row r="33" spans="2:41" x14ac:dyDescent="0.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2:4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</row>
    <row r="35" spans="2:41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2:41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</row>
    <row r="37" spans="2:4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</row>
    <row r="38" spans="2:4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</row>
  </sheetData>
  <phoneticPr fontId="15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I34" sqref="I34"/>
    </sheetView>
  </sheetViews>
  <sheetFormatPr baseColWidth="10" defaultRowHeight="16" x14ac:dyDescent="0.2"/>
  <cols>
    <col min="1" max="1" width="16.83203125" style="2" customWidth="1"/>
    <col min="2" max="2" width="11.33203125" style="5" bestFit="1" customWidth="1"/>
    <col min="3" max="3" width="10.83203125" style="2"/>
    <col min="4" max="4" width="14.6640625" style="2" customWidth="1"/>
  </cols>
  <sheetData>
    <row r="1" spans="1:4" x14ac:dyDescent="0.2">
      <c r="A1" s="3" t="s">
        <v>0</v>
      </c>
      <c r="B1" s="8" t="s">
        <v>1</v>
      </c>
      <c r="C1" s="3" t="s">
        <v>2</v>
      </c>
      <c r="D1" s="3" t="s">
        <v>6</v>
      </c>
    </row>
    <row r="2" spans="1:4" x14ac:dyDescent="0.2">
      <c r="A2" s="2" t="s">
        <v>187</v>
      </c>
      <c r="B2" s="5">
        <v>29171</v>
      </c>
      <c r="C2" s="6">
        <f>AVERAGE(B2:B4)</f>
        <v>28810</v>
      </c>
      <c r="D2" s="6">
        <f>C2*20</f>
        <v>576200</v>
      </c>
    </row>
    <row r="3" spans="1:4" x14ac:dyDescent="0.2">
      <c r="A3" s="2" t="s">
        <v>187</v>
      </c>
      <c r="B3" s="5">
        <v>28603</v>
      </c>
    </row>
    <row r="4" spans="1:4" x14ac:dyDescent="0.2">
      <c r="A4" s="2" t="s">
        <v>187</v>
      </c>
      <c r="B4" s="5">
        <v>28656</v>
      </c>
    </row>
    <row r="5" spans="1:4" x14ac:dyDescent="0.2">
      <c r="A5" s="2" t="s">
        <v>188</v>
      </c>
      <c r="B5" s="5">
        <v>25236</v>
      </c>
      <c r="C5" s="6">
        <f>AVERAGE(B5:B7)</f>
        <v>24849.666666666668</v>
      </c>
      <c r="D5" s="10">
        <f>C5*20</f>
        <v>496993.33333333337</v>
      </c>
    </row>
    <row r="6" spans="1:4" x14ac:dyDescent="0.2">
      <c r="A6" s="2" t="s">
        <v>188</v>
      </c>
      <c r="B6" s="5">
        <v>24715</v>
      </c>
    </row>
    <row r="7" spans="1:4" x14ac:dyDescent="0.2">
      <c r="A7" s="2" t="s">
        <v>188</v>
      </c>
      <c r="B7" s="5">
        <v>24598</v>
      </c>
    </row>
    <row r="8" spans="1:4" x14ac:dyDescent="0.2">
      <c r="A8" s="2" t="s">
        <v>138</v>
      </c>
      <c r="B8" s="5">
        <v>69122</v>
      </c>
      <c r="C8" s="6">
        <f>AVERAGE(B8:B10)</f>
        <v>68985.333333333328</v>
      </c>
      <c r="D8" s="10">
        <f>C8*20</f>
        <v>1379706.6666666665</v>
      </c>
    </row>
    <row r="9" spans="1:4" x14ac:dyDescent="0.2">
      <c r="A9" s="2" t="s">
        <v>138</v>
      </c>
      <c r="B9" s="5">
        <v>68750</v>
      </c>
    </row>
    <row r="10" spans="1:4" x14ac:dyDescent="0.2">
      <c r="A10" s="2" t="s">
        <v>138</v>
      </c>
      <c r="B10" s="5">
        <v>69084</v>
      </c>
    </row>
    <row r="11" spans="1:4" x14ac:dyDescent="0.2">
      <c r="A11" s="2" t="s">
        <v>139</v>
      </c>
      <c r="B11" s="5">
        <v>35192</v>
      </c>
      <c r="C11" s="6">
        <f>AVERAGE(B11:B13)</f>
        <v>35170.333333333336</v>
      </c>
      <c r="D11" s="9">
        <f>C11*20</f>
        <v>703406.66666666674</v>
      </c>
    </row>
    <row r="12" spans="1:4" x14ac:dyDescent="0.2">
      <c r="A12" s="2" t="s">
        <v>139</v>
      </c>
      <c r="B12" s="5">
        <v>35076</v>
      </c>
    </row>
    <row r="13" spans="1:4" x14ac:dyDescent="0.2">
      <c r="A13" s="2" t="s">
        <v>139</v>
      </c>
      <c r="B13" s="5">
        <v>35243</v>
      </c>
    </row>
    <row r="14" spans="1:4" x14ac:dyDescent="0.2">
      <c r="A14" s="2" t="s">
        <v>140</v>
      </c>
      <c r="B14" s="5">
        <v>25378</v>
      </c>
      <c r="C14" s="6">
        <f>AVERAGE(B14:B16)</f>
        <v>25448.333333333332</v>
      </c>
      <c r="D14" s="9">
        <f>C14*20</f>
        <v>508966.66666666663</v>
      </c>
    </row>
    <row r="15" spans="1:4" x14ac:dyDescent="0.2">
      <c r="A15" s="2" t="s">
        <v>140</v>
      </c>
      <c r="B15" s="5">
        <v>25575</v>
      </c>
    </row>
    <row r="16" spans="1:4" x14ac:dyDescent="0.2">
      <c r="A16" s="2" t="s">
        <v>140</v>
      </c>
      <c r="B16" s="5">
        <v>25392</v>
      </c>
    </row>
    <row r="17" spans="1:4" x14ac:dyDescent="0.2">
      <c r="A17" s="2" t="s">
        <v>142</v>
      </c>
      <c r="B17" s="5">
        <v>42111</v>
      </c>
      <c r="C17" s="6">
        <f>AVERAGE(B17:B19)</f>
        <v>42216</v>
      </c>
      <c r="D17" s="6">
        <f>C17*20</f>
        <v>844320</v>
      </c>
    </row>
    <row r="18" spans="1:4" x14ac:dyDescent="0.2">
      <c r="A18" s="2" t="s">
        <v>142</v>
      </c>
      <c r="B18" s="5">
        <v>42308</v>
      </c>
      <c r="D18" s="6"/>
    </row>
    <row r="19" spans="1:4" x14ac:dyDescent="0.2">
      <c r="A19" s="2" t="s">
        <v>142</v>
      </c>
      <c r="B19" s="5">
        <v>42229</v>
      </c>
      <c r="D19" s="6"/>
    </row>
    <row r="20" spans="1:4" x14ac:dyDescent="0.2">
      <c r="A20" s="2" t="s">
        <v>143</v>
      </c>
      <c r="B20" s="5">
        <v>24369</v>
      </c>
      <c r="C20" s="6">
        <f>AVERAGE(B20:B22)</f>
        <v>24303.666666666668</v>
      </c>
      <c r="D20" s="6">
        <f>C20*20</f>
        <v>486073.33333333337</v>
      </c>
    </row>
    <row r="21" spans="1:4" x14ac:dyDescent="0.2">
      <c r="A21" s="2" t="s">
        <v>143</v>
      </c>
      <c r="B21" s="5">
        <v>24182</v>
      </c>
      <c r="D21" s="6"/>
    </row>
    <row r="22" spans="1:4" x14ac:dyDescent="0.2">
      <c r="A22" s="2" t="s">
        <v>143</v>
      </c>
      <c r="B22" s="5">
        <v>24360</v>
      </c>
      <c r="D22" s="6"/>
    </row>
    <row r="23" spans="1:4" x14ac:dyDescent="0.2">
      <c r="A23" s="2" t="s">
        <v>156</v>
      </c>
      <c r="B23" s="5">
        <v>24998</v>
      </c>
      <c r="C23" s="6">
        <f>AVERAGE(B23:B25)</f>
        <v>24948.666666666668</v>
      </c>
      <c r="D23" s="6">
        <f>C23*20</f>
        <v>498973.33333333337</v>
      </c>
    </row>
    <row r="24" spans="1:4" x14ac:dyDescent="0.2">
      <c r="A24" s="2" t="s">
        <v>156</v>
      </c>
      <c r="B24" s="5">
        <v>24989</v>
      </c>
      <c r="D24" s="6"/>
    </row>
    <row r="25" spans="1:4" x14ac:dyDescent="0.2">
      <c r="A25" s="2" t="s">
        <v>156</v>
      </c>
      <c r="B25" s="5">
        <v>24859</v>
      </c>
      <c r="D25" s="6"/>
    </row>
    <row r="26" spans="1:4" x14ac:dyDescent="0.2">
      <c r="A26" s="2" t="s">
        <v>157</v>
      </c>
      <c r="B26" s="5">
        <v>33900</v>
      </c>
      <c r="C26" s="6">
        <f>AVERAGE(B26:B28)</f>
        <v>33947.333333333336</v>
      </c>
      <c r="D26" s="6">
        <f>C26*20</f>
        <v>678946.66666666674</v>
      </c>
    </row>
    <row r="27" spans="1:4" x14ac:dyDescent="0.2">
      <c r="A27" s="2" t="s">
        <v>157</v>
      </c>
      <c r="B27" s="5">
        <v>33914</v>
      </c>
      <c r="D27" s="6"/>
    </row>
    <row r="28" spans="1:4" x14ac:dyDescent="0.2">
      <c r="A28" s="2" t="s">
        <v>157</v>
      </c>
      <c r="B28" s="5">
        <v>34028</v>
      </c>
      <c r="D28" s="6"/>
    </row>
    <row r="29" spans="1:4" x14ac:dyDescent="0.2">
      <c r="A29" s="2" t="s">
        <v>158</v>
      </c>
      <c r="B29" s="5">
        <f>9047</f>
        <v>9047</v>
      </c>
      <c r="C29" s="6">
        <f>AVERAGE(B29:B31)</f>
        <v>8773</v>
      </c>
      <c r="D29" s="6">
        <f>C29*20</f>
        <v>175460</v>
      </c>
    </row>
    <row r="30" spans="1:4" x14ac:dyDescent="0.2">
      <c r="A30" s="2" t="s">
        <v>158</v>
      </c>
      <c r="B30" s="5">
        <f>8639</f>
        <v>8639</v>
      </c>
      <c r="D30" s="6"/>
    </row>
    <row r="31" spans="1:4" x14ac:dyDescent="0.2">
      <c r="A31" s="2" t="s">
        <v>158</v>
      </c>
      <c r="B31" s="5">
        <f>8633</f>
        <v>8633</v>
      </c>
      <c r="D31" s="6"/>
    </row>
    <row r="32" spans="1:4" x14ac:dyDescent="0.2">
      <c r="A32" s="2" t="s">
        <v>159</v>
      </c>
      <c r="B32" s="5">
        <v>20863</v>
      </c>
      <c r="C32" s="6">
        <f>AVERAGE(B32:B34)</f>
        <v>20596</v>
      </c>
      <c r="D32" s="6">
        <f>C32*20</f>
        <v>411920</v>
      </c>
    </row>
    <row r="33" spans="1:4" x14ac:dyDescent="0.2">
      <c r="A33" s="2" t="s">
        <v>159</v>
      </c>
      <c r="B33" s="5">
        <v>20628</v>
      </c>
      <c r="D33" s="6"/>
    </row>
    <row r="34" spans="1:4" x14ac:dyDescent="0.2">
      <c r="A34" s="2" t="s">
        <v>159</v>
      </c>
      <c r="B34" s="5">
        <v>20297</v>
      </c>
      <c r="D34" s="6"/>
    </row>
    <row r="35" spans="1:4" x14ac:dyDescent="0.2">
      <c r="A35" s="2" t="s">
        <v>236</v>
      </c>
      <c r="B35" s="5">
        <v>3373</v>
      </c>
      <c r="C35" s="6">
        <f>AVERAGE(B35:B37)</f>
        <v>3264.3333333333335</v>
      </c>
      <c r="D35" s="6">
        <f>C35*20</f>
        <v>65286.666666666672</v>
      </c>
    </row>
    <row r="36" spans="1:4" x14ac:dyDescent="0.2">
      <c r="A36" s="2" t="s">
        <v>236</v>
      </c>
      <c r="B36" s="5">
        <v>3259</v>
      </c>
      <c r="D36" s="6">
        <f>D35*20</f>
        <v>1305733.3333333335</v>
      </c>
    </row>
    <row r="37" spans="1:4" x14ac:dyDescent="0.2">
      <c r="A37" s="2" t="s">
        <v>236</v>
      </c>
      <c r="B37" s="5">
        <v>3161</v>
      </c>
      <c r="D37" s="6">
        <f>(D36/1000)+((3*D35)/1000)</f>
        <v>1501.5933333333337</v>
      </c>
    </row>
    <row r="38" spans="1:4" x14ac:dyDescent="0.2">
      <c r="A38" s="2" t="s">
        <v>302</v>
      </c>
      <c r="B38" s="5">
        <v>6626</v>
      </c>
      <c r="C38" s="6">
        <f>AVERAGE(B38:B40)</f>
        <v>5940.333333333333</v>
      </c>
      <c r="D38" s="9">
        <f>C38*20</f>
        <v>118806.66666666666</v>
      </c>
    </row>
    <row r="39" spans="1:4" x14ac:dyDescent="0.2">
      <c r="A39" s="2" t="s">
        <v>302</v>
      </c>
      <c r="B39" s="5">
        <v>5523</v>
      </c>
    </row>
    <row r="40" spans="1:4" x14ac:dyDescent="0.2">
      <c r="A40" s="2" t="s">
        <v>302</v>
      </c>
      <c r="B40" s="5">
        <v>5672</v>
      </c>
    </row>
    <row r="41" spans="1:4" x14ac:dyDescent="0.2">
      <c r="A41" s="2" t="s">
        <v>303</v>
      </c>
      <c r="B41" s="5">
        <v>15515</v>
      </c>
      <c r="C41" s="6">
        <f>AVERAGE(B41:B42)</f>
        <v>15547</v>
      </c>
      <c r="D41" s="6">
        <f>C41*20</f>
        <v>310940</v>
      </c>
    </row>
    <row r="42" spans="1:4" x14ac:dyDescent="0.2">
      <c r="A42" s="2" t="s">
        <v>303</v>
      </c>
      <c r="B42" s="5">
        <v>15579</v>
      </c>
    </row>
    <row r="43" spans="1:4" x14ac:dyDescent="0.2">
      <c r="A43" s="2" t="s">
        <v>322</v>
      </c>
      <c r="B43" s="5">
        <v>9930</v>
      </c>
      <c r="C43" s="6">
        <f>AVERAGE(B43:B44)</f>
        <v>9804.5</v>
      </c>
      <c r="D43" s="6">
        <f>C43*20</f>
        <v>196090</v>
      </c>
    </row>
    <row r="44" spans="1:4" x14ac:dyDescent="0.2">
      <c r="A44" s="2" t="s">
        <v>322</v>
      </c>
      <c r="B44" s="5">
        <v>9679</v>
      </c>
    </row>
    <row r="45" spans="1:4" x14ac:dyDescent="0.2">
      <c r="A45" s="2" t="s">
        <v>323</v>
      </c>
      <c r="B45" s="5">
        <v>2453</v>
      </c>
      <c r="C45" s="6">
        <f>AVERAGE(B45:B46)</f>
        <v>2261</v>
      </c>
      <c r="D45" s="6">
        <f>C45*20</f>
        <v>45220</v>
      </c>
    </row>
    <row r="46" spans="1:4" x14ac:dyDescent="0.2">
      <c r="A46" s="2" t="s">
        <v>323</v>
      </c>
      <c r="B46" s="5">
        <v>2069</v>
      </c>
      <c r="D46" s="2">
        <f>((D45*30)+(D45*3))/1000</f>
        <v>1492.26</v>
      </c>
    </row>
    <row r="47" spans="1:4" x14ac:dyDescent="0.2">
      <c r="A47" s="2" t="s">
        <v>324</v>
      </c>
      <c r="B47" s="5">
        <v>2728</v>
      </c>
      <c r="C47" s="6">
        <f>AVERAGE(B47:B48)</f>
        <v>2774</v>
      </c>
      <c r="D47" s="6">
        <f>C47*20</f>
        <v>55480</v>
      </c>
    </row>
    <row r="48" spans="1:4" x14ac:dyDescent="0.2">
      <c r="A48" s="2" t="s">
        <v>324</v>
      </c>
      <c r="B48" s="5">
        <v>2820</v>
      </c>
      <c r="D48" s="2">
        <f>((D47*25)+(D47*3))/1000</f>
        <v>1553.44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7" sqref="F27"/>
    </sheetView>
  </sheetViews>
  <sheetFormatPr baseColWidth="10" defaultColWidth="11" defaultRowHeight="16" x14ac:dyDescent="0.2"/>
  <cols>
    <col min="1" max="1" width="18" customWidth="1"/>
    <col min="2" max="2" width="13" bestFit="1" customWidth="1"/>
  </cols>
  <sheetData>
    <row r="1" spans="1:7" x14ac:dyDescent="0.2">
      <c r="A1" t="s">
        <v>108</v>
      </c>
      <c r="B1" s="13">
        <f>((46764+45574+45838)/3)*18</f>
        <v>829056</v>
      </c>
      <c r="C1" t="s">
        <v>107</v>
      </c>
      <c r="G1" t="s">
        <v>106</v>
      </c>
    </row>
    <row r="2" spans="1:7" x14ac:dyDescent="0.2">
      <c r="A2" t="s">
        <v>109</v>
      </c>
      <c r="B2" s="13">
        <f>((34621+34517+34335)/3)*18</f>
        <v>620838</v>
      </c>
      <c r="C2" t="s">
        <v>107</v>
      </c>
      <c r="G2" t="s">
        <v>107</v>
      </c>
    </row>
    <row r="3" spans="1:7" x14ac:dyDescent="0.2">
      <c r="A3" t="s">
        <v>110</v>
      </c>
      <c r="B3" s="13">
        <f>((33351+32967+33851)/3)*18</f>
        <v>601014</v>
      </c>
      <c r="C3" t="s">
        <v>107</v>
      </c>
    </row>
    <row r="4" spans="1:7" x14ac:dyDescent="0.2">
      <c r="A4" t="s">
        <v>111</v>
      </c>
      <c r="B4" s="13">
        <f>((22503+21903+21841)/3)*18</f>
        <v>397482</v>
      </c>
      <c r="C4" t="s">
        <v>107</v>
      </c>
    </row>
    <row r="5" spans="1:7" x14ac:dyDescent="0.2">
      <c r="A5" t="s">
        <v>112</v>
      </c>
      <c r="B5" s="13">
        <f>((110181+110566+113202)/3)*18</f>
        <v>2003694</v>
      </c>
      <c r="C5" t="s">
        <v>107</v>
      </c>
    </row>
    <row r="6" spans="1:7" x14ac:dyDescent="0.2">
      <c r="A6" t="s">
        <v>113</v>
      </c>
      <c r="B6" s="13">
        <f>(4441+4161+4149)/3</f>
        <v>4250.333333333333</v>
      </c>
      <c r="C6" t="s">
        <v>107</v>
      </c>
    </row>
    <row r="7" spans="1:7" x14ac:dyDescent="0.2">
      <c r="A7" t="s">
        <v>114</v>
      </c>
      <c r="B7" s="13">
        <f>(7949+7407+7462)/3</f>
        <v>7606</v>
      </c>
      <c r="C7" t="s">
        <v>107</v>
      </c>
    </row>
    <row r="8" spans="1:7" x14ac:dyDescent="0.2">
      <c r="A8" t="s">
        <v>115</v>
      </c>
      <c r="B8" s="13">
        <f>(2100+2033+2017)/3</f>
        <v>2050</v>
      </c>
      <c r="C8" t="s">
        <v>107</v>
      </c>
    </row>
    <row r="9" spans="1:7" x14ac:dyDescent="0.2">
      <c r="A9" t="s">
        <v>116</v>
      </c>
      <c r="B9" s="13">
        <f>(5467+5442+5382)/3</f>
        <v>5430.333333333333</v>
      </c>
      <c r="C9" t="s">
        <v>107</v>
      </c>
    </row>
    <row r="10" spans="1:7" x14ac:dyDescent="0.2">
      <c r="A10" t="s">
        <v>117</v>
      </c>
      <c r="B10" s="13">
        <f>(208036+214295+212066)/3</f>
        <v>211465.66666666666</v>
      </c>
      <c r="C10" t="s">
        <v>107</v>
      </c>
    </row>
    <row r="11" spans="1:7" x14ac:dyDescent="0.2">
      <c r="A11" t="s">
        <v>118</v>
      </c>
      <c r="B11" s="13">
        <f>((1829+1527+1733)/3)*19</f>
        <v>32230.333333333332</v>
      </c>
      <c r="C11" s="12">
        <v>42903</v>
      </c>
    </row>
    <row r="12" spans="1:7" x14ac:dyDescent="0.2">
      <c r="A12" t="s">
        <v>119</v>
      </c>
      <c r="B12" s="13">
        <f>((13939+13902+13911)/3)*18</f>
        <v>250512</v>
      </c>
      <c r="C12" s="12">
        <v>42903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batch</vt:lpstr>
      <vt:lpstr>forR</vt:lpstr>
      <vt:lpstr>innoculationdensity</vt:lpstr>
      <vt:lpstr>stock densities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2017-06-13T11:28:34Z</dcterms:created>
  <dcterms:modified xsi:type="dcterms:W3CDTF">2019-07-01T20:00:05Z</dcterms:modified>
</cp:coreProperties>
</file>