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hannahreich/Desktop/PhD/chapters/chapter 1 - metal quotas/submission_data_code/"/>
    </mc:Choice>
  </mc:AlternateContent>
  <bookViews>
    <workbookView xWindow="28660" yWindow="460" windowWidth="22880" windowHeight="14060" activeTab="1"/>
  </bookViews>
  <sheets>
    <sheet name="specific_growth" sheetId="13" r:id="rId1"/>
    <sheet name="avg" sheetId="14" r:id="rId2"/>
    <sheet name="necro" sheetId="1" r:id="rId3"/>
    <sheet name="psygmo" sheetId="2" r:id="rId4"/>
    <sheet name="min" sheetId="3" r:id="rId5"/>
    <sheet name="Smic" sheetId="4" r:id="rId6"/>
    <sheet name="vor" sheetId="6" r:id="rId7"/>
  </sheets>
  <externalReferences>
    <externalReference r:id="rId8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0" i="6" l="1"/>
  <c r="I20" i="3"/>
  <c r="I21" i="3"/>
  <c r="I22" i="3"/>
  <c r="I99" i="3"/>
  <c r="I23" i="3"/>
  <c r="I24" i="3"/>
  <c r="I25" i="3"/>
  <c r="I100" i="3"/>
  <c r="I109" i="3"/>
  <c r="J99" i="3"/>
  <c r="J100" i="3"/>
  <c r="J109" i="3"/>
  <c r="K99" i="3"/>
  <c r="K100" i="3"/>
  <c r="K109" i="3"/>
  <c r="L99" i="3"/>
  <c r="L100" i="3"/>
  <c r="L109" i="3"/>
  <c r="M99" i="3"/>
  <c r="M100" i="3"/>
  <c r="M109" i="3"/>
  <c r="N99" i="3"/>
  <c r="N100" i="3"/>
  <c r="N109" i="3"/>
  <c r="O99" i="3"/>
  <c r="O100" i="3"/>
  <c r="O109" i="3"/>
  <c r="P20" i="3"/>
  <c r="P21" i="3"/>
  <c r="P22" i="3"/>
  <c r="P99" i="3"/>
  <c r="P23" i="3"/>
  <c r="P24" i="3"/>
  <c r="P25" i="3"/>
  <c r="P100" i="3"/>
  <c r="P109" i="3"/>
  <c r="Q20" i="3"/>
  <c r="Q21" i="3"/>
  <c r="Q22" i="3"/>
  <c r="Q99" i="3"/>
  <c r="Q23" i="3"/>
  <c r="Q24" i="3"/>
  <c r="Q25" i="3"/>
  <c r="Q100" i="3"/>
  <c r="Q109" i="3"/>
  <c r="R20" i="3"/>
  <c r="R21" i="3"/>
  <c r="R22" i="3"/>
  <c r="R99" i="3"/>
  <c r="R23" i="3"/>
  <c r="R24" i="3"/>
  <c r="R25" i="3"/>
  <c r="R100" i="3"/>
  <c r="R109" i="3"/>
  <c r="S20" i="3"/>
  <c r="S21" i="3"/>
  <c r="S22" i="3"/>
  <c r="S99" i="3"/>
  <c r="S23" i="3"/>
  <c r="S24" i="3"/>
  <c r="S25" i="3"/>
  <c r="S100" i="3"/>
  <c r="S109" i="3"/>
  <c r="T20" i="3"/>
  <c r="T21" i="3"/>
  <c r="T22" i="3"/>
  <c r="T99" i="3"/>
  <c r="T23" i="3"/>
  <c r="T24" i="3"/>
  <c r="T25" i="3"/>
  <c r="T100" i="3"/>
  <c r="T109" i="3"/>
  <c r="U20" i="3"/>
  <c r="U21" i="3"/>
  <c r="U22" i="3"/>
  <c r="U99" i="3"/>
  <c r="U23" i="3"/>
  <c r="U24" i="3"/>
  <c r="U25" i="3"/>
  <c r="U100" i="3"/>
  <c r="U109" i="3"/>
  <c r="V20" i="3"/>
  <c r="V21" i="3"/>
  <c r="V22" i="3"/>
  <c r="V99" i="3"/>
  <c r="V23" i="3"/>
  <c r="V24" i="3"/>
  <c r="V25" i="3"/>
  <c r="V100" i="3"/>
  <c r="V109" i="3"/>
  <c r="W20" i="3"/>
  <c r="W21" i="3"/>
  <c r="W22" i="3"/>
  <c r="W99" i="3"/>
  <c r="W23" i="3"/>
  <c r="W24" i="3"/>
  <c r="W25" i="3"/>
  <c r="W100" i="3"/>
  <c r="W109" i="3"/>
  <c r="X20" i="3"/>
  <c r="X21" i="3"/>
  <c r="X22" i="3"/>
  <c r="X99" i="3"/>
  <c r="X23" i="3"/>
  <c r="X24" i="3"/>
  <c r="X25" i="3"/>
  <c r="X100" i="3"/>
  <c r="X109" i="3"/>
  <c r="Y20" i="3"/>
  <c r="Y21" i="3"/>
  <c r="Y22" i="3"/>
  <c r="Y99" i="3"/>
  <c r="Y23" i="3"/>
  <c r="Y24" i="3"/>
  <c r="Y25" i="3"/>
  <c r="Y100" i="3"/>
  <c r="Y109" i="3"/>
  <c r="Z20" i="3"/>
  <c r="Z21" i="3"/>
  <c r="Z22" i="3"/>
  <c r="Z99" i="3"/>
  <c r="Z23" i="3"/>
  <c r="Z24" i="3"/>
  <c r="Z25" i="3"/>
  <c r="Z100" i="3"/>
  <c r="Z109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H20" i="3"/>
  <c r="H21" i="3"/>
  <c r="H99" i="3"/>
  <c r="H23" i="3"/>
  <c r="H24" i="3"/>
  <c r="H100" i="3"/>
  <c r="H110" i="3"/>
  <c r="H109" i="3"/>
  <c r="R20" i="6"/>
  <c r="R21" i="6"/>
  <c r="R22" i="6"/>
  <c r="R99" i="6"/>
  <c r="R23" i="6"/>
  <c r="R24" i="6"/>
  <c r="R25" i="6"/>
  <c r="R100" i="6"/>
  <c r="R26" i="6"/>
  <c r="R27" i="6"/>
  <c r="R28" i="6"/>
  <c r="R101" i="6"/>
  <c r="R110" i="6"/>
  <c r="R109" i="6"/>
  <c r="K11" i="6"/>
  <c r="K12" i="6"/>
  <c r="K13" i="6"/>
  <c r="K96" i="6"/>
  <c r="K14" i="6"/>
  <c r="K15" i="6"/>
  <c r="K16" i="6"/>
  <c r="K97" i="6"/>
  <c r="K17" i="6"/>
  <c r="K18" i="6"/>
  <c r="K19" i="6"/>
  <c r="K98" i="6"/>
  <c r="K108" i="6"/>
  <c r="K107" i="6"/>
  <c r="M2" i="6"/>
  <c r="M3" i="6"/>
  <c r="M4" i="6"/>
  <c r="M93" i="6"/>
  <c r="M5" i="6"/>
  <c r="M6" i="6"/>
  <c r="M7" i="6"/>
  <c r="M94" i="6"/>
  <c r="M8" i="6"/>
  <c r="M9" i="6"/>
  <c r="M10" i="6"/>
  <c r="M95" i="6"/>
  <c r="M112" i="6"/>
  <c r="M111" i="6"/>
  <c r="M29" i="6"/>
  <c r="M30" i="6"/>
  <c r="M31" i="6"/>
  <c r="M102" i="6"/>
  <c r="M32" i="6"/>
  <c r="M33" i="6"/>
  <c r="M34" i="6"/>
  <c r="M103" i="6"/>
  <c r="M35" i="6"/>
  <c r="M36" i="6"/>
  <c r="M37" i="6"/>
  <c r="M104" i="6"/>
  <c r="M114" i="6"/>
  <c r="M113" i="6"/>
  <c r="C96" i="6"/>
  <c r="C97" i="6"/>
  <c r="C98" i="6"/>
  <c r="C107" i="6"/>
  <c r="D96" i="6"/>
  <c r="D97" i="6"/>
  <c r="D98" i="6"/>
  <c r="D107" i="6"/>
  <c r="E96" i="6"/>
  <c r="E97" i="6"/>
  <c r="E98" i="6"/>
  <c r="E107" i="6"/>
  <c r="F96" i="6"/>
  <c r="F97" i="6"/>
  <c r="F98" i="6"/>
  <c r="F107" i="6"/>
  <c r="G96" i="6"/>
  <c r="G97" i="6"/>
  <c r="G98" i="6"/>
  <c r="G107" i="6"/>
  <c r="H96" i="6"/>
  <c r="H97" i="6"/>
  <c r="H98" i="6"/>
  <c r="H107" i="6"/>
  <c r="J11" i="6"/>
  <c r="J12" i="6"/>
  <c r="J96" i="6"/>
  <c r="J14" i="6"/>
  <c r="J15" i="6"/>
  <c r="J97" i="6"/>
  <c r="J17" i="6"/>
  <c r="J18" i="6"/>
  <c r="J98" i="6"/>
  <c r="J107" i="6"/>
  <c r="C108" i="6"/>
  <c r="D108" i="6"/>
  <c r="E108" i="6"/>
  <c r="F108" i="6"/>
  <c r="G108" i="6"/>
  <c r="H108" i="6"/>
  <c r="J108" i="6"/>
  <c r="C99" i="6"/>
  <c r="C100" i="6"/>
  <c r="C101" i="6"/>
  <c r="C109" i="6"/>
  <c r="D99" i="6"/>
  <c r="D100" i="6"/>
  <c r="D101" i="6"/>
  <c r="D109" i="6"/>
  <c r="E99" i="6"/>
  <c r="E100" i="6"/>
  <c r="E101" i="6"/>
  <c r="E109" i="6"/>
  <c r="F99" i="6"/>
  <c r="F100" i="6"/>
  <c r="F101" i="6"/>
  <c r="F109" i="6"/>
  <c r="H20" i="6"/>
  <c r="H21" i="6"/>
  <c r="H99" i="6"/>
  <c r="H23" i="6"/>
  <c r="H24" i="6"/>
  <c r="H100" i="6"/>
  <c r="H26" i="6"/>
  <c r="H27" i="6"/>
  <c r="H101" i="6"/>
  <c r="H109" i="6"/>
  <c r="I20" i="6"/>
  <c r="I21" i="6"/>
  <c r="I22" i="6"/>
  <c r="I99" i="6"/>
  <c r="I23" i="6"/>
  <c r="I24" i="6"/>
  <c r="I100" i="6"/>
  <c r="I26" i="6"/>
  <c r="I27" i="6"/>
  <c r="I101" i="6"/>
  <c r="I109" i="6"/>
  <c r="J99" i="6"/>
  <c r="J100" i="6"/>
  <c r="J101" i="6"/>
  <c r="J109" i="6"/>
  <c r="K99" i="6"/>
  <c r="K100" i="6"/>
  <c r="K101" i="6"/>
  <c r="K109" i="6"/>
  <c r="L99" i="6"/>
  <c r="L100" i="6"/>
  <c r="L101" i="6"/>
  <c r="L109" i="6"/>
  <c r="M99" i="6"/>
  <c r="M100" i="6"/>
  <c r="M101" i="6"/>
  <c r="M109" i="6"/>
  <c r="N20" i="6"/>
  <c r="N21" i="6"/>
  <c r="N22" i="6"/>
  <c r="N99" i="6"/>
  <c r="N23" i="6"/>
  <c r="N24" i="6"/>
  <c r="N25" i="6"/>
  <c r="N100" i="6"/>
  <c r="N26" i="6"/>
  <c r="N27" i="6"/>
  <c r="N28" i="6"/>
  <c r="N101" i="6"/>
  <c r="N109" i="6"/>
  <c r="O20" i="6"/>
  <c r="O21" i="6"/>
  <c r="O22" i="6"/>
  <c r="O99" i="6"/>
  <c r="O23" i="6"/>
  <c r="O24" i="6"/>
  <c r="O25" i="6"/>
  <c r="O100" i="6"/>
  <c r="O26" i="6"/>
  <c r="O27" i="6"/>
  <c r="O28" i="6"/>
  <c r="O101" i="6"/>
  <c r="O109" i="6"/>
  <c r="P20" i="6"/>
  <c r="P21" i="6"/>
  <c r="P22" i="6"/>
  <c r="P99" i="6"/>
  <c r="P23" i="6"/>
  <c r="P24" i="6"/>
  <c r="P25" i="6"/>
  <c r="P100" i="6"/>
  <c r="P26" i="6"/>
  <c r="P27" i="6"/>
  <c r="P28" i="6"/>
  <c r="P101" i="6"/>
  <c r="P109" i="6"/>
  <c r="Q20" i="6"/>
  <c r="Q21" i="6"/>
  <c r="Q22" i="6"/>
  <c r="Q99" i="6"/>
  <c r="Q23" i="6"/>
  <c r="Q24" i="6"/>
  <c r="Q25" i="6"/>
  <c r="Q100" i="6"/>
  <c r="Q26" i="6"/>
  <c r="Q27" i="6"/>
  <c r="Q28" i="6"/>
  <c r="Q101" i="6"/>
  <c r="Q109" i="6"/>
  <c r="S20" i="6"/>
  <c r="S21" i="6"/>
  <c r="S22" i="6"/>
  <c r="S99" i="6"/>
  <c r="S23" i="6"/>
  <c r="S24" i="6"/>
  <c r="S25" i="6"/>
  <c r="S100" i="6"/>
  <c r="S26" i="6"/>
  <c r="S27" i="6"/>
  <c r="S28" i="6"/>
  <c r="S101" i="6"/>
  <c r="S109" i="6"/>
  <c r="C110" i="6"/>
  <c r="D110" i="6"/>
  <c r="E110" i="6"/>
  <c r="F110" i="6"/>
  <c r="H110" i="6"/>
  <c r="I110" i="6"/>
  <c r="J110" i="6"/>
  <c r="K110" i="6"/>
  <c r="L110" i="6"/>
  <c r="M110" i="6"/>
  <c r="N110" i="6"/>
  <c r="O110" i="6"/>
  <c r="P110" i="6"/>
  <c r="Q110" i="6"/>
  <c r="S110" i="6"/>
  <c r="C93" i="6"/>
  <c r="C94" i="6"/>
  <c r="C95" i="6"/>
  <c r="C111" i="6"/>
  <c r="D93" i="6"/>
  <c r="D94" i="6"/>
  <c r="D95" i="6"/>
  <c r="D111" i="6"/>
  <c r="E93" i="6"/>
  <c r="E94" i="6"/>
  <c r="E95" i="6"/>
  <c r="E111" i="6"/>
  <c r="F93" i="6"/>
  <c r="F94" i="6"/>
  <c r="F95" i="6"/>
  <c r="F111" i="6"/>
  <c r="G93" i="6"/>
  <c r="G94" i="6"/>
  <c r="G95" i="6"/>
  <c r="G111" i="6"/>
  <c r="H93" i="6"/>
  <c r="H94" i="6"/>
  <c r="H95" i="6"/>
  <c r="H111" i="6"/>
  <c r="J2" i="6"/>
  <c r="J3" i="6"/>
  <c r="J93" i="6"/>
  <c r="J5" i="6"/>
  <c r="J6" i="6"/>
  <c r="J94" i="6"/>
  <c r="J8" i="6"/>
  <c r="J9" i="6"/>
  <c r="J95" i="6"/>
  <c r="J111" i="6"/>
  <c r="K2" i="6"/>
  <c r="K3" i="6"/>
  <c r="K4" i="6"/>
  <c r="K93" i="6"/>
  <c r="K5" i="6"/>
  <c r="K6" i="6"/>
  <c r="K7" i="6"/>
  <c r="K94" i="6"/>
  <c r="K8" i="6"/>
  <c r="K9" i="6"/>
  <c r="K10" i="6"/>
  <c r="K95" i="6"/>
  <c r="K111" i="6"/>
  <c r="L2" i="6"/>
  <c r="L3" i="6"/>
  <c r="L4" i="6"/>
  <c r="L93" i="6"/>
  <c r="L5" i="6"/>
  <c r="L6" i="6"/>
  <c r="L7" i="6"/>
  <c r="L94" i="6"/>
  <c r="L8" i="6"/>
  <c r="L9" i="6"/>
  <c r="L10" i="6"/>
  <c r="L95" i="6"/>
  <c r="L111" i="6"/>
  <c r="C112" i="6"/>
  <c r="D112" i="6"/>
  <c r="E112" i="6"/>
  <c r="F112" i="6"/>
  <c r="G112" i="6"/>
  <c r="H112" i="6"/>
  <c r="J112" i="6"/>
  <c r="K112" i="6"/>
  <c r="L112" i="6"/>
  <c r="C29" i="6"/>
  <c r="C30" i="6"/>
  <c r="C31" i="6"/>
  <c r="C102" i="6"/>
  <c r="C32" i="6"/>
  <c r="C33" i="6"/>
  <c r="C34" i="6"/>
  <c r="C103" i="6"/>
  <c r="C35" i="6"/>
  <c r="C36" i="6"/>
  <c r="C37" i="6"/>
  <c r="C104" i="6"/>
  <c r="C113" i="6"/>
  <c r="D102" i="6"/>
  <c r="D103" i="6"/>
  <c r="D104" i="6"/>
  <c r="D113" i="6"/>
  <c r="E102" i="6"/>
  <c r="E103" i="6"/>
  <c r="E104" i="6"/>
  <c r="E113" i="6"/>
  <c r="F102" i="6"/>
  <c r="F103" i="6"/>
  <c r="F104" i="6"/>
  <c r="F113" i="6"/>
  <c r="G102" i="6"/>
  <c r="G103" i="6"/>
  <c r="G104" i="6"/>
  <c r="G113" i="6"/>
  <c r="H29" i="6"/>
  <c r="H30" i="6"/>
  <c r="H31" i="6"/>
  <c r="H102" i="6"/>
  <c r="H32" i="6"/>
  <c r="H33" i="6"/>
  <c r="H34" i="6"/>
  <c r="H103" i="6"/>
  <c r="H35" i="6"/>
  <c r="H36" i="6"/>
  <c r="H37" i="6"/>
  <c r="H104" i="6"/>
  <c r="H113" i="6"/>
  <c r="I29" i="6"/>
  <c r="I30" i="6"/>
  <c r="I31" i="6"/>
  <c r="I102" i="6"/>
  <c r="I32" i="6"/>
  <c r="I33" i="6"/>
  <c r="I34" i="6"/>
  <c r="I103" i="6"/>
  <c r="I35" i="6"/>
  <c r="I36" i="6"/>
  <c r="I37" i="6"/>
  <c r="I104" i="6"/>
  <c r="I113" i="6"/>
  <c r="J29" i="6"/>
  <c r="J30" i="6"/>
  <c r="J31" i="6"/>
  <c r="J102" i="6"/>
  <c r="J32" i="6"/>
  <c r="J33" i="6"/>
  <c r="J34" i="6"/>
  <c r="J103" i="6"/>
  <c r="J35" i="6"/>
  <c r="J36" i="6"/>
  <c r="J37" i="6"/>
  <c r="J104" i="6"/>
  <c r="J113" i="6"/>
  <c r="K29" i="6"/>
  <c r="K30" i="6"/>
  <c r="K31" i="6"/>
  <c r="K102" i="6"/>
  <c r="K32" i="6"/>
  <c r="K33" i="6"/>
  <c r="K34" i="6"/>
  <c r="K103" i="6"/>
  <c r="K35" i="6"/>
  <c r="K36" i="6"/>
  <c r="K37" i="6"/>
  <c r="K104" i="6"/>
  <c r="K113" i="6"/>
  <c r="L29" i="6"/>
  <c r="L30" i="6"/>
  <c r="L31" i="6"/>
  <c r="L102" i="6"/>
  <c r="L32" i="6"/>
  <c r="L33" i="6"/>
  <c r="L34" i="6"/>
  <c r="L103" i="6"/>
  <c r="L35" i="6"/>
  <c r="L36" i="6"/>
  <c r="L37" i="6"/>
  <c r="L104" i="6"/>
  <c r="L113" i="6"/>
  <c r="C114" i="6"/>
  <c r="D114" i="6"/>
  <c r="E114" i="6"/>
  <c r="F114" i="6"/>
  <c r="G114" i="6"/>
  <c r="H114" i="6"/>
  <c r="I114" i="6"/>
  <c r="J114" i="6"/>
  <c r="K114" i="6"/>
  <c r="L114" i="6"/>
  <c r="B29" i="6"/>
  <c r="B30" i="6"/>
  <c r="B31" i="6"/>
  <c r="B102" i="6"/>
  <c r="B32" i="6"/>
  <c r="B33" i="6"/>
  <c r="B34" i="6"/>
  <c r="B103" i="6"/>
  <c r="B35" i="6"/>
  <c r="B36" i="6"/>
  <c r="B37" i="6"/>
  <c r="B104" i="6"/>
  <c r="B114" i="6"/>
  <c r="B2" i="6"/>
  <c r="B3" i="6"/>
  <c r="B4" i="6"/>
  <c r="B93" i="6"/>
  <c r="B5" i="6"/>
  <c r="B6" i="6"/>
  <c r="B7" i="6"/>
  <c r="B94" i="6"/>
  <c r="B8" i="6"/>
  <c r="B9" i="6"/>
  <c r="B10" i="6"/>
  <c r="B95" i="6"/>
  <c r="B112" i="6"/>
  <c r="B99" i="6"/>
  <c r="B100" i="6"/>
  <c r="B101" i="6"/>
  <c r="B110" i="6"/>
  <c r="B113" i="6"/>
  <c r="B111" i="6"/>
  <c r="B109" i="6"/>
  <c r="B11" i="6"/>
  <c r="B12" i="6"/>
  <c r="B13" i="6"/>
  <c r="B96" i="6"/>
  <c r="B14" i="6"/>
  <c r="B15" i="6"/>
  <c r="B16" i="6"/>
  <c r="B97" i="6"/>
  <c r="B17" i="6"/>
  <c r="B18" i="6"/>
  <c r="B19" i="6"/>
  <c r="B98" i="6"/>
  <c r="B108" i="6"/>
  <c r="B107" i="6"/>
  <c r="O20" i="2"/>
  <c r="O21" i="2"/>
  <c r="O22" i="2"/>
  <c r="O99" i="2"/>
  <c r="B2" i="4"/>
  <c r="B3" i="4"/>
  <c r="B4" i="4"/>
  <c r="B93" i="4"/>
  <c r="J93" i="4"/>
  <c r="J94" i="4"/>
  <c r="J95" i="4"/>
  <c r="J107" i="4"/>
  <c r="O11" i="4"/>
  <c r="O12" i="4"/>
  <c r="O13" i="4"/>
  <c r="O96" i="4"/>
  <c r="O14" i="4"/>
  <c r="O15" i="4"/>
  <c r="O16" i="4"/>
  <c r="O97" i="4"/>
  <c r="O17" i="4"/>
  <c r="O18" i="4"/>
  <c r="O19" i="4"/>
  <c r="O98" i="4"/>
  <c r="O112" i="4"/>
  <c r="O111" i="4"/>
  <c r="M29" i="4"/>
  <c r="M30" i="4"/>
  <c r="M31" i="4"/>
  <c r="M102" i="4"/>
  <c r="M32" i="4"/>
  <c r="M33" i="4"/>
  <c r="M34" i="4"/>
  <c r="M103" i="4"/>
  <c r="M35" i="4"/>
  <c r="M36" i="4"/>
  <c r="M37" i="4"/>
  <c r="M104" i="4"/>
  <c r="M114" i="4"/>
  <c r="M113" i="4"/>
  <c r="S20" i="4"/>
  <c r="S21" i="4"/>
  <c r="S22" i="4"/>
  <c r="S99" i="4"/>
  <c r="S23" i="4"/>
  <c r="S24" i="4"/>
  <c r="S25" i="4"/>
  <c r="S100" i="4"/>
  <c r="S26" i="4"/>
  <c r="S27" i="4"/>
  <c r="S28" i="4"/>
  <c r="S101" i="4"/>
  <c r="S110" i="4"/>
  <c r="S109" i="4"/>
  <c r="C93" i="4"/>
  <c r="C94" i="4"/>
  <c r="C95" i="4"/>
  <c r="C107" i="4"/>
  <c r="D93" i="4"/>
  <c r="D94" i="4"/>
  <c r="D95" i="4"/>
  <c r="D107" i="4"/>
  <c r="E93" i="4"/>
  <c r="E94" i="4"/>
  <c r="E95" i="4"/>
  <c r="E107" i="4"/>
  <c r="F93" i="4"/>
  <c r="F94" i="4"/>
  <c r="F95" i="4"/>
  <c r="F107" i="4"/>
  <c r="G93" i="4"/>
  <c r="G94" i="4"/>
  <c r="G95" i="4"/>
  <c r="G107" i="4"/>
  <c r="H93" i="4"/>
  <c r="H94" i="4"/>
  <c r="H95" i="4"/>
  <c r="H107" i="4"/>
  <c r="I93" i="4"/>
  <c r="I94" i="4"/>
  <c r="I95" i="4"/>
  <c r="I107" i="4"/>
  <c r="C108" i="4"/>
  <c r="D108" i="4"/>
  <c r="E108" i="4"/>
  <c r="F108" i="4"/>
  <c r="G108" i="4"/>
  <c r="H108" i="4"/>
  <c r="I108" i="4"/>
  <c r="J108" i="4"/>
  <c r="C99" i="4"/>
  <c r="C100" i="4"/>
  <c r="C101" i="4"/>
  <c r="C109" i="4"/>
  <c r="D99" i="4"/>
  <c r="D100" i="4"/>
  <c r="D101" i="4"/>
  <c r="D109" i="4"/>
  <c r="E99" i="4"/>
  <c r="E100" i="4"/>
  <c r="E101" i="4"/>
  <c r="E109" i="4"/>
  <c r="F99" i="4"/>
  <c r="F100" i="4"/>
  <c r="F101" i="4"/>
  <c r="F109" i="4"/>
  <c r="G99" i="4"/>
  <c r="G100" i="4"/>
  <c r="G101" i="4"/>
  <c r="G109" i="4"/>
  <c r="H99" i="4"/>
  <c r="H100" i="4"/>
  <c r="H101" i="4"/>
  <c r="H109" i="4"/>
  <c r="I99" i="4"/>
  <c r="I100" i="4"/>
  <c r="I101" i="4"/>
  <c r="I109" i="4"/>
  <c r="J99" i="4"/>
  <c r="J100" i="4"/>
  <c r="J101" i="4"/>
  <c r="J109" i="4"/>
  <c r="K99" i="4"/>
  <c r="K100" i="4"/>
  <c r="K101" i="4"/>
  <c r="K109" i="4"/>
  <c r="L99" i="4"/>
  <c r="L100" i="4"/>
  <c r="L101" i="4"/>
  <c r="L109" i="4"/>
  <c r="M20" i="4"/>
  <c r="M21" i="4"/>
  <c r="M22" i="4"/>
  <c r="M99" i="4"/>
  <c r="M23" i="4"/>
  <c r="M24" i="4"/>
  <c r="M25" i="4"/>
  <c r="M100" i="4"/>
  <c r="M26" i="4"/>
  <c r="M27" i="4"/>
  <c r="M28" i="4"/>
  <c r="M101" i="4"/>
  <c r="M109" i="4"/>
  <c r="N20" i="4"/>
  <c r="N21" i="4"/>
  <c r="N22" i="4"/>
  <c r="N99" i="4"/>
  <c r="N23" i="4"/>
  <c r="N24" i="4"/>
  <c r="N25" i="4"/>
  <c r="N100" i="4"/>
  <c r="N26" i="4"/>
  <c r="N27" i="4"/>
  <c r="N28" i="4"/>
  <c r="N101" i="4"/>
  <c r="N109" i="4"/>
  <c r="O20" i="4"/>
  <c r="O21" i="4"/>
  <c r="O22" i="4"/>
  <c r="O99" i="4"/>
  <c r="O23" i="4"/>
  <c r="O24" i="4"/>
  <c r="O25" i="4"/>
  <c r="O100" i="4"/>
  <c r="O26" i="4"/>
  <c r="O27" i="4"/>
  <c r="O28" i="4"/>
  <c r="O101" i="4"/>
  <c r="O109" i="4"/>
  <c r="P20" i="4"/>
  <c r="P21" i="4"/>
  <c r="P22" i="4"/>
  <c r="P99" i="4"/>
  <c r="P23" i="4"/>
  <c r="P24" i="4"/>
  <c r="P25" i="4"/>
  <c r="P100" i="4"/>
  <c r="P26" i="4"/>
  <c r="P27" i="4"/>
  <c r="P28" i="4"/>
  <c r="P101" i="4"/>
  <c r="P109" i="4"/>
  <c r="Q20" i="4"/>
  <c r="Q21" i="4"/>
  <c r="Q22" i="4"/>
  <c r="Q99" i="4"/>
  <c r="Q23" i="4"/>
  <c r="Q24" i="4"/>
  <c r="Q25" i="4"/>
  <c r="Q100" i="4"/>
  <c r="Q26" i="4"/>
  <c r="Q27" i="4"/>
  <c r="Q28" i="4"/>
  <c r="Q101" i="4"/>
  <c r="Q109" i="4"/>
  <c r="R20" i="4"/>
  <c r="R21" i="4"/>
  <c r="R22" i="4"/>
  <c r="R99" i="4"/>
  <c r="R23" i="4"/>
  <c r="R24" i="4"/>
  <c r="R25" i="4"/>
  <c r="R100" i="4"/>
  <c r="R26" i="4"/>
  <c r="R27" i="4"/>
  <c r="R28" i="4"/>
  <c r="R101" i="4"/>
  <c r="R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C96" i="4"/>
  <c r="C97" i="4"/>
  <c r="C98" i="4"/>
  <c r="C111" i="4"/>
  <c r="D96" i="4"/>
  <c r="D97" i="4"/>
  <c r="D98" i="4"/>
  <c r="D111" i="4"/>
  <c r="E96" i="4"/>
  <c r="E97" i="4"/>
  <c r="E98" i="4"/>
  <c r="E111" i="4"/>
  <c r="F96" i="4"/>
  <c r="F97" i="4"/>
  <c r="F98" i="4"/>
  <c r="F111" i="4"/>
  <c r="G96" i="4"/>
  <c r="G97" i="4"/>
  <c r="G98" i="4"/>
  <c r="G111" i="4"/>
  <c r="H96" i="4"/>
  <c r="H97" i="4"/>
  <c r="H98" i="4"/>
  <c r="H111" i="4"/>
  <c r="I96" i="4"/>
  <c r="I97" i="4"/>
  <c r="I98" i="4"/>
  <c r="I111" i="4"/>
  <c r="J96" i="4"/>
  <c r="J97" i="4"/>
  <c r="J98" i="4"/>
  <c r="J111" i="4"/>
  <c r="K11" i="4"/>
  <c r="K12" i="4"/>
  <c r="K13" i="4"/>
  <c r="K96" i="4"/>
  <c r="K14" i="4"/>
  <c r="K15" i="4"/>
  <c r="K16" i="4"/>
  <c r="K97" i="4"/>
  <c r="K17" i="4"/>
  <c r="K18" i="4"/>
  <c r="K19" i="4"/>
  <c r="K98" i="4"/>
  <c r="K111" i="4"/>
  <c r="L11" i="4"/>
  <c r="L12" i="4"/>
  <c r="L13" i="4"/>
  <c r="L96" i="4"/>
  <c r="L14" i="4"/>
  <c r="L15" i="4"/>
  <c r="L16" i="4"/>
  <c r="L97" i="4"/>
  <c r="L17" i="4"/>
  <c r="L18" i="4"/>
  <c r="L19" i="4"/>
  <c r="L98" i="4"/>
  <c r="L111" i="4"/>
  <c r="M11" i="4"/>
  <c r="M12" i="4"/>
  <c r="M13" i="4"/>
  <c r="M96" i="4"/>
  <c r="M14" i="4"/>
  <c r="M15" i="4"/>
  <c r="M16" i="4"/>
  <c r="M97" i="4"/>
  <c r="M17" i="4"/>
  <c r="M18" i="4"/>
  <c r="M19" i="4"/>
  <c r="M98" i="4"/>
  <c r="M111" i="4"/>
  <c r="N11" i="4"/>
  <c r="N12" i="4"/>
  <c r="N13" i="4"/>
  <c r="N96" i="4"/>
  <c r="N14" i="4"/>
  <c r="N15" i="4"/>
  <c r="N16" i="4"/>
  <c r="N97" i="4"/>
  <c r="N17" i="4"/>
  <c r="N18" i="4"/>
  <c r="N19" i="4"/>
  <c r="N98" i="4"/>
  <c r="N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C29" i="4"/>
  <c r="C30" i="4"/>
  <c r="C31" i="4"/>
  <c r="C102" i="4"/>
  <c r="C32" i="4"/>
  <c r="C33" i="4"/>
  <c r="C34" i="4"/>
  <c r="C103" i="4"/>
  <c r="C35" i="4"/>
  <c r="C36" i="4"/>
  <c r="C37" i="4"/>
  <c r="C104" i="4"/>
  <c r="C113" i="4"/>
  <c r="D102" i="4"/>
  <c r="D103" i="4"/>
  <c r="D104" i="4"/>
  <c r="D113" i="4"/>
  <c r="E102" i="4"/>
  <c r="E103" i="4"/>
  <c r="E104" i="4"/>
  <c r="E113" i="4"/>
  <c r="F102" i="4"/>
  <c r="F103" i="4"/>
  <c r="F104" i="4"/>
  <c r="F113" i="4"/>
  <c r="G29" i="4"/>
  <c r="G30" i="4"/>
  <c r="G31" i="4"/>
  <c r="G102" i="4"/>
  <c r="G32" i="4"/>
  <c r="G33" i="4"/>
  <c r="G34" i="4"/>
  <c r="G103" i="4"/>
  <c r="G35" i="4"/>
  <c r="G36" i="4"/>
  <c r="G37" i="4"/>
  <c r="G104" i="4"/>
  <c r="G113" i="4"/>
  <c r="H29" i="4"/>
  <c r="H30" i="4"/>
  <c r="H31" i="4"/>
  <c r="H102" i="4"/>
  <c r="H32" i="4"/>
  <c r="H33" i="4"/>
  <c r="H34" i="4"/>
  <c r="H103" i="4"/>
  <c r="H35" i="4"/>
  <c r="H36" i="4"/>
  <c r="H37" i="4"/>
  <c r="H104" i="4"/>
  <c r="H113" i="4"/>
  <c r="I29" i="4"/>
  <c r="I30" i="4"/>
  <c r="I31" i="4"/>
  <c r="I102" i="4"/>
  <c r="I32" i="4"/>
  <c r="I33" i="4"/>
  <c r="I34" i="4"/>
  <c r="I103" i="4"/>
  <c r="I35" i="4"/>
  <c r="I36" i="4"/>
  <c r="I37" i="4"/>
  <c r="I104" i="4"/>
  <c r="I113" i="4"/>
  <c r="J29" i="4"/>
  <c r="J30" i="4"/>
  <c r="J31" i="4"/>
  <c r="J102" i="4"/>
  <c r="J32" i="4"/>
  <c r="J33" i="4"/>
  <c r="J34" i="4"/>
  <c r="J103" i="4"/>
  <c r="J35" i="4"/>
  <c r="J36" i="4"/>
  <c r="J37" i="4"/>
  <c r="J104" i="4"/>
  <c r="J113" i="4"/>
  <c r="K29" i="4"/>
  <c r="K30" i="4"/>
  <c r="K31" i="4"/>
  <c r="K102" i="4"/>
  <c r="K32" i="4"/>
  <c r="K33" i="4"/>
  <c r="K34" i="4"/>
  <c r="K103" i="4"/>
  <c r="K35" i="4"/>
  <c r="K36" i="4"/>
  <c r="K37" i="4"/>
  <c r="K104" i="4"/>
  <c r="K113" i="4"/>
  <c r="L29" i="4"/>
  <c r="L30" i="4"/>
  <c r="L31" i="4"/>
  <c r="L102" i="4"/>
  <c r="L32" i="4"/>
  <c r="L33" i="4"/>
  <c r="L34" i="4"/>
  <c r="L103" i="4"/>
  <c r="L35" i="4"/>
  <c r="L36" i="4"/>
  <c r="L37" i="4"/>
  <c r="L104" i="4"/>
  <c r="L113" i="4"/>
  <c r="C114" i="4"/>
  <c r="D114" i="4"/>
  <c r="E114" i="4"/>
  <c r="F114" i="4"/>
  <c r="G114" i="4"/>
  <c r="H114" i="4"/>
  <c r="I114" i="4"/>
  <c r="J114" i="4"/>
  <c r="K114" i="4"/>
  <c r="L114" i="4"/>
  <c r="B29" i="4"/>
  <c r="B30" i="4"/>
  <c r="B31" i="4"/>
  <c r="B102" i="4"/>
  <c r="B32" i="4"/>
  <c r="B33" i="4"/>
  <c r="B34" i="4"/>
  <c r="B103" i="4"/>
  <c r="B35" i="4"/>
  <c r="B36" i="4"/>
  <c r="B37" i="4"/>
  <c r="B104" i="4"/>
  <c r="B114" i="4"/>
  <c r="B113" i="4"/>
  <c r="B20" i="4"/>
  <c r="B21" i="4"/>
  <c r="B22" i="4"/>
  <c r="B99" i="4"/>
  <c r="B23" i="4"/>
  <c r="B24" i="4"/>
  <c r="B25" i="4"/>
  <c r="B100" i="4"/>
  <c r="B26" i="4"/>
  <c r="B27" i="4"/>
  <c r="B28" i="4"/>
  <c r="B101" i="4"/>
  <c r="B110" i="4"/>
  <c r="B109" i="4"/>
  <c r="B5" i="4"/>
  <c r="B6" i="4"/>
  <c r="B7" i="4"/>
  <c r="B94" i="4"/>
  <c r="B8" i="4"/>
  <c r="B9" i="4"/>
  <c r="B10" i="4"/>
  <c r="B95" i="4"/>
  <c r="B107" i="4"/>
  <c r="B11" i="4"/>
  <c r="B12" i="4"/>
  <c r="B13" i="4"/>
  <c r="B96" i="4"/>
  <c r="B14" i="4"/>
  <c r="B15" i="4"/>
  <c r="B16" i="4"/>
  <c r="B97" i="4"/>
  <c r="B17" i="4"/>
  <c r="B18" i="4"/>
  <c r="B19" i="4"/>
  <c r="B98" i="4"/>
  <c r="B112" i="4"/>
  <c r="B111" i="4"/>
  <c r="B108" i="4"/>
  <c r="Q29" i="3"/>
  <c r="Q30" i="3"/>
  <c r="Q31" i="3"/>
  <c r="Q102" i="3"/>
  <c r="Q32" i="3"/>
  <c r="Q33" i="3"/>
  <c r="Q34" i="3"/>
  <c r="Q103" i="3"/>
  <c r="Q35" i="3"/>
  <c r="Q36" i="3"/>
  <c r="Q37" i="3"/>
  <c r="Q104" i="3"/>
  <c r="Q113" i="3"/>
  <c r="S11" i="3"/>
  <c r="S12" i="3"/>
  <c r="S13" i="3"/>
  <c r="S96" i="3"/>
  <c r="S14" i="3"/>
  <c r="S15" i="3"/>
  <c r="S16" i="3"/>
  <c r="S97" i="3"/>
  <c r="S17" i="3"/>
  <c r="S18" i="3"/>
  <c r="S19" i="3"/>
  <c r="S98" i="3"/>
  <c r="S111" i="3"/>
  <c r="K93" i="3"/>
  <c r="K94" i="3"/>
  <c r="K95" i="3"/>
  <c r="K107" i="3"/>
  <c r="T26" i="3"/>
  <c r="T27" i="3"/>
  <c r="T28" i="3"/>
  <c r="T101" i="3"/>
  <c r="C93" i="3"/>
  <c r="C94" i="3"/>
  <c r="C95" i="3"/>
  <c r="C107" i="3"/>
  <c r="D93" i="3"/>
  <c r="D94" i="3"/>
  <c r="D95" i="3"/>
  <c r="D107" i="3"/>
  <c r="E93" i="3"/>
  <c r="E94" i="3"/>
  <c r="E95" i="3"/>
  <c r="E107" i="3"/>
  <c r="F93" i="3"/>
  <c r="F94" i="3"/>
  <c r="F95" i="3"/>
  <c r="F107" i="3"/>
  <c r="G93" i="3"/>
  <c r="G94" i="3"/>
  <c r="G95" i="3"/>
  <c r="G107" i="3"/>
  <c r="H93" i="3"/>
  <c r="H94" i="3"/>
  <c r="H95" i="3"/>
  <c r="H107" i="3"/>
  <c r="I93" i="3"/>
  <c r="I94" i="3"/>
  <c r="I95" i="3"/>
  <c r="I107" i="3"/>
  <c r="J93" i="3"/>
  <c r="J94" i="3"/>
  <c r="J95" i="3"/>
  <c r="J107" i="3"/>
  <c r="C108" i="3"/>
  <c r="D108" i="3"/>
  <c r="E108" i="3"/>
  <c r="F108" i="3"/>
  <c r="G108" i="3"/>
  <c r="H108" i="3"/>
  <c r="I108" i="3"/>
  <c r="J108" i="3"/>
  <c r="K108" i="3"/>
  <c r="C99" i="3"/>
  <c r="C100" i="3"/>
  <c r="C101" i="3"/>
  <c r="C109" i="3"/>
  <c r="D99" i="3"/>
  <c r="D100" i="3"/>
  <c r="D101" i="3"/>
  <c r="D109" i="3"/>
  <c r="E99" i="3"/>
  <c r="E100" i="3"/>
  <c r="E101" i="3"/>
  <c r="E109" i="3"/>
  <c r="F99" i="3"/>
  <c r="F100" i="3"/>
  <c r="F101" i="3"/>
  <c r="F109" i="3"/>
  <c r="H26" i="3"/>
  <c r="H27" i="3"/>
  <c r="H28" i="3"/>
  <c r="H101" i="3"/>
  <c r="I26" i="3"/>
  <c r="I27" i="3"/>
  <c r="I28" i="3"/>
  <c r="I101" i="3"/>
  <c r="J101" i="3"/>
  <c r="K101" i="3"/>
  <c r="L101" i="3"/>
  <c r="M101" i="3"/>
  <c r="N101" i="3"/>
  <c r="O26" i="3"/>
  <c r="O27" i="3"/>
  <c r="O28" i="3"/>
  <c r="O101" i="3"/>
  <c r="P26" i="3"/>
  <c r="P27" i="3"/>
  <c r="P28" i="3"/>
  <c r="P101" i="3"/>
  <c r="Q26" i="3"/>
  <c r="Q27" i="3"/>
  <c r="Q28" i="3"/>
  <c r="Q101" i="3"/>
  <c r="R26" i="3"/>
  <c r="R27" i="3"/>
  <c r="R28" i="3"/>
  <c r="R101" i="3"/>
  <c r="S26" i="3"/>
  <c r="S27" i="3"/>
  <c r="S28" i="3"/>
  <c r="S101" i="3"/>
  <c r="U26" i="3"/>
  <c r="U27" i="3"/>
  <c r="U28" i="3"/>
  <c r="U101" i="3"/>
  <c r="V26" i="3"/>
  <c r="V27" i="3"/>
  <c r="V28" i="3"/>
  <c r="V101" i="3"/>
  <c r="W26" i="3"/>
  <c r="W27" i="3"/>
  <c r="W28" i="3"/>
  <c r="W101" i="3"/>
  <c r="X26" i="3"/>
  <c r="X27" i="3"/>
  <c r="X28" i="3"/>
  <c r="X101" i="3"/>
  <c r="Y26" i="3"/>
  <c r="Y27" i="3"/>
  <c r="Y28" i="3"/>
  <c r="Y101" i="3"/>
  <c r="Z26" i="3"/>
  <c r="Z27" i="3"/>
  <c r="Z28" i="3"/>
  <c r="Z101" i="3"/>
  <c r="C110" i="3"/>
  <c r="D110" i="3"/>
  <c r="E110" i="3"/>
  <c r="F110" i="3"/>
  <c r="C96" i="3"/>
  <c r="C97" i="3"/>
  <c r="C98" i="3"/>
  <c r="C111" i="3"/>
  <c r="D96" i="3"/>
  <c r="D97" i="3"/>
  <c r="D98" i="3"/>
  <c r="D111" i="3"/>
  <c r="E96" i="3"/>
  <c r="E97" i="3"/>
  <c r="E98" i="3"/>
  <c r="E111" i="3"/>
  <c r="F96" i="3"/>
  <c r="F97" i="3"/>
  <c r="F98" i="3"/>
  <c r="F111" i="3"/>
  <c r="G96" i="3"/>
  <c r="G97" i="3"/>
  <c r="G98" i="3"/>
  <c r="G111" i="3"/>
  <c r="H96" i="3"/>
  <c r="H97" i="3"/>
  <c r="H98" i="3"/>
  <c r="H111" i="3"/>
  <c r="I96" i="3"/>
  <c r="I97" i="3"/>
  <c r="I98" i="3"/>
  <c r="I111" i="3"/>
  <c r="J96" i="3"/>
  <c r="J97" i="3"/>
  <c r="J98" i="3"/>
  <c r="J111" i="3"/>
  <c r="K96" i="3"/>
  <c r="K97" i="3"/>
  <c r="K98" i="3"/>
  <c r="K111" i="3"/>
  <c r="L11" i="3"/>
  <c r="L12" i="3"/>
  <c r="L13" i="3"/>
  <c r="L96" i="3"/>
  <c r="L14" i="3"/>
  <c r="L15" i="3"/>
  <c r="L16" i="3"/>
  <c r="L97" i="3"/>
  <c r="L17" i="3"/>
  <c r="L18" i="3"/>
  <c r="L19" i="3"/>
  <c r="L98" i="3"/>
  <c r="L111" i="3"/>
  <c r="M11" i="3"/>
  <c r="M12" i="3"/>
  <c r="M13" i="3"/>
  <c r="M96" i="3"/>
  <c r="M14" i="3"/>
  <c r="M15" i="3"/>
  <c r="M16" i="3"/>
  <c r="M97" i="3"/>
  <c r="M17" i="3"/>
  <c r="M18" i="3"/>
  <c r="M19" i="3"/>
  <c r="M98" i="3"/>
  <c r="M111" i="3"/>
  <c r="N11" i="3"/>
  <c r="N12" i="3"/>
  <c r="N13" i="3"/>
  <c r="N96" i="3"/>
  <c r="N14" i="3"/>
  <c r="N15" i="3"/>
  <c r="N16" i="3"/>
  <c r="N97" i="3"/>
  <c r="N17" i="3"/>
  <c r="N18" i="3"/>
  <c r="N19" i="3"/>
  <c r="N98" i="3"/>
  <c r="N111" i="3"/>
  <c r="O11" i="3"/>
  <c r="O12" i="3"/>
  <c r="O13" i="3"/>
  <c r="O96" i="3"/>
  <c r="O14" i="3"/>
  <c r="O15" i="3"/>
  <c r="O16" i="3"/>
  <c r="O97" i="3"/>
  <c r="O17" i="3"/>
  <c r="O18" i="3"/>
  <c r="O19" i="3"/>
  <c r="O98" i="3"/>
  <c r="O111" i="3"/>
  <c r="P11" i="3"/>
  <c r="P12" i="3"/>
  <c r="P13" i="3"/>
  <c r="P96" i="3"/>
  <c r="P14" i="3"/>
  <c r="P15" i="3"/>
  <c r="P16" i="3"/>
  <c r="P97" i="3"/>
  <c r="P17" i="3"/>
  <c r="P18" i="3"/>
  <c r="P19" i="3"/>
  <c r="P98" i="3"/>
  <c r="P111" i="3"/>
  <c r="Q11" i="3"/>
  <c r="Q12" i="3"/>
  <c r="Q13" i="3"/>
  <c r="Q96" i="3"/>
  <c r="Q14" i="3"/>
  <c r="Q15" i="3"/>
  <c r="Q16" i="3"/>
  <c r="Q97" i="3"/>
  <c r="Q17" i="3"/>
  <c r="Q18" i="3"/>
  <c r="Q19" i="3"/>
  <c r="Q98" i="3"/>
  <c r="Q111" i="3"/>
  <c r="R11" i="3"/>
  <c r="R12" i="3"/>
  <c r="R13" i="3"/>
  <c r="R96" i="3"/>
  <c r="R14" i="3"/>
  <c r="R15" i="3"/>
  <c r="R16" i="3"/>
  <c r="R97" i="3"/>
  <c r="R17" i="3"/>
  <c r="R18" i="3"/>
  <c r="R19" i="3"/>
  <c r="R98" i="3"/>
  <c r="R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C29" i="3"/>
  <c r="C30" i="3"/>
  <c r="C102" i="3"/>
  <c r="C32" i="3"/>
  <c r="C33" i="3"/>
  <c r="C103" i="3"/>
  <c r="C35" i="3"/>
  <c r="C36" i="3"/>
  <c r="C104" i="3"/>
  <c r="C113" i="3"/>
  <c r="D102" i="3"/>
  <c r="D103" i="3"/>
  <c r="D104" i="3"/>
  <c r="D113" i="3"/>
  <c r="E102" i="3"/>
  <c r="E103" i="3"/>
  <c r="E104" i="3"/>
  <c r="E113" i="3"/>
  <c r="F102" i="3"/>
  <c r="F103" i="3"/>
  <c r="F104" i="3"/>
  <c r="F113" i="3"/>
  <c r="G102" i="3"/>
  <c r="G103" i="3"/>
  <c r="G104" i="3"/>
  <c r="G113" i="3"/>
  <c r="H102" i="3"/>
  <c r="H103" i="3"/>
  <c r="H104" i="3"/>
  <c r="H113" i="3"/>
  <c r="I29" i="3"/>
  <c r="I30" i="3"/>
  <c r="I31" i="3"/>
  <c r="I102" i="3"/>
  <c r="I32" i="3"/>
  <c r="I33" i="3"/>
  <c r="I34" i="3"/>
  <c r="I103" i="3"/>
  <c r="I35" i="3"/>
  <c r="I36" i="3"/>
  <c r="I37" i="3"/>
  <c r="I104" i="3"/>
  <c r="I113" i="3"/>
  <c r="J29" i="3"/>
  <c r="J30" i="3"/>
  <c r="J31" i="3"/>
  <c r="J102" i="3"/>
  <c r="J32" i="3"/>
  <c r="J33" i="3"/>
  <c r="J34" i="3"/>
  <c r="J103" i="3"/>
  <c r="J35" i="3"/>
  <c r="J36" i="3"/>
  <c r="J37" i="3"/>
  <c r="J104" i="3"/>
  <c r="J113" i="3"/>
  <c r="K29" i="3"/>
  <c r="K30" i="3"/>
  <c r="K31" i="3"/>
  <c r="K102" i="3"/>
  <c r="K32" i="3"/>
  <c r="K33" i="3"/>
  <c r="K34" i="3"/>
  <c r="K103" i="3"/>
  <c r="K35" i="3"/>
  <c r="K36" i="3"/>
  <c r="K37" i="3"/>
  <c r="K104" i="3"/>
  <c r="K113" i="3"/>
  <c r="L29" i="3"/>
  <c r="L30" i="3"/>
  <c r="L31" i="3"/>
  <c r="L102" i="3"/>
  <c r="L32" i="3"/>
  <c r="L33" i="3"/>
  <c r="L34" i="3"/>
  <c r="L103" i="3"/>
  <c r="L35" i="3"/>
  <c r="L36" i="3"/>
  <c r="L37" i="3"/>
  <c r="L104" i="3"/>
  <c r="L113" i="3"/>
  <c r="M29" i="3"/>
  <c r="M30" i="3"/>
  <c r="M31" i="3"/>
  <c r="M102" i="3"/>
  <c r="M32" i="3"/>
  <c r="M33" i="3"/>
  <c r="M34" i="3"/>
  <c r="M103" i="3"/>
  <c r="M35" i="3"/>
  <c r="M36" i="3"/>
  <c r="M37" i="3"/>
  <c r="M104" i="3"/>
  <c r="M113" i="3"/>
  <c r="N29" i="3"/>
  <c r="N30" i="3"/>
  <c r="N31" i="3"/>
  <c r="N102" i="3"/>
  <c r="N32" i="3"/>
  <c r="N33" i="3"/>
  <c r="N34" i="3"/>
  <c r="N103" i="3"/>
  <c r="N35" i="3"/>
  <c r="N36" i="3"/>
  <c r="N37" i="3"/>
  <c r="N104" i="3"/>
  <c r="N113" i="3"/>
  <c r="O29" i="3"/>
  <c r="O30" i="3"/>
  <c r="O31" i="3"/>
  <c r="O102" i="3"/>
  <c r="O32" i="3"/>
  <c r="O33" i="3"/>
  <c r="O34" i="3"/>
  <c r="O103" i="3"/>
  <c r="O35" i="3"/>
  <c r="O36" i="3"/>
  <c r="O37" i="3"/>
  <c r="O104" i="3"/>
  <c r="O113" i="3"/>
  <c r="P29" i="3"/>
  <c r="P30" i="3"/>
  <c r="P31" i="3"/>
  <c r="P102" i="3"/>
  <c r="P32" i="3"/>
  <c r="P33" i="3"/>
  <c r="P34" i="3"/>
  <c r="P103" i="3"/>
  <c r="P35" i="3"/>
  <c r="P36" i="3"/>
  <c r="P37" i="3"/>
  <c r="P104" i="3"/>
  <c r="P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B29" i="3"/>
  <c r="B30" i="3"/>
  <c r="B31" i="3"/>
  <c r="B102" i="3"/>
  <c r="B32" i="3"/>
  <c r="B33" i="3"/>
  <c r="B34" i="3"/>
  <c r="B103" i="3"/>
  <c r="B35" i="3"/>
  <c r="B36" i="3"/>
  <c r="B37" i="3"/>
  <c r="B104" i="3"/>
  <c r="B114" i="3"/>
  <c r="B113" i="3"/>
  <c r="B11" i="3"/>
  <c r="B12" i="3"/>
  <c r="B13" i="3"/>
  <c r="B96" i="3"/>
  <c r="B14" i="3"/>
  <c r="B15" i="3"/>
  <c r="B16" i="3"/>
  <c r="B97" i="3"/>
  <c r="B17" i="3"/>
  <c r="B18" i="3"/>
  <c r="B19" i="3"/>
  <c r="B98" i="3"/>
  <c r="B112" i="3"/>
  <c r="B111" i="3"/>
  <c r="B99" i="3"/>
  <c r="B100" i="3"/>
  <c r="B101" i="3"/>
  <c r="B110" i="3"/>
  <c r="B109" i="3"/>
  <c r="B2" i="3"/>
  <c r="B3" i="3"/>
  <c r="B4" i="3"/>
  <c r="B93" i="3"/>
  <c r="B5" i="3"/>
  <c r="B6" i="3"/>
  <c r="B7" i="3"/>
  <c r="B94" i="3"/>
  <c r="B8" i="3"/>
  <c r="B9" i="3"/>
  <c r="B10" i="3"/>
  <c r="B95" i="3"/>
  <c r="B108" i="3"/>
  <c r="B107" i="3"/>
  <c r="N29" i="2"/>
  <c r="N30" i="2"/>
  <c r="N31" i="2"/>
  <c r="N102" i="2"/>
  <c r="N32" i="2"/>
  <c r="N33" i="2"/>
  <c r="N34" i="2"/>
  <c r="N103" i="2"/>
  <c r="N35" i="2"/>
  <c r="N36" i="2"/>
  <c r="N37" i="2"/>
  <c r="N104" i="2"/>
  <c r="N113" i="2"/>
  <c r="N11" i="2"/>
  <c r="N12" i="2"/>
  <c r="N13" i="2"/>
  <c r="N96" i="2"/>
  <c r="N14" i="2"/>
  <c r="N15" i="2"/>
  <c r="N16" i="2"/>
  <c r="N97" i="2"/>
  <c r="N17" i="2"/>
  <c r="N18" i="2"/>
  <c r="N19" i="2"/>
  <c r="N98" i="2"/>
  <c r="N111" i="2"/>
  <c r="U20" i="2"/>
  <c r="U21" i="2"/>
  <c r="U22" i="2"/>
  <c r="U99" i="2"/>
  <c r="U23" i="2"/>
  <c r="U24" i="2"/>
  <c r="U25" i="2"/>
  <c r="U100" i="2"/>
  <c r="U26" i="2"/>
  <c r="U27" i="2"/>
  <c r="U28" i="2"/>
  <c r="U101" i="2"/>
  <c r="U109" i="2"/>
  <c r="N11" i="1"/>
  <c r="N12" i="1"/>
  <c r="N13" i="1"/>
  <c r="N96" i="1"/>
  <c r="N14" i="1"/>
  <c r="N15" i="1"/>
  <c r="N16" i="1"/>
  <c r="N97" i="1"/>
  <c r="N17" i="1"/>
  <c r="N18" i="1"/>
  <c r="N19" i="1"/>
  <c r="N98" i="1"/>
  <c r="N111" i="1"/>
  <c r="O20" i="1"/>
  <c r="O21" i="1"/>
  <c r="O22" i="1"/>
  <c r="O99" i="1"/>
  <c r="O23" i="1"/>
  <c r="O24" i="1"/>
  <c r="O25" i="1"/>
  <c r="O100" i="1"/>
  <c r="O26" i="1"/>
  <c r="O27" i="1"/>
  <c r="O28" i="1"/>
  <c r="O101" i="1"/>
  <c r="O109" i="1"/>
  <c r="P20" i="2"/>
  <c r="P21" i="2"/>
  <c r="P22" i="2"/>
  <c r="P99" i="2"/>
  <c r="P23" i="2"/>
  <c r="P24" i="2"/>
  <c r="P25" i="2"/>
  <c r="P100" i="2"/>
  <c r="P26" i="2"/>
  <c r="P27" i="2"/>
  <c r="P28" i="2"/>
  <c r="P101" i="2"/>
  <c r="P109" i="2"/>
  <c r="O23" i="2"/>
  <c r="O24" i="2"/>
  <c r="O25" i="2"/>
  <c r="O100" i="2"/>
  <c r="O26" i="2"/>
  <c r="O27" i="2"/>
  <c r="O28" i="2"/>
  <c r="O101" i="2"/>
  <c r="O109" i="2"/>
  <c r="B20" i="2"/>
  <c r="B21" i="2"/>
  <c r="B22" i="2"/>
  <c r="B99" i="2"/>
  <c r="B23" i="2"/>
  <c r="B24" i="2"/>
  <c r="B25" i="2"/>
  <c r="B100" i="2"/>
  <c r="B26" i="2"/>
  <c r="B27" i="2"/>
  <c r="B28" i="2"/>
  <c r="B101" i="2"/>
  <c r="B109" i="2"/>
  <c r="C93" i="2"/>
  <c r="C94" i="2"/>
  <c r="C95" i="2"/>
  <c r="C107" i="2"/>
  <c r="D93" i="2"/>
  <c r="D94" i="2"/>
  <c r="D95" i="2"/>
  <c r="D107" i="2"/>
  <c r="E93" i="2"/>
  <c r="E94" i="2"/>
  <c r="E95" i="2"/>
  <c r="E107" i="2"/>
  <c r="F93" i="2"/>
  <c r="F94" i="2"/>
  <c r="F95" i="2"/>
  <c r="F107" i="2"/>
  <c r="G93" i="2"/>
  <c r="G94" i="2"/>
  <c r="G95" i="2"/>
  <c r="G107" i="2"/>
  <c r="H93" i="2"/>
  <c r="H94" i="2"/>
  <c r="H95" i="2"/>
  <c r="H107" i="2"/>
  <c r="I93" i="2"/>
  <c r="I94" i="2"/>
  <c r="I95" i="2"/>
  <c r="I107" i="2"/>
  <c r="J93" i="2"/>
  <c r="J94" i="2"/>
  <c r="J95" i="2"/>
  <c r="J107" i="2"/>
  <c r="K93" i="2"/>
  <c r="K94" i="2"/>
  <c r="K95" i="2"/>
  <c r="K107" i="2"/>
  <c r="L93" i="2"/>
  <c r="L94" i="2"/>
  <c r="L95" i="2"/>
  <c r="L107" i="2"/>
  <c r="C108" i="2"/>
  <c r="D108" i="2"/>
  <c r="E108" i="2"/>
  <c r="F108" i="2"/>
  <c r="G108" i="2"/>
  <c r="H108" i="2"/>
  <c r="I108" i="2"/>
  <c r="J108" i="2"/>
  <c r="K108" i="2"/>
  <c r="L108" i="2"/>
  <c r="C99" i="2"/>
  <c r="C100" i="2"/>
  <c r="C101" i="2"/>
  <c r="C109" i="2"/>
  <c r="D99" i="2"/>
  <c r="D100" i="2"/>
  <c r="D101" i="2"/>
  <c r="D109" i="2"/>
  <c r="E99" i="2"/>
  <c r="E100" i="2"/>
  <c r="E101" i="2"/>
  <c r="E109" i="2"/>
  <c r="F99" i="2"/>
  <c r="F100" i="2"/>
  <c r="F101" i="2"/>
  <c r="F109" i="2"/>
  <c r="G99" i="2"/>
  <c r="G100" i="2"/>
  <c r="G101" i="2"/>
  <c r="G109" i="2"/>
  <c r="H99" i="2"/>
  <c r="H100" i="2"/>
  <c r="H101" i="2"/>
  <c r="H109" i="2"/>
  <c r="J20" i="2"/>
  <c r="J21" i="2"/>
  <c r="J99" i="2"/>
  <c r="J23" i="2"/>
  <c r="J24" i="2"/>
  <c r="J25" i="2"/>
  <c r="J100" i="2"/>
  <c r="J26" i="2"/>
  <c r="J27" i="2"/>
  <c r="J101" i="2"/>
  <c r="J109" i="2"/>
  <c r="K20" i="2"/>
  <c r="K21" i="2"/>
  <c r="K22" i="2"/>
  <c r="K99" i="2"/>
  <c r="K23" i="2"/>
  <c r="K24" i="2"/>
  <c r="K25" i="2"/>
  <c r="K100" i="2"/>
  <c r="K26" i="2"/>
  <c r="K27" i="2"/>
  <c r="K28" i="2"/>
  <c r="K101" i="2"/>
  <c r="K109" i="2"/>
  <c r="L99" i="2"/>
  <c r="L100" i="2"/>
  <c r="L101" i="2"/>
  <c r="L109" i="2"/>
  <c r="M99" i="2"/>
  <c r="M100" i="2"/>
  <c r="M101" i="2"/>
  <c r="M109" i="2"/>
  <c r="N99" i="2"/>
  <c r="N100" i="2"/>
  <c r="N101" i="2"/>
  <c r="N109" i="2"/>
  <c r="Q20" i="2"/>
  <c r="Q21" i="2"/>
  <c r="Q22" i="2"/>
  <c r="Q99" i="2"/>
  <c r="Q23" i="2"/>
  <c r="Q24" i="2"/>
  <c r="Q25" i="2"/>
  <c r="Q100" i="2"/>
  <c r="Q26" i="2"/>
  <c r="Q27" i="2"/>
  <c r="Q28" i="2"/>
  <c r="Q101" i="2"/>
  <c r="Q109" i="2"/>
  <c r="R20" i="2"/>
  <c r="R21" i="2"/>
  <c r="R22" i="2"/>
  <c r="R99" i="2"/>
  <c r="R23" i="2"/>
  <c r="R24" i="2"/>
  <c r="R25" i="2"/>
  <c r="R100" i="2"/>
  <c r="R26" i="2"/>
  <c r="R27" i="2"/>
  <c r="R28" i="2"/>
  <c r="R101" i="2"/>
  <c r="R109" i="2"/>
  <c r="S20" i="2"/>
  <c r="S21" i="2"/>
  <c r="S22" i="2"/>
  <c r="S99" i="2"/>
  <c r="S23" i="2"/>
  <c r="S24" i="2"/>
  <c r="S25" i="2"/>
  <c r="S100" i="2"/>
  <c r="S26" i="2"/>
  <c r="S27" i="2"/>
  <c r="S28" i="2"/>
  <c r="S101" i="2"/>
  <c r="S109" i="2"/>
  <c r="T20" i="2"/>
  <c r="T21" i="2"/>
  <c r="T22" i="2"/>
  <c r="T99" i="2"/>
  <c r="T23" i="2"/>
  <c r="T24" i="2"/>
  <c r="T25" i="2"/>
  <c r="T100" i="2"/>
  <c r="T26" i="2"/>
  <c r="T27" i="2"/>
  <c r="T28" i="2"/>
  <c r="T101" i="2"/>
  <c r="T109" i="2"/>
  <c r="C110" i="2"/>
  <c r="D110" i="2"/>
  <c r="E110" i="2"/>
  <c r="F110" i="2"/>
  <c r="G110" i="2"/>
  <c r="H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C96" i="2"/>
  <c r="C97" i="2"/>
  <c r="C98" i="2"/>
  <c r="C111" i="2"/>
  <c r="D96" i="2"/>
  <c r="D97" i="2"/>
  <c r="D98" i="2"/>
  <c r="D111" i="2"/>
  <c r="E96" i="2"/>
  <c r="E97" i="2"/>
  <c r="E98" i="2"/>
  <c r="E111" i="2"/>
  <c r="F96" i="2"/>
  <c r="F97" i="2"/>
  <c r="F98" i="2"/>
  <c r="F111" i="2"/>
  <c r="G96" i="2"/>
  <c r="G97" i="2"/>
  <c r="G98" i="2"/>
  <c r="G111" i="2"/>
  <c r="H96" i="2"/>
  <c r="H97" i="2"/>
  <c r="H98" i="2"/>
  <c r="H111" i="2"/>
  <c r="I96" i="2"/>
  <c r="I97" i="2"/>
  <c r="I98" i="2"/>
  <c r="I111" i="2"/>
  <c r="J11" i="2"/>
  <c r="J12" i="2"/>
  <c r="J13" i="2"/>
  <c r="J96" i="2"/>
  <c r="J14" i="2"/>
  <c r="J15" i="2"/>
  <c r="J16" i="2"/>
  <c r="J97" i="2"/>
  <c r="J17" i="2"/>
  <c r="J18" i="2"/>
  <c r="J19" i="2"/>
  <c r="J98" i="2"/>
  <c r="J111" i="2"/>
  <c r="K11" i="2"/>
  <c r="K12" i="2"/>
  <c r="K13" i="2"/>
  <c r="K96" i="2"/>
  <c r="K14" i="2"/>
  <c r="K15" i="2"/>
  <c r="K16" i="2"/>
  <c r="K97" i="2"/>
  <c r="K17" i="2"/>
  <c r="K18" i="2"/>
  <c r="K19" i="2"/>
  <c r="K98" i="2"/>
  <c r="K111" i="2"/>
  <c r="L11" i="2"/>
  <c r="L12" i="2"/>
  <c r="L13" i="2"/>
  <c r="L96" i="2"/>
  <c r="L14" i="2"/>
  <c r="L15" i="2"/>
  <c r="L16" i="2"/>
  <c r="L97" i="2"/>
  <c r="L17" i="2"/>
  <c r="L18" i="2"/>
  <c r="L19" i="2"/>
  <c r="L98" i="2"/>
  <c r="L111" i="2"/>
  <c r="M11" i="2"/>
  <c r="M12" i="2"/>
  <c r="M13" i="2"/>
  <c r="M96" i="2"/>
  <c r="M14" i="2"/>
  <c r="M15" i="2"/>
  <c r="M16" i="2"/>
  <c r="M97" i="2"/>
  <c r="M17" i="2"/>
  <c r="M18" i="2"/>
  <c r="M19" i="2"/>
  <c r="M98" i="2"/>
  <c r="M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C102" i="2"/>
  <c r="C103" i="2"/>
  <c r="C104" i="2"/>
  <c r="C113" i="2"/>
  <c r="D102" i="2"/>
  <c r="D103" i="2"/>
  <c r="D104" i="2"/>
  <c r="D113" i="2"/>
  <c r="E102" i="2"/>
  <c r="E103" i="2"/>
  <c r="E104" i="2"/>
  <c r="E113" i="2"/>
  <c r="F102" i="2"/>
  <c r="F103" i="2"/>
  <c r="F104" i="2"/>
  <c r="F113" i="2"/>
  <c r="G102" i="2"/>
  <c r="G103" i="2"/>
  <c r="G104" i="2"/>
  <c r="G113" i="2"/>
  <c r="H102" i="2"/>
  <c r="H103" i="2"/>
  <c r="H104" i="2"/>
  <c r="H113" i="2"/>
  <c r="I29" i="2"/>
  <c r="I30" i="2"/>
  <c r="I31" i="2"/>
  <c r="I102" i="2"/>
  <c r="I32" i="2"/>
  <c r="I33" i="2"/>
  <c r="I34" i="2"/>
  <c r="I103" i="2"/>
  <c r="I35" i="2"/>
  <c r="I36" i="2"/>
  <c r="I37" i="2"/>
  <c r="I104" i="2"/>
  <c r="I113" i="2"/>
  <c r="J29" i="2"/>
  <c r="J30" i="2"/>
  <c r="J31" i="2"/>
  <c r="J102" i="2"/>
  <c r="J32" i="2"/>
  <c r="J33" i="2"/>
  <c r="J34" i="2"/>
  <c r="J103" i="2"/>
  <c r="J35" i="2"/>
  <c r="J36" i="2"/>
  <c r="J37" i="2"/>
  <c r="J104" i="2"/>
  <c r="J113" i="2"/>
  <c r="K29" i="2"/>
  <c r="K30" i="2"/>
  <c r="K31" i="2"/>
  <c r="K102" i="2"/>
  <c r="K32" i="2"/>
  <c r="K33" i="2"/>
  <c r="K34" i="2"/>
  <c r="K103" i="2"/>
  <c r="K35" i="2"/>
  <c r="K36" i="2"/>
  <c r="K37" i="2"/>
  <c r="K104" i="2"/>
  <c r="K113" i="2"/>
  <c r="L29" i="2"/>
  <c r="L30" i="2"/>
  <c r="L31" i="2"/>
  <c r="L102" i="2"/>
  <c r="L32" i="2"/>
  <c r="L33" i="2"/>
  <c r="L34" i="2"/>
  <c r="L103" i="2"/>
  <c r="L35" i="2"/>
  <c r="L36" i="2"/>
  <c r="L37" i="2"/>
  <c r="L104" i="2"/>
  <c r="L113" i="2"/>
  <c r="M29" i="2"/>
  <c r="M30" i="2"/>
  <c r="M31" i="2"/>
  <c r="M102" i="2"/>
  <c r="M32" i="2"/>
  <c r="M33" i="2"/>
  <c r="M34" i="2"/>
  <c r="M103" i="2"/>
  <c r="M35" i="2"/>
  <c r="M36" i="2"/>
  <c r="M37" i="2"/>
  <c r="M104" i="2"/>
  <c r="M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B29" i="2"/>
  <c r="B30" i="2"/>
  <c r="B31" i="2"/>
  <c r="B102" i="2"/>
  <c r="B32" i="2"/>
  <c r="B33" i="2"/>
  <c r="B34" i="2"/>
  <c r="B103" i="2"/>
  <c r="B35" i="2"/>
  <c r="B36" i="2"/>
  <c r="B37" i="2"/>
  <c r="B104" i="2"/>
  <c r="B114" i="2"/>
  <c r="B113" i="2"/>
  <c r="B11" i="2"/>
  <c r="B12" i="2"/>
  <c r="B13" i="2"/>
  <c r="B96" i="2"/>
  <c r="B14" i="2"/>
  <c r="B15" i="2"/>
  <c r="B16" i="2"/>
  <c r="B97" i="2"/>
  <c r="B17" i="2"/>
  <c r="B18" i="2"/>
  <c r="B19" i="2"/>
  <c r="B98" i="2"/>
  <c r="B112" i="2"/>
  <c r="B111" i="2"/>
  <c r="B110" i="2"/>
  <c r="B2" i="2"/>
  <c r="B3" i="2"/>
  <c r="B4" i="2"/>
  <c r="B93" i="2"/>
  <c r="B5" i="2"/>
  <c r="B6" i="2"/>
  <c r="B7" i="2"/>
  <c r="B94" i="2"/>
  <c r="B8" i="2"/>
  <c r="B9" i="2"/>
  <c r="B10" i="2"/>
  <c r="B95" i="2"/>
  <c r="B108" i="2"/>
  <c r="B107" i="2"/>
  <c r="Q20" i="1"/>
  <c r="Q21" i="1"/>
  <c r="Q22" i="1"/>
  <c r="Q99" i="1"/>
  <c r="Q23" i="1"/>
  <c r="Q24" i="1"/>
  <c r="Q25" i="1"/>
  <c r="Q100" i="1"/>
  <c r="Q26" i="1"/>
  <c r="Q27" i="1"/>
  <c r="Q28" i="1"/>
  <c r="Q101" i="1"/>
  <c r="Q110" i="1"/>
  <c r="Q109" i="1"/>
  <c r="P20" i="1"/>
  <c r="P21" i="1"/>
  <c r="P22" i="1"/>
  <c r="P99" i="1"/>
  <c r="P23" i="1"/>
  <c r="P24" i="1"/>
  <c r="P25" i="1"/>
  <c r="P100" i="1"/>
  <c r="P26" i="1"/>
  <c r="P27" i="1"/>
  <c r="P28" i="1"/>
  <c r="P101" i="1"/>
  <c r="P109" i="1"/>
  <c r="O110" i="1"/>
  <c r="N20" i="1"/>
  <c r="N21" i="1"/>
  <c r="N22" i="1"/>
  <c r="N99" i="1"/>
  <c r="N23" i="1"/>
  <c r="N24" i="1"/>
  <c r="N25" i="1"/>
  <c r="N100" i="1"/>
  <c r="N26" i="1"/>
  <c r="N27" i="1"/>
  <c r="N28" i="1"/>
  <c r="N101" i="1"/>
  <c r="N110" i="1"/>
  <c r="N109" i="1"/>
  <c r="C93" i="1"/>
  <c r="C94" i="1"/>
  <c r="C95" i="1"/>
  <c r="C107" i="1"/>
  <c r="D93" i="1"/>
  <c r="D94" i="1"/>
  <c r="D95" i="1"/>
  <c r="D107" i="1"/>
  <c r="E93" i="1"/>
  <c r="E94" i="1"/>
  <c r="E95" i="1"/>
  <c r="E107" i="1"/>
  <c r="F93" i="1"/>
  <c r="F94" i="1"/>
  <c r="F95" i="1"/>
  <c r="F107" i="1"/>
  <c r="G93" i="1"/>
  <c r="G94" i="1"/>
  <c r="G95" i="1"/>
  <c r="G107" i="1"/>
  <c r="H93" i="1"/>
  <c r="H94" i="1"/>
  <c r="H95" i="1"/>
  <c r="H107" i="1"/>
  <c r="I93" i="1"/>
  <c r="I94" i="1"/>
  <c r="I95" i="1"/>
  <c r="I107" i="1"/>
  <c r="J93" i="1"/>
  <c r="J94" i="1"/>
  <c r="J95" i="1"/>
  <c r="J107" i="1"/>
  <c r="K93" i="1"/>
  <c r="K94" i="1"/>
  <c r="K95" i="1"/>
  <c r="K107" i="1"/>
  <c r="L93" i="1"/>
  <c r="L94" i="1"/>
  <c r="L95" i="1"/>
  <c r="L107" i="1"/>
  <c r="C108" i="1"/>
  <c r="D108" i="1"/>
  <c r="E108" i="1"/>
  <c r="F108" i="1"/>
  <c r="G108" i="1"/>
  <c r="H108" i="1"/>
  <c r="I108" i="1"/>
  <c r="J108" i="1"/>
  <c r="K108" i="1"/>
  <c r="L108" i="1"/>
  <c r="C99" i="1"/>
  <c r="C100" i="1"/>
  <c r="C101" i="1"/>
  <c r="C109" i="1"/>
  <c r="D99" i="1"/>
  <c r="D100" i="1"/>
  <c r="D101" i="1"/>
  <c r="D109" i="1"/>
  <c r="E99" i="1"/>
  <c r="E100" i="1"/>
  <c r="E101" i="1"/>
  <c r="E109" i="1"/>
  <c r="F99" i="1"/>
  <c r="F100" i="1"/>
  <c r="F101" i="1"/>
  <c r="F109" i="1"/>
  <c r="G99" i="1"/>
  <c r="G100" i="1"/>
  <c r="G101" i="1"/>
  <c r="G109" i="1"/>
  <c r="H99" i="1"/>
  <c r="H100" i="1"/>
  <c r="H101" i="1"/>
  <c r="H109" i="1"/>
  <c r="I99" i="1"/>
  <c r="I100" i="1"/>
  <c r="I101" i="1"/>
  <c r="I109" i="1"/>
  <c r="J99" i="1"/>
  <c r="J100" i="1"/>
  <c r="J101" i="1"/>
  <c r="J109" i="1"/>
  <c r="K99" i="1"/>
  <c r="K100" i="1"/>
  <c r="K101" i="1"/>
  <c r="K109" i="1"/>
  <c r="L20" i="1"/>
  <c r="L21" i="1"/>
  <c r="L22" i="1"/>
  <c r="L99" i="1"/>
  <c r="L23" i="1"/>
  <c r="L24" i="1"/>
  <c r="L25" i="1"/>
  <c r="L100" i="1"/>
  <c r="L26" i="1"/>
  <c r="L27" i="1"/>
  <c r="L28" i="1"/>
  <c r="L101" i="1"/>
  <c r="L109" i="1"/>
  <c r="M20" i="1"/>
  <c r="M21" i="1"/>
  <c r="M22" i="1"/>
  <c r="M99" i="1"/>
  <c r="M23" i="1"/>
  <c r="M24" i="1"/>
  <c r="M25" i="1"/>
  <c r="M100" i="1"/>
  <c r="M26" i="1"/>
  <c r="M27" i="1"/>
  <c r="M28" i="1"/>
  <c r="M101" i="1"/>
  <c r="M109" i="1"/>
  <c r="C110" i="1"/>
  <c r="D110" i="1"/>
  <c r="E110" i="1"/>
  <c r="F110" i="1"/>
  <c r="G110" i="1"/>
  <c r="H110" i="1"/>
  <c r="I110" i="1"/>
  <c r="J110" i="1"/>
  <c r="K110" i="1"/>
  <c r="L110" i="1"/>
  <c r="M110" i="1"/>
  <c r="P110" i="1"/>
  <c r="C96" i="1"/>
  <c r="C97" i="1"/>
  <c r="C98" i="1"/>
  <c r="C111" i="1"/>
  <c r="D96" i="1"/>
  <c r="D97" i="1"/>
  <c r="D98" i="1"/>
  <c r="D111" i="1"/>
  <c r="E96" i="1"/>
  <c r="E97" i="1"/>
  <c r="E98" i="1"/>
  <c r="E111" i="1"/>
  <c r="F96" i="1"/>
  <c r="F97" i="1"/>
  <c r="F98" i="1"/>
  <c r="F111" i="1"/>
  <c r="G96" i="1"/>
  <c r="G97" i="1"/>
  <c r="G98" i="1"/>
  <c r="G111" i="1"/>
  <c r="H96" i="1"/>
  <c r="H97" i="1"/>
  <c r="H98" i="1"/>
  <c r="H111" i="1"/>
  <c r="I96" i="1"/>
  <c r="I97" i="1"/>
  <c r="I98" i="1"/>
  <c r="I111" i="1"/>
  <c r="J11" i="1"/>
  <c r="J12" i="1"/>
  <c r="J13" i="1"/>
  <c r="J96" i="1"/>
  <c r="J14" i="1"/>
  <c r="J15" i="1"/>
  <c r="J16" i="1"/>
  <c r="J97" i="1"/>
  <c r="J17" i="1"/>
  <c r="J18" i="1"/>
  <c r="J19" i="1"/>
  <c r="J98" i="1"/>
  <c r="J111" i="1"/>
  <c r="K11" i="1"/>
  <c r="K12" i="1"/>
  <c r="K13" i="1"/>
  <c r="K96" i="1"/>
  <c r="K14" i="1"/>
  <c r="K15" i="1"/>
  <c r="K16" i="1"/>
  <c r="K97" i="1"/>
  <c r="K17" i="1"/>
  <c r="K18" i="1"/>
  <c r="K19" i="1"/>
  <c r="K98" i="1"/>
  <c r="K111" i="1"/>
  <c r="L11" i="1"/>
  <c r="L12" i="1"/>
  <c r="L13" i="1"/>
  <c r="L96" i="1"/>
  <c r="L14" i="1"/>
  <c r="L15" i="1"/>
  <c r="L16" i="1"/>
  <c r="L97" i="1"/>
  <c r="L17" i="1"/>
  <c r="L18" i="1"/>
  <c r="L19" i="1"/>
  <c r="L98" i="1"/>
  <c r="L111" i="1"/>
  <c r="M11" i="1"/>
  <c r="M12" i="1"/>
  <c r="M13" i="1"/>
  <c r="M96" i="1"/>
  <c r="M14" i="1"/>
  <c r="M15" i="1"/>
  <c r="M16" i="1"/>
  <c r="M97" i="1"/>
  <c r="M17" i="1"/>
  <c r="M18" i="1"/>
  <c r="M19" i="1"/>
  <c r="M98" i="1"/>
  <c r="M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D29" i="1"/>
  <c r="D30" i="1"/>
  <c r="D102" i="1"/>
  <c r="D32" i="1"/>
  <c r="D33" i="1"/>
  <c r="D103" i="1"/>
  <c r="D35" i="1"/>
  <c r="D36" i="1"/>
  <c r="D104" i="1"/>
  <c r="D113" i="1"/>
  <c r="E29" i="1"/>
  <c r="E30" i="1"/>
  <c r="E31" i="1"/>
  <c r="E102" i="1"/>
  <c r="E32" i="1"/>
  <c r="E33" i="1"/>
  <c r="E34" i="1"/>
  <c r="E103" i="1"/>
  <c r="E35" i="1"/>
  <c r="E36" i="1"/>
  <c r="E37" i="1"/>
  <c r="E104" i="1"/>
  <c r="E113" i="1"/>
  <c r="F102" i="1"/>
  <c r="F103" i="1"/>
  <c r="F104" i="1"/>
  <c r="F113" i="1"/>
  <c r="G29" i="1"/>
  <c r="G30" i="1"/>
  <c r="G31" i="1"/>
  <c r="G102" i="1"/>
  <c r="G32" i="1"/>
  <c r="G33" i="1"/>
  <c r="G34" i="1"/>
  <c r="G103" i="1"/>
  <c r="G35" i="1"/>
  <c r="G36" i="1"/>
  <c r="G37" i="1"/>
  <c r="G104" i="1"/>
  <c r="G113" i="1"/>
  <c r="H29" i="1"/>
  <c r="H30" i="1"/>
  <c r="H31" i="1"/>
  <c r="H102" i="1"/>
  <c r="H32" i="1"/>
  <c r="H33" i="1"/>
  <c r="H34" i="1"/>
  <c r="H103" i="1"/>
  <c r="H35" i="1"/>
  <c r="H36" i="1"/>
  <c r="H37" i="1"/>
  <c r="H104" i="1"/>
  <c r="H113" i="1"/>
  <c r="I29" i="1"/>
  <c r="I30" i="1"/>
  <c r="I31" i="1"/>
  <c r="I102" i="1"/>
  <c r="I32" i="1"/>
  <c r="I33" i="1"/>
  <c r="I34" i="1"/>
  <c r="I103" i="1"/>
  <c r="I35" i="1"/>
  <c r="I36" i="1"/>
  <c r="I37" i="1"/>
  <c r="I104" i="1"/>
  <c r="I113" i="1"/>
  <c r="J29" i="1"/>
  <c r="J30" i="1"/>
  <c r="J31" i="1"/>
  <c r="J102" i="1"/>
  <c r="J32" i="1"/>
  <c r="J33" i="1"/>
  <c r="J34" i="1"/>
  <c r="J103" i="1"/>
  <c r="J35" i="1"/>
  <c r="J36" i="1"/>
  <c r="J37" i="1"/>
  <c r="J104" i="1"/>
  <c r="J113" i="1"/>
  <c r="K29" i="1"/>
  <c r="K30" i="1"/>
  <c r="K31" i="1"/>
  <c r="K102" i="1"/>
  <c r="K32" i="1"/>
  <c r="K33" i="1"/>
  <c r="K34" i="1"/>
  <c r="K103" i="1"/>
  <c r="K35" i="1"/>
  <c r="K36" i="1"/>
  <c r="K37" i="1"/>
  <c r="K104" i="1"/>
  <c r="K113" i="1"/>
  <c r="L29" i="1"/>
  <c r="L30" i="1"/>
  <c r="L31" i="1"/>
  <c r="L102" i="1"/>
  <c r="L32" i="1"/>
  <c r="L33" i="1"/>
  <c r="L34" i="1"/>
  <c r="L103" i="1"/>
  <c r="L35" i="1"/>
  <c r="L36" i="1"/>
  <c r="L37" i="1"/>
  <c r="L104" i="1"/>
  <c r="L113" i="1"/>
  <c r="M29" i="1"/>
  <c r="M30" i="1"/>
  <c r="M31" i="1"/>
  <c r="M102" i="1"/>
  <c r="M32" i="1"/>
  <c r="M33" i="1"/>
  <c r="M34" i="1"/>
  <c r="M103" i="1"/>
  <c r="M35" i="1"/>
  <c r="M36" i="1"/>
  <c r="M37" i="1"/>
  <c r="M104" i="1"/>
  <c r="M113" i="1"/>
  <c r="D114" i="1"/>
  <c r="E114" i="1"/>
  <c r="F114" i="1"/>
  <c r="G114" i="1"/>
  <c r="H114" i="1"/>
  <c r="I114" i="1"/>
  <c r="J114" i="1"/>
  <c r="K114" i="1"/>
  <c r="L114" i="1"/>
  <c r="M114" i="1"/>
  <c r="B29" i="1"/>
  <c r="B30" i="1"/>
  <c r="B31" i="1"/>
  <c r="B102" i="1"/>
  <c r="B32" i="1"/>
  <c r="B33" i="1"/>
  <c r="B34" i="1"/>
  <c r="B103" i="1"/>
  <c r="B35" i="1"/>
  <c r="B36" i="1"/>
  <c r="B37" i="1"/>
  <c r="B104" i="1"/>
  <c r="B114" i="1"/>
  <c r="B113" i="1"/>
  <c r="B11" i="1"/>
  <c r="B12" i="1"/>
  <c r="B13" i="1"/>
  <c r="B96" i="1"/>
  <c r="B14" i="1"/>
  <c r="B15" i="1"/>
  <c r="B16" i="1"/>
  <c r="B97" i="1"/>
  <c r="B17" i="1"/>
  <c r="B18" i="1"/>
  <c r="B19" i="1"/>
  <c r="B98" i="1"/>
  <c r="B112" i="1"/>
  <c r="B111" i="1"/>
  <c r="B20" i="1"/>
  <c r="B21" i="1"/>
  <c r="B22" i="1"/>
  <c r="B99" i="1"/>
  <c r="B23" i="1"/>
  <c r="B24" i="1"/>
  <c r="B25" i="1"/>
  <c r="B100" i="1"/>
  <c r="B26" i="1"/>
  <c r="B27" i="1"/>
  <c r="B28" i="1"/>
  <c r="B101" i="1"/>
  <c r="B110" i="1"/>
  <c r="B109" i="1"/>
  <c r="B2" i="1"/>
  <c r="B3" i="1"/>
  <c r="B4" i="1"/>
  <c r="B93" i="1"/>
  <c r="B5" i="1"/>
  <c r="B6" i="1"/>
  <c r="B7" i="1"/>
  <c r="B94" i="1"/>
  <c r="B8" i="1"/>
  <c r="B9" i="1"/>
  <c r="B10" i="1"/>
  <c r="B95" i="1"/>
  <c r="B108" i="1"/>
  <c r="B107" i="1"/>
  <c r="F64" i="1"/>
  <c r="F65" i="1"/>
  <c r="F66" i="1"/>
  <c r="F87" i="1"/>
  <c r="C64" i="1"/>
  <c r="C65" i="1"/>
  <c r="C66" i="1"/>
  <c r="C87" i="1"/>
  <c r="B73" i="1"/>
  <c r="B74" i="1"/>
  <c r="B75" i="1"/>
  <c r="B90" i="1"/>
  <c r="Q83" i="1"/>
  <c r="Q89" i="6"/>
  <c r="P89" i="6"/>
  <c r="W86" i="6"/>
  <c r="V86" i="6"/>
  <c r="Q80" i="6"/>
  <c r="M46" i="6"/>
  <c r="M47" i="6"/>
  <c r="M48" i="6"/>
  <c r="M81" i="6"/>
  <c r="N58" i="6"/>
  <c r="N59" i="6"/>
  <c r="N60" i="6"/>
  <c r="N85" i="6"/>
  <c r="O58" i="6"/>
  <c r="O59" i="6"/>
  <c r="O60" i="6"/>
  <c r="O85" i="6"/>
  <c r="P58" i="6"/>
  <c r="P59" i="6"/>
  <c r="P60" i="6"/>
  <c r="P85" i="6"/>
  <c r="Q58" i="6"/>
  <c r="Q59" i="6"/>
  <c r="Q60" i="6"/>
  <c r="Q85" i="6"/>
  <c r="R58" i="6"/>
  <c r="R59" i="6"/>
  <c r="R60" i="6"/>
  <c r="R85" i="6"/>
  <c r="S58" i="6"/>
  <c r="S59" i="6"/>
  <c r="S60" i="6"/>
  <c r="S85" i="6"/>
  <c r="N61" i="6"/>
  <c r="N62" i="6"/>
  <c r="N63" i="6"/>
  <c r="N86" i="6"/>
  <c r="O61" i="6"/>
  <c r="O62" i="6"/>
  <c r="O63" i="6"/>
  <c r="O86" i="6"/>
  <c r="P61" i="6"/>
  <c r="P62" i="6"/>
  <c r="P63" i="6"/>
  <c r="P86" i="6"/>
  <c r="Q61" i="6"/>
  <c r="Q62" i="6"/>
  <c r="Q63" i="6"/>
  <c r="Q86" i="6"/>
  <c r="R61" i="6"/>
  <c r="R62" i="6"/>
  <c r="R63" i="6"/>
  <c r="R86" i="6"/>
  <c r="S61" i="6"/>
  <c r="S62" i="6"/>
  <c r="S63" i="6"/>
  <c r="S86" i="6"/>
  <c r="N64" i="6"/>
  <c r="N65" i="6"/>
  <c r="N66" i="6"/>
  <c r="N87" i="6"/>
  <c r="O64" i="6"/>
  <c r="O65" i="6"/>
  <c r="O66" i="6"/>
  <c r="O87" i="6"/>
  <c r="P64" i="6"/>
  <c r="P65" i="6"/>
  <c r="P66" i="6"/>
  <c r="P87" i="6"/>
  <c r="Q64" i="6"/>
  <c r="Q65" i="6"/>
  <c r="Q66" i="6"/>
  <c r="Q87" i="6"/>
  <c r="R64" i="6"/>
  <c r="R65" i="6"/>
  <c r="R66" i="6"/>
  <c r="R87" i="6"/>
  <c r="S64" i="6"/>
  <c r="S65" i="6"/>
  <c r="S66" i="6"/>
  <c r="S87" i="6"/>
  <c r="B43" i="6"/>
  <c r="B44" i="6"/>
  <c r="B45" i="6"/>
  <c r="B80" i="6"/>
  <c r="C43" i="6"/>
  <c r="C44" i="6"/>
  <c r="C45" i="6"/>
  <c r="C80" i="6"/>
  <c r="D43" i="6"/>
  <c r="D44" i="6"/>
  <c r="D45" i="6"/>
  <c r="D80" i="6"/>
  <c r="E43" i="6"/>
  <c r="E44" i="6"/>
  <c r="E45" i="6"/>
  <c r="E80" i="6"/>
  <c r="F43" i="6"/>
  <c r="F44" i="6"/>
  <c r="F45" i="6"/>
  <c r="F80" i="6"/>
  <c r="G43" i="6"/>
  <c r="G44" i="6"/>
  <c r="G45" i="6"/>
  <c r="G80" i="6"/>
  <c r="H43" i="6"/>
  <c r="H44" i="6"/>
  <c r="H45" i="6"/>
  <c r="H80" i="6"/>
  <c r="J43" i="6"/>
  <c r="J44" i="6"/>
  <c r="J80" i="6"/>
  <c r="K43" i="6"/>
  <c r="K44" i="6"/>
  <c r="K45" i="6"/>
  <c r="K80" i="6"/>
  <c r="L43" i="6"/>
  <c r="L44" i="6"/>
  <c r="L45" i="6"/>
  <c r="L80" i="6"/>
  <c r="M43" i="6"/>
  <c r="M44" i="6"/>
  <c r="M45" i="6"/>
  <c r="M80" i="6"/>
  <c r="B46" i="6"/>
  <c r="B47" i="6"/>
  <c r="B48" i="6"/>
  <c r="B81" i="6"/>
  <c r="C46" i="6"/>
  <c r="C47" i="6"/>
  <c r="C48" i="6"/>
  <c r="C81" i="6"/>
  <c r="D46" i="6"/>
  <c r="D47" i="6"/>
  <c r="D48" i="6"/>
  <c r="D81" i="6"/>
  <c r="E46" i="6"/>
  <c r="E47" i="6"/>
  <c r="E48" i="6"/>
  <c r="E81" i="6"/>
  <c r="F46" i="6"/>
  <c r="F47" i="6"/>
  <c r="F48" i="6"/>
  <c r="F81" i="6"/>
  <c r="G46" i="6"/>
  <c r="G47" i="6"/>
  <c r="G48" i="6"/>
  <c r="G81" i="6"/>
  <c r="H46" i="6"/>
  <c r="H47" i="6"/>
  <c r="H48" i="6"/>
  <c r="H81" i="6"/>
  <c r="J46" i="6"/>
  <c r="J47" i="6"/>
  <c r="J81" i="6"/>
  <c r="K46" i="6"/>
  <c r="K47" i="6"/>
  <c r="K48" i="6"/>
  <c r="K81" i="6"/>
  <c r="L46" i="6"/>
  <c r="L47" i="6"/>
  <c r="L48" i="6"/>
  <c r="L81" i="6"/>
  <c r="B49" i="6"/>
  <c r="B50" i="6"/>
  <c r="B51" i="6"/>
  <c r="B82" i="6"/>
  <c r="C49" i="6"/>
  <c r="C50" i="6"/>
  <c r="C51" i="6"/>
  <c r="C82" i="6"/>
  <c r="D49" i="6"/>
  <c r="D50" i="6"/>
  <c r="D51" i="6"/>
  <c r="D82" i="6"/>
  <c r="E49" i="6"/>
  <c r="E50" i="6"/>
  <c r="E51" i="6"/>
  <c r="E82" i="6"/>
  <c r="F49" i="6"/>
  <c r="F50" i="6"/>
  <c r="F51" i="6"/>
  <c r="F82" i="6"/>
  <c r="G49" i="6"/>
  <c r="G50" i="6"/>
  <c r="G51" i="6"/>
  <c r="G82" i="6"/>
  <c r="H49" i="6"/>
  <c r="H50" i="6"/>
  <c r="H51" i="6"/>
  <c r="H82" i="6"/>
  <c r="J49" i="6"/>
  <c r="J50" i="6"/>
  <c r="J82" i="6"/>
  <c r="K49" i="6"/>
  <c r="K50" i="6"/>
  <c r="K51" i="6"/>
  <c r="K82" i="6"/>
  <c r="B52" i="6"/>
  <c r="B53" i="6"/>
  <c r="B54" i="6"/>
  <c r="B83" i="6"/>
  <c r="C52" i="6"/>
  <c r="C53" i="6"/>
  <c r="C54" i="6"/>
  <c r="C83" i="6"/>
  <c r="D52" i="6"/>
  <c r="D53" i="6"/>
  <c r="D54" i="6"/>
  <c r="D83" i="6"/>
  <c r="E52" i="6"/>
  <c r="E53" i="6"/>
  <c r="E54" i="6"/>
  <c r="E83" i="6"/>
  <c r="F52" i="6"/>
  <c r="F53" i="6"/>
  <c r="F54" i="6"/>
  <c r="F83" i="6"/>
  <c r="G52" i="6"/>
  <c r="G53" i="6"/>
  <c r="G54" i="6"/>
  <c r="G83" i="6"/>
  <c r="H52" i="6"/>
  <c r="H53" i="6"/>
  <c r="H54" i="6"/>
  <c r="H83" i="6"/>
  <c r="J52" i="6"/>
  <c r="J53" i="6"/>
  <c r="J83" i="6"/>
  <c r="K52" i="6"/>
  <c r="K53" i="6"/>
  <c r="K54" i="6"/>
  <c r="K83" i="6"/>
  <c r="B55" i="6"/>
  <c r="B56" i="6"/>
  <c r="B57" i="6"/>
  <c r="B84" i="6"/>
  <c r="C55" i="6"/>
  <c r="C56" i="6"/>
  <c r="C57" i="6"/>
  <c r="C84" i="6"/>
  <c r="D55" i="6"/>
  <c r="D56" i="6"/>
  <c r="D57" i="6"/>
  <c r="D84" i="6"/>
  <c r="E55" i="6"/>
  <c r="E56" i="6"/>
  <c r="E57" i="6"/>
  <c r="E84" i="6"/>
  <c r="F55" i="6"/>
  <c r="F56" i="6"/>
  <c r="F57" i="6"/>
  <c r="F84" i="6"/>
  <c r="G55" i="6"/>
  <c r="G56" i="6"/>
  <c r="G57" i="6"/>
  <c r="G84" i="6"/>
  <c r="H55" i="6"/>
  <c r="H56" i="6"/>
  <c r="H57" i="6"/>
  <c r="H84" i="6"/>
  <c r="J55" i="6"/>
  <c r="J56" i="6"/>
  <c r="J84" i="6"/>
  <c r="K55" i="6"/>
  <c r="K56" i="6"/>
  <c r="K57" i="6"/>
  <c r="K84" i="6"/>
  <c r="B58" i="6"/>
  <c r="B59" i="6"/>
  <c r="B60" i="6"/>
  <c r="B85" i="6"/>
  <c r="C58" i="6"/>
  <c r="C59" i="6"/>
  <c r="C60" i="6"/>
  <c r="C85" i="6"/>
  <c r="D58" i="6"/>
  <c r="D59" i="6"/>
  <c r="D60" i="6"/>
  <c r="D85" i="6"/>
  <c r="E58" i="6"/>
  <c r="E59" i="6"/>
  <c r="E60" i="6"/>
  <c r="E85" i="6"/>
  <c r="F58" i="6"/>
  <c r="F59" i="6"/>
  <c r="F60" i="6"/>
  <c r="F85" i="6"/>
  <c r="H58" i="6"/>
  <c r="H59" i="6"/>
  <c r="H85" i="6"/>
  <c r="I58" i="6"/>
  <c r="I59" i="6"/>
  <c r="I60" i="6"/>
  <c r="I85" i="6"/>
  <c r="J58" i="6"/>
  <c r="J59" i="6"/>
  <c r="J60" i="6"/>
  <c r="J85" i="6"/>
  <c r="K58" i="6"/>
  <c r="K59" i="6"/>
  <c r="K60" i="6"/>
  <c r="K85" i="6"/>
  <c r="L58" i="6"/>
  <c r="L59" i="6"/>
  <c r="L60" i="6"/>
  <c r="L85" i="6"/>
  <c r="M58" i="6"/>
  <c r="M59" i="6"/>
  <c r="M60" i="6"/>
  <c r="M85" i="6"/>
  <c r="B61" i="6"/>
  <c r="B62" i="6"/>
  <c r="B63" i="6"/>
  <c r="B86" i="6"/>
  <c r="C61" i="6"/>
  <c r="C62" i="6"/>
  <c r="C63" i="6"/>
  <c r="C86" i="6"/>
  <c r="D61" i="6"/>
  <c r="D62" i="6"/>
  <c r="D63" i="6"/>
  <c r="D86" i="6"/>
  <c r="E61" i="6"/>
  <c r="E62" i="6"/>
  <c r="E63" i="6"/>
  <c r="E86" i="6"/>
  <c r="F61" i="6"/>
  <c r="F62" i="6"/>
  <c r="F63" i="6"/>
  <c r="F86" i="6"/>
  <c r="H61" i="6"/>
  <c r="H62" i="6"/>
  <c r="H86" i="6"/>
  <c r="I61" i="6"/>
  <c r="I62" i="6"/>
  <c r="I86" i="6"/>
  <c r="J61" i="6"/>
  <c r="J62" i="6"/>
  <c r="J63" i="6"/>
  <c r="J86" i="6"/>
  <c r="K61" i="6"/>
  <c r="K62" i="6"/>
  <c r="K63" i="6"/>
  <c r="K86" i="6"/>
  <c r="L61" i="6"/>
  <c r="L62" i="6"/>
  <c r="L63" i="6"/>
  <c r="L86" i="6"/>
  <c r="M61" i="6"/>
  <c r="M62" i="6"/>
  <c r="M63" i="6"/>
  <c r="M86" i="6"/>
  <c r="B64" i="6"/>
  <c r="B65" i="6"/>
  <c r="B66" i="6"/>
  <c r="B87" i="6"/>
  <c r="C64" i="6"/>
  <c r="C65" i="6"/>
  <c r="C66" i="6"/>
  <c r="C87" i="6"/>
  <c r="D64" i="6"/>
  <c r="D65" i="6"/>
  <c r="D66" i="6"/>
  <c r="D87" i="6"/>
  <c r="E64" i="6"/>
  <c r="E65" i="6"/>
  <c r="E66" i="6"/>
  <c r="E87" i="6"/>
  <c r="F64" i="6"/>
  <c r="F65" i="6"/>
  <c r="F66" i="6"/>
  <c r="F87" i="6"/>
  <c r="H64" i="6"/>
  <c r="H65" i="6"/>
  <c r="H87" i="6"/>
  <c r="I64" i="6"/>
  <c r="I65" i="6"/>
  <c r="I87" i="6"/>
  <c r="J64" i="6"/>
  <c r="J65" i="6"/>
  <c r="J66" i="6"/>
  <c r="J87" i="6"/>
  <c r="K64" i="6"/>
  <c r="K65" i="6"/>
  <c r="K66" i="6"/>
  <c r="K87" i="6"/>
  <c r="L64" i="6"/>
  <c r="L65" i="6"/>
  <c r="L66" i="6"/>
  <c r="L87" i="6"/>
  <c r="M64" i="6"/>
  <c r="M65" i="6"/>
  <c r="M66" i="6"/>
  <c r="M87" i="6"/>
  <c r="B67" i="6"/>
  <c r="B68" i="6"/>
  <c r="B69" i="6"/>
  <c r="B88" i="6"/>
  <c r="C67" i="6"/>
  <c r="C68" i="6"/>
  <c r="C69" i="6"/>
  <c r="C88" i="6"/>
  <c r="E67" i="6"/>
  <c r="E68" i="6"/>
  <c r="E69" i="6"/>
  <c r="E88" i="6"/>
  <c r="F67" i="6"/>
  <c r="F68" i="6"/>
  <c r="F69" i="6"/>
  <c r="F88" i="6"/>
  <c r="G67" i="6"/>
  <c r="G68" i="6"/>
  <c r="G69" i="6"/>
  <c r="G88" i="6"/>
  <c r="H67" i="6"/>
  <c r="H68" i="6"/>
  <c r="H69" i="6"/>
  <c r="H88" i="6"/>
  <c r="I67" i="6"/>
  <c r="I68" i="6"/>
  <c r="I69" i="6"/>
  <c r="I88" i="6"/>
  <c r="J67" i="6"/>
  <c r="J68" i="6"/>
  <c r="J69" i="6"/>
  <c r="J88" i="6"/>
  <c r="K67" i="6"/>
  <c r="K68" i="6"/>
  <c r="K69" i="6"/>
  <c r="K88" i="6"/>
  <c r="L67" i="6"/>
  <c r="L68" i="6"/>
  <c r="L69" i="6"/>
  <c r="L88" i="6"/>
  <c r="M67" i="6"/>
  <c r="M68" i="6"/>
  <c r="M69" i="6"/>
  <c r="M88" i="6"/>
  <c r="B70" i="6"/>
  <c r="B71" i="6"/>
  <c r="B72" i="6"/>
  <c r="B89" i="6"/>
  <c r="C70" i="6"/>
  <c r="C71" i="6"/>
  <c r="C72" i="6"/>
  <c r="C89" i="6"/>
  <c r="E70" i="6"/>
  <c r="E71" i="6"/>
  <c r="E72" i="6"/>
  <c r="E89" i="6"/>
  <c r="F70" i="6"/>
  <c r="F71" i="6"/>
  <c r="F72" i="6"/>
  <c r="F89" i="6"/>
  <c r="G70" i="6"/>
  <c r="G71" i="6"/>
  <c r="G72" i="6"/>
  <c r="G89" i="6"/>
  <c r="H70" i="6"/>
  <c r="H71" i="6"/>
  <c r="H72" i="6"/>
  <c r="H89" i="6"/>
  <c r="I70" i="6"/>
  <c r="I71" i="6"/>
  <c r="I72" i="6"/>
  <c r="I89" i="6"/>
  <c r="J70" i="6"/>
  <c r="J71" i="6"/>
  <c r="J72" i="6"/>
  <c r="J89" i="6"/>
  <c r="K70" i="6"/>
  <c r="K71" i="6"/>
  <c r="K72" i="6"/>
  <c r="K89" i="6"/>
  <c r="L70" i="6"/>
  <c r="L71" i="6"/>
  <c r="L72" i="6"/>
  <c r="L89" i="6"/>
  <c r="M70" i="6"/>
  <c r="M71" i="6"/>
  <c r="M72" i="6"/>
  <c r="M89" i="6"/>
  <c r="B73" i="6"/>
  <c r="B74" i="6"/>
  <c r="B75" i="6"/>
  <c r="B90" i="6"/>
  <c r="C73" i="6"/>
  <c r="C74" i="6"/>
  <c r="C75" i="6"/>
  <c r="C90" i="6"/>
  <c r="E73" i="6"/>
  <c r="E74" i="6"/>
  <c r="E75" i="6"/>
  <c r="E90" i="6"/>
  <c r="F73" i="6"/>
  <c r="F74" i="6"/>
  <c r="F75" i="6"/>
  <c r="F90" i="6"/>
  <c r="G73" i="6"/>
  <c r="G74" i="6"/>
  <c r="G75" i="6"/>
  <c r="G90" i="6"/>
  <c r="H73" i="6"/>
  <c r="H74" i="6"/>
  <c r="H75" i="6"/>
  <c r="H90" i="6"/>
  <c r="I73" i="6"/>
  <c r="I74" i="6"/>
  <c r="I75" i="6"/>
  <c r="I90" i="6"/>
  <c r="J73" i="6"/>
  <c r="J74" i="6"/>
  <c r="J75" i="6"/>
  <c r="J90" i="6"/>
  <c r="K73" i="6"/>
  <c r="K74" i="6"/>
  <c r="K75" i="6"/>
  <c r="K90" i="6"/>
  <c r="L73" i="6"/>
  <c r="L74" i="6"/>
  <c r="L75" i="6"/>
  <c r="L90" i="6"/>
  <c r="M73" i="6"/>
  <c r="M74" i="6"/>
  <c r="M75" i="6"/>
  <c r="M90" i="6"/>
  <c r="C40" i="6"/>
  <c r="C41" i="6"/>
  <c r="C42" i="6"/>
  <c r="C79" i="6"/>
  <c r="D40" i="6"/>
  <c r="D41" i="6"/>
  <c r="D42" i="6"/>
  <c r="D79" i="6"/>
  <c r="E40" i="6"/>
  <c r="E41" i="6"/>
  <c r="E42" i="6"/>
  <c r="E79" i="6"/>
  <c r="F40" i="6"/>
  <c r="F41" i="6"/>
  <c r="F42" i="6"/>
  <c r="F79" i="6"/>
  <c r="G40" i="6"/>
  <c r="G41" i="6"/>
  <c r="G42" i="6"/>
  <c r="G79" i="6"/>
  <c r="H40" i="6"/>
  <c r="H41" i="6"/>
  <c r="H42" i="6"/>
  <c r="H79" i="6"/>
  <c r="J40" i="6"/>
  <c r="J41" i="6"/>
  <c r="J79" i="6"/>
  <c r="K40" i="6"/>
  <c r="K41" i="6"/>
  <c r="K42" i="6"/>
  <c r="K79" i="6"/>
  <c r="L40" i="6"/>
  <c r="L41" i="6"/>
  <c r="L42" i="6"/>
  <c r="L79" i="6"/>
  <c r="M40" i="6"/>
  <c r="M41" i="6"/>
  <c r="M42" i="6"/>
  <c r="M79" i="6"/>
  <c r="B40" i="6"/>
  <c r="B41" i="6"/>
  <c r="B42" i="6"/>
  <c r="B79" i="6"/>
  <c r="V86" i="4"/>
  <c r="Q89" i="4"/>
  <c r="P89" i="4"/>
  <c r="W86" i="4"/>
  <c r="S83" i="4"/>
  <c r="R83" i="4"/>
  <c r="J46" i="4"/>
  <c r="J47" i="4"/>
  <c r="J48" i="4"/>
  <c r="J81" i="4"/>
  <c r="O49" i="4"/>
  <c r="O50" i="4"/>
  <c r="O51" i="4"/>
  <c r="O82" i="4"/>
  <c r="M73" i="4"/>
  <c r="M74" i="4"/>
  <c r="M75" i="4"/>
  <c r="M90" i="4"/>
  <c r="S58" i="4"/>
  <c r="S59" i="4"/>
  <c r="S60" i="4"/>
  <c r="S85" i="4"/>
  <c r="S61" i="4"/>
  <c r="S62" i="4"/>
  <c r="S63" i="4"/>
  <c r="S86" i="4"/>
  <c r="S64" i="4"/>
  <c r="S65" i="4"/>
  <c r="S66" i="4"/>
  <c r="S87" i="4"/>
  <c r="C40" i="4"/>
  <c r="C41" i="4"/>
  <c r="C42" i="4"/>
  <c r="C79" i="4"/>
  <c r="D40" i="4"/>
  <c r="D41" i="4"/>
  <c r="D42" i="4"/>
  <c r="D79" i="4"/>
  <c r="E40" i="4"/>
  <c r="E41" i="4"/>
  <c r="E42" i="4"/>
  <c r="E79" i="4"/>
  <c r="F40" i="4"/>
  <c r="F41" i="4"/>
  <c r="F42" i="4"/>
  <c r="F79" i="4"/>
  <c r="G40" i="4"/>
  <c r="G41" i="4"/>
  <c r="G42" i="4"/>
  <c r="G79" i="4"/>
  <c r="H40" i="4"/>
  <c r="H41" i="4"/>
  <c r="H42" i="4"/>
  <c r="H79" i="4"/>
  <c r="I40" i="4"/>
  <c r="I41" i="4"/>
  <c r="I42" i="4"/>
  <c r="I79" i="4"/>
  <c r="J40" i="4"/>
  <c r="J41" i="4"/>
  <c r="J42" i="4"/>
  <c r="J79" i="4"/>
  <c r="C43" i="4"/>
  <c r="C44" i="4"/>
  <c r="C45" i="4"/>
  <c r="C80" i="4"/>
  <c r="D43" i="4"/>
  <c r="D44" i="4"/>
  <c r="D45" i="4"/>
  <c r="D80" i="4"/>
  <c r="E43" i="4"/>
  <c r="E44" i="4"/>
  <c r="E45" i="4"/>
  <c r="E80" i="4"/>
  <c r="F43" i="4"/>
  <c r="F44" i="4"/>
  <c r="F45" i="4"/>
  <c r="F80" i="4"/>
  <c r="G43" i="4"/>
  <c r="G44" i="4"/>
  <c r="G45" i="4"/>
  <c r="G80" i="4"/>
  <c r="H43" i="4"/>
  <c r="H44" i="4"/>
  <c r="H45" i="4"/>
  <c r="H80" i="4"/>
  <c r="I43" i="4"/>
  <c r="I44" i="4"/>
  <c r="I45" i="4"/>
  <c r="I80" i="4"/>
  <c r="J43" i="4"/>
  <c r="J44" i="4"/>
  <c r="J45" i="4"/>
  <c r="J80" i="4"/>
  <c r="C46" i="4"/>
  <c r="C47" i="4"/>
  <c r="C48" i="4"/>
  <c r="C81" i="4"/>
  <c r="D46" i="4"/>
  <c r="D47" i="4"/>
  <c r="D48" i="4"/>
  <c r="D81" i="4"/>
  <c r="E46" i="4"/>
  <c r="E47" i="4"/>
  <c r="E48" i="4"/>
  <c r="E81" i="4"/>
  <c r="F46" i="4"/>
  <c r="F47" i="4"/>
  <c r="F48" i="4"/>
  <c r="F81" i="4"/>
  <c r="G46" i="4"/>
  <c r="G47" i="4"/>
  <c r="G48" i="4"/>
  <c r="G81" i="4"/>
  <c r="H46" i="4"/>
  <c r="H47" i="4"/>
  <c r="H48" i="4"/>
  <c r="H81" i="4"/>
  <c r="I46" i="4"/>
  <c r="I47" i="4"/>
  <c r="I48" i="4"/>
  <c r="I81" i="4"/>
  <c r="C49" i="4"/>
  <c r="C50" i="4"/>
  <c r="C51" i="4"/>
  <c r="C82" i="4"/>
  <c r="D49" i="4"/>
  <c r="D50" i="4"/>
  <c r="D51" i="4"/>
  <c r="D82" i="4"/>
  <c r="E49" i="4"/>
  <c r="E50" i="4"/>
  <c r="E51" i="4"/>
  <c r="E82" i="4"/>
  <c r="F49" i="4"/>
  <c r="F50" i="4"/>
  <c r="F51" i="4"/>
  <c r="F82" i="4"/>
  <c r="G49" i="4"/>
  <c r="G50" i="4"/>
  <c r="G51" i="4"/>
  <c r="G82" i="4"/>
  <c r="H49" i="4"/>
  <c r="H50" i="4"/>
  <c r="H51" i="4"/>
  <c r="H82" i="4"/>
  <c r="I49" i="4"/>
  <c r="I50" i="4"/>
  <c r="I51" i="4"/>
  <c r="I82" i="4"/>
  <c r="J49" i="4"/>
  <c r="J50" i="4"/>
  <c r="J51" i="4"/>
  <c r="J82" i="4"/>
  <c r="K49" i="4"/>
  <c r="K50" i="4"/>
  <c r="K51" i="4"/>
  <c r="K82" i="4"/>
  <c r="L49" i="4"/>
  <c r="L50" i="4"/>
  <c r="L51" i="4"/>
  <c r="L82" i="4"/>
  <c r="M49" i="4"/>
  <c r="M50" i="4"/>
  <c r="M51" i="4"/>
  <c r="M82" i="4"/>
  <c r="N49" i="4"/>
  <c r="N50" i="4"/>
  <c r="N51" i="4"/>
  <c r="N82" i="4"/>
  <c r="C52" i="4"/>
  <c r="C53" i="4"/>
  <c r="C54" i="4"/>
  <c r="C83" i="4"/>
  <c r="D52" i="4"/>
  <c r="D53" i="4"/>
  <c r="D54" i="4"/>
  <c r="D83" i="4"/>
  <c r="E52" i="4"/>
  <c r="E53" i="4"/>
  <c r="E54" i="4"/>
  <c r="E83" i="4"/>
  <c r="F52" i="4"/>
  <c r="F53" i="4"/>
  <c r="F54" i="4"/>
  <c r="F83" i="4"/>
  <c r="G52" i="4"/>
  <c r="G53" i="4"/>
  <c r="G54" i="4"/>
  <c r="G83" i="4"/>
  <c r="H52" i="4"/>
  <c r="H53" i="4"/>
  <c r="H54" i="4"/>
  <c r="H83" i="4"/>
  <c r="I52" i="4"/>
  <c r="I53" i="4"/>
  <c r="I54" i="4"/>
  <c r="I83" i="4"/>
  <c r="J52" i="4"/>
  <c r="J53" i="4"/>
  <c r="J54" i="4"/>
  <c r="J83" i="4"/>
  <c r="K52" i="4"/>
  <c r="K53" i="4"/>
  <c r="K54" i="4"/>
  <c r="K83" i="4"/>
  <c r="L52" i="4"/>
  <c r="L53" i="4"/>
  <c r="L54" i="4"/>
  <c r="L83" i="4"/>
  <c r="M52" i="4"/>
  <c r="M53" i="4"/>
  <c r="M54" i="4"/>
  <c r="M83" i="4"/>
  <c r="N52" i="4"/>
  <c r="N53" i="4"/>
  <c r="N54" i="4"/>
  <c r="N83" i="4"/>
  <c r="O52" i="4"/>
  <c r="O53" i="4"/>
  <c r="O54" i="4"/>
  <c r="O83" i="4"/>
  <c r="C55" i="4"/>
  <c r="C56" i="4"/>
  <c r="C57" i="4"/>
  <c r="C84" i="4"/>
  <c r="D55" i="4"/>
  <c r="D56" i="4"/>
  <c r="D57" i="4"/>
  <c r="D84" i="4"/>
  <c r="E55" i="4"/>
  <c r="E56" i="4"/>
  <c r="E57" i="4"/>
  <c r="E84" i="4"/>
  <c r="F55" i="4"/>
  <c r="F56" i="4"/>
  <c r="F57" i="4"/>
  <c r="F84" i="4"/>
  <c r="G55" i="4"/>
  <c r="G56" i="4"/>
  <c r="G57" i="4"/>
  <c r="G84" i="4"/>
  <c r="H55" i="4"/>
  <c r="H56" i="4"/>
  <c r="H57" i="4"/>
  <c r="H84" i="4"/>
  <c r="I55" i="4"/>
  <c r="I56" i="4"/>
  <c r="I57" i="4"/>
  <c r="I84" i="4"/>
  <c r="J55" i="4"/>
  <c r="J56" i="4"/>
  <c r="J57" i="4"/>
  <c r="J84" i="4"/>
  <c r="K55" i="4"/>
  <c r="K56" i="4"/>
  <c r="K57" i="4"/>
  <c r="K84" i="4"/>
  <c r="L55" i="4"/>
  <c r="L56" i="4"/>
  <c r="L57" i="4"/>
  <c r="L84" i="4"/>
  <c r="M55" i="4"/>
  <c r="M56" i="4"/>
  <c r="M57" i="4"/>
  <c r="M84" i="4"/>
  <c r="N55" i="4"/>
  <c r="N56" i="4"/>
  <c r="N57" i="4"/>
  <c r="N84" i="4"/>
  <c r="O55" i="4"/>
  <c r="O56" i="4"/>
  <c r="O57" i="4"/>
  <c r="O84" i="4"/>
  <c r="C58" i="4"/>
  <c r="C59" i="4"/>
  <c r="C60" i="4"/>
  <c r="C85" i="4"/>
  <c r="D58" i="4"/>
  <c r="D59" i="4"/>
  <c r="D60" i="4"/>
  <c r="D85" i="4"/>
  <c r="E58" i="4"/>
  <c r="E59" i="4"/>
  <c r="E60" i="4"/>
  <c r="E85" i="4"/>
  <c r="F58" i="4"/>
  <c r="F59" i="4"/>
  <c r="F60" i="4"/>
  <c r="F85" i="4"/>
  <c r="G58" i="4"/>
  <c r="G59" i="4"/>
  <c r="G60" i="4"/>
  <c r="G85" i="4"/>
  <c r="H58" i="4"/>
  <c r="H59" i="4"/>
  <c r="H60" i="4"/>
  <c r="H85" i="4"/>
  <c r="I58" i="4"/>
  <c r="I59" i="4"/>
  <c r="I60" i="4"/>
  <c r="I85" i="4"/>
  <c r="J58" i="4"/>
  <c r="J59" i="4"/>
  <c r="J60" i="4"/>
  <c r="J85" i="4"/>
  <c r="K58" i="4"/>
  <c r="K59" i="4"/>
  <c r="K60" i="4"/>
  <c r="K85" i="4"/>
  <c r="L58" i="4"/>
  <c r="L59" i="4"/>
  <c r="L60" i="4"/>
  <c r="L85" i="4"/>
  <c r="M58" i="4"/>
  <c r="M59" i="4"/>
  <c r="M60" i="4"/>
  <c r="M85" i="4"/>
  <c r="N58" i="4"/>
  <c r="N59" i="4"/>
  <c r="N60" i="4"/>
  <c r="N85" i="4"/>
  <c r="O58" i="4"/>
  <c r="O59" i="4"/>
  <c r="O60" i="4"/>
  <c r="O85" i="4"/>
  <c r="P58" i="4"/>
  <c r="P59" i="4"/>
  <c r="P60" i="4"/>
  <c r="P85" i="4"/>
  <c r="Q58" i="4"/>
  <c r="Q59" i="4"/>
  <c r="Q60" i="4"/>
  <c r="Q85" i="4"/>
  <c r="R58" i="4"/>
  <c r="R59" i="4"/>
  <c r="R60" i="4"/>
  <c r="R85" i="4"/>
  <c r="C61" i="4"/>
  <c r="C62" i="4"/>
  <c r="C63" i="4"/>
  <c r="C86" i="4"/>
  <c r="D61" i="4"/>
  <c r="D62" i="4"/>
  <c r="D63" i="4"/>
  <c r="D86" i="4"/>
  <c r="E61" i="4"/>
  <c r="E62" i="4"/>
  <c r="E63" i="4"/>
  <c r="E86" i="4"/>
  <c r="F61" i="4"/>
  <c r="F62" i="4"/>
  <c r="F63" i="4"/>
  <c r="F86" i="4"/>
  <c r="G61" i="4"/>
  <c r="G62" i="4"/>
  <c r="G63" i="4"/>
  <c r="G86" i="4"/>
  <c r="H61" i="4"/>
  <c r="H62" i="4"/>
  <c r="H63" i="4"/>
  <c r="H86" i="4"/>
  <c r="I61" i="4"/>
  <c r="I62" i="4"/>
  <c r="I63" i="4"/>
  <c r="I86" i="4"/>
  <c r="J61" i="4"/>
  <c r="J62" i="4"/>
  <c r="J63" i="4"/>
  <c r="J86" i="4"/>
  <c r="K61" i="4"/>
  <c r="K62" i="4"/>
  <c r="K63" i="4"/>
  <c r="K86" i="4"/>
  <c r="L61" i="4"/>
  <c r="L62" i="4"/>
  <c r="L63" i="4"/>
  <c r="L86" i="4"/>
  <c r="M61" i="4"/>
  <c r="M62" i="4"/>
  <c r="M63" i="4"/>
  <c r="M86" i="4"/>
  <c r="N61" i="4"/>
  <c r="N62" i="4"/>
  <c r="N63" i="4"/>
  <c r="N86" i="4"/>
  <c r="O61" i="4"/>
  <c r="O62" i="4"/>
  <c r="O63" i="4"/>
  <c r="O86" i="4"/>
  <c r="P61" i="4"/>
  <c r="P62" i="4"/>
  <c r="P63" i="4"/>
  <c r="P86" i="4"/>
  <c r="Q61" i="4"/>
  <c r="Q62" i="4"/>
  <c r="Q63" i="4"/>
  <c r="Q86" i="4"/>
  <c r="R61" i="4"/>
  <c r="R62" i="4"/>
  <c r="R63" i="4"/>
  <c r="R86" i="4"/>
  <c r="C64" i="4"/>
  <c r="C65" i="4"/>
  <c r="C87" i="4"/>
  <c r="D64" i="4"/>
  <c r="D65" i="4"/>
  <c r="D66" i="4"/>
  <c r="D87" i="4"/>
  <c r="E64" i="4"/>
  <c r="E65" i="4"/>
  <c r="E66" i="4"/>
  <c r="E87" i="4"/>
  <c r="F64" i="4"/>
  <c r="F65" i="4"/>
  <c r="F66" i="4"/>
  <c r="F87" i="4"/>
  <c r="G64" i="4"/>
  <c r="G65" i="4"/>
  <c r="G66" i="4"/>
  <c r="G87" i="4"/>
  <c r="H64" i="4"/>
  <c r="H65" i="4"/>
  <c r="H66" i="4"/>
  <c r="H87" i="4"/>
  <c r="I64" i="4"/>
  <c r="I65" i="4"/>
  <c r="I66" i="4"/>
  <c r="I87" i="4"/>
  <c r="J64" i="4"/>
  <c r="J65" i="4"/>
  <c r="J66" i="4"/>
  <c r="J87" i="4"/>
  <c r="K64" i="4"/>
  <c r="K65" i="4"/>
  <c r="K66" i="4"/>
  <c r="K87" i="4"/>
  <c r="L64" i="4"/>
  <c r="L65" i="4"/>
  <c r="L66" i="4"/>
  <c r="L87" i="4"/>
  <c r="M64" i="4"/>
  <c r="M65" i="4"/>
  <c r="M66" i="4"/>
  <c r="M87" i="4"/>
  <c r="N64" i="4"/>
  <c r="N65" i="4"/>
  <c r="N66" i="4"/>
  <c r="N87" i="4"/>
  <c r="O64" i="4"/>
  <c r="O65" i="4"/>
  <c r="O66" i="4"/>
  <c r="O87" i="4"/>
  <c r="P64" i="4"/>
  <c r="P65" i="4"/>
  <c r="P66" i="4"/>
  <c r="P87" i="4"/>
  <c r="Q64" i="4"/>
  <c r="Q65" i="4"/>
  <c r="Q66" i="4"/>
  <c r="Q87" i="4"/>
  <c r="R64" i="4"/>
  <c r="R65" i="4"/>
  <c r="R66" i="4"/>
  <c r="R87" i="4"/>
  <c r="C67" i="4"/>
  <c r="C68" i="4"/>
  <c r="C69" i="4"/>
  <c r="C88" i="4"/>
  <c r="D67" i="4"/>
  <c r="D68" i="4"/>
  <c r="D69" i="4"/>
  <c r="D88" i="4"/>
  <c r="E67" i="4"/>
  <c r="E68" i="4"/>
  <c r="E69" i="4"/>
  <c r="E88" i="4"/>
  <c r="F67" i="4"/>
  <c r="F68" i="4"/>
  <c r="F69" i="4"/>
  <c r="F88" i="4"/>
  <c r="G67" i="4"/>
  <c r="G68" i="4"/>
  <c r="G69" i="4"/>
  <c r="G88" i="4"/>
  <c r="H67" i="4"/>
  <c r="H68" i="4"/>
  <c r="H69" i="4"/>
  <c r="H88" i="4"/>
  <c r="I67" i="4"/>
  <c r="I68" i="4"/>
  <c r="I69" i="4"/>
  <c r="I88" i="4"/>
  <c r="J67" i="4"/>
  <c r="J68" i="4"/>
  <c r="J69" i="4"/>
  <c r="J88" i="4"/>
  <c r="K67" i="4"/>
  <c r="K68" i="4"/>
  <c r="K69" i="4"/>
  <c r="K88" i="4"/>
  <c r="L67" i="4"/>
  <c r="L68" i="4"/>
  <c r="L69" i="4"/>
  <c r="L88" i="4"/>
  <c r="M67" i="4"/>
  <c r="M68" i="4"/>
  <c r="M69" i="4"/>
  <c r="M88" i="4"/>
  <c r="C70" i="4"/>
  <c r="C71" i="4"/>
  <c r="C72" i="4"/>
  <c r="C89" i="4"/>
  <c r="D70" i="4"/>
  <c r="D71" i="4"/>
  <c r="D72" i="4"/>
  <c r="D89" i="4"/>
  <c r="E70" i="4"/>
  <c r="E71" i="4"/>
  <c r="E72" i="4"/>
  <c r="E89" i="4"/>
  <c r="F70" i="4"/>
  <c r="F71" i="4"/>
  <c r="F72" i="4"/>
  <c r="F89" i="4"/>
  <c r="G70" i="4"/>
  <c r="G71" i="4"/>
  <c r="G72" i="4"/>
  <c r="G89" i="4"/>
  <c r="H70" i="4"/>
  <c r="H71" i="4"/>
  <c r="H72" i="4"/>
  <c r="H89" i="4"/>
  <c r="I70" i="4"/>
  <c r="I71" i="4"/>
  <c r="I72" i="4"/>
  <c r="I89" i="4"/>
  <c r="J70" i="4"/>
  <c r="J71" i="4"/>
  <c r="J72" i="4"/>
  <c r="J89" i="4"/>
  <c r="K70" i="4"/>
  <c r="K71" i="4"/>
  <c r="K72" i="4"/>
  <c r="K89" i="4"/>
  <c r="L70" i="4"/>
  <c r="L71" i="4"/>
  <c r="L72" i="4"/>
  <c r="L89" i="4"/>
  <c r="M70" i="4"/>
  <c r="M71" i="4"/>
  <c r="M72" i="4"/>
  <c r="M89" i="4"/>
  <c r="C73" i="4"/>
  <c r="C74" i="4"/>
  <c r="C75" i="4"/>
  <c r="C90" i="4"/>
  <c r="D73" i="4"/>
  <c r="D74" i="4"/>
  <c r="D75" i="4"/>
  <c r="D90" i="4"/>
  <c r="E73" i="4"/>
  <c r="E74" i="4"/>
  <c r="E75" i="4"/>
  <c r="E90" i="4"/>
  <c r="F73" i="4"/>
  <c r="F74" i="4"/>
  <c r="F75" i="4"/>
  <c r="F90" i="4"/>
  <c r="G73" i="4"/>
  <c r="G74" i="4"/>
  <c r="G75" i="4"/>
  <c r="G90" i="4"/>
  <c r="H73" i="4"/>
  <c r="H74" i="4"/>
  <c r="H75" i="4"/>
  <c r="H90" i="4"/>
  <c r="I73" i="4"/>
  <c r="I74" i="4"/>
  <c r="I75" i="4"/>
  <c r="I90" i="4"/>
  <c r="J73" i="4"/>
  <c r="J74" i="4"/>
  <c r="J75" i="4"/>
  <c r="J90" i="4"/>
  <c r="K73" i="4"/>
  <c r="K74" i="4"/>
  <c r="K75" i="4"/>
  <c r="K90" i="4"/>
  <c r="L73" i="4"/>
  <c r="L74" i="4"/>
  <c r="L75" i="4"/>
  <c r="L90" i="4"/>
  <c r="B67" i="4"/>
  <c r="B68" i="4"/>
  <c r="B69" i="4"/>
  <c r="B88" i="4"/>
  <c r="B73" i="4"/>
  <c r="B74" i="4"/>
  <c r="B75" i="4"/>
  <c r="B90" i="4"/>
  <c r="B43" i="4"/>
  <c r="B44" i="4"/>
  <c r="B45" i="4"/>
  <c r="B80" i="4"/>
  <c r="B46" i="4"/>
  <c r="B47" i="4"/>
  <c r="B48" i="4"/>
  <c r="B81" i="4"/>
  <c r="B49" i="4"/>
  <c r="B50" i="4"/>
  <c r="B51" i="4"/>
  <c r="B82" i="4"/>
  <c r="B52" i="4"/>
  <c r="B53" i="4"/>
  <c r="B54" i="4"/>
  <c r="B83" i="4"/>
  <c r="B55" i="4"/>
  <c r="B56" i="4"/>
  <c r="B57" i="4"/>
  <c r="B84" i="4"/>
  <c r="B58" i="4"/>
  <c r="B59" i="4"/>
  <c r="B60" i="4"/>
  <c r="B85" i="4"/>
  <c r="B61" i="4"/>
  <c r="B62" i="4"/>
  <c r="B63" i="4"/>
  <c r="B86" i="4"/>
  <c r="B64" i="4"/>
  <c r="B65" i="4"/>
  <c r="B66" i="4"/>
  <c r="B87" i="4"/>
  <c r="B70" i="4"/>
  <c r="B71" i="4"/>
  <c r="B72" i="4"/>
  <c r="B89" i="4"/>
  <c r="B40" i="4"/>
  <c r="B41" i="4"/>
  <c r="B42" i="4"/>
  <c r="B79" i="4"/>
  <c r="B40" i="3"/>
  <c r="B41" i="3"/>
  <c r="B42" i="3"/>
  <c r="B79" i="3"/>
  <c r="D67" i="6"/>
  <c r="D68" i="6"/>
  <c r="D69" i="6"/>
  <c r="D70" i="6"/>
  <c r="D71" i="6"/>
  <c r="D72" i="6"/>
  <c r="D73" i="6"/>
  <c r="D74" i="6"/>
  <c r="D75" i="6"/>
  <c r="B40" i="1"/>
  <c r="B41" i="1"/>
  <c r="B42" i="1"/>
  <c r="B79" i="1"/>
  <c r="Q66" i="1"/>
  <c r="M57" i="1"/>
  <c r="U89" i="3"/>
  <c r="T89" i="3"/>
  <c r="AD86" i="3"/>
  <c r="AC86" i="3"/>
  <c r="W83" i="3"/>
  <c r="V83" i="3"/>
  <c r="Q73" i="3"/>
  <c r="Q74" i="3"/>
  <c r="Q75" i="3"/>
  <c r="Q90" i="3"/>
  <c r="T58" i="3"/>
  <c r="T59" i="3"/>
  <c r="T60" i="3"/>
  <c r="T85" i="3"/>
  <c r="U58" i="3"/>
  <c r="U59" i="3"/>
  <c r="U60" i="3"/>
  <c r="U85" i="3"/>
  <c r="V58" i="3"/>
  <c r="V59" i="3"/>
  <c r="V60" i="3"/>
  <c r="V85" i="3"/>
  <c r="W58" i="3"/>
  <c r="W59" i="3"/>
  <c r="W60" i="3"/>
  <c r="W85" i="3"/>
  <c r="X58" i="3"/>
  <c r="X59" i="3"/>
  <c r="X60" i="3"/>
  <c r="X85" i="3"/>
  <c r="Y58" i="3"/>
  <c r="Y59" i="3"/>
  <c r="Y60" i="3"/>
  <c r="Y85" i="3"/>
  <c r="Z58" i="3"/>
  <c r="Z59" i="3"/>
  <c r="Z60" i="3"/>
  <c r="Z85" i="3"/>
  <c r="T61" i="3"/>
  <c r="T62" i="3"/>
  <c r="T63" i="3"/>
  <c r="T86" i="3"/>
  <c r="U61" i="3"/>
  <c r="U62" i="3"/>
  <c r="U63" i="3"/>
  <c r="U86" i="3"/>
  <c r="V61" i="3"/>
  <c r="V62" i="3"/>
  <c r="V63" i="3"/>
  <c r="V86" i="3"/>
  <c r="W61" i="3"/>
  <c r="W62" i="3"/>
  <c r="W63" i="3"/>
  <c r="W86" i="3"/>
  <c r="X61" i="3"/>
  <c r="X62" i="3"/>
  <c r="X63" i="3"/>
  <c r="X86" i="3"/>
  <c r="Y61" i="3"/>
  <c r="Y62" i="3"/>
  <c r="Y63" i="3"/>
  <c r="Y86" i="3"/>
  <c r="Z61" i="3"/>
  <c r="Z62" i="3"/>
  <c r="Z63" i="3"/>
  <c r="Z86" i="3"/>
  <c r="T64" i="3"/>
  <c r="T65" i="3"/>
  <c r="T66" i="3"/>
  <c r="T87" i="3"/>
  <c r="U64" i="3"/>
  <c r="U65" i="3"/>
  <c r="U66" i="3"/>
  <c r="U87" i="3"/>
  <c r="V64" i="3"/>
  <c r="V65" i="3"/>
  <c r="V66" i="3"/>
  <c r="V87" i="3"/>
  <c r="W64" i="3"/>
  <c r="W65" i="3"/>
  <c r="W66" i="3"/>
  <c r="W87" i="3"/>
  <c r="X64" i="3"/>
  <c r="X65" i="3"/>
  <c r="X66" i="3"/>
  <c r="X87" i="3"/>
  <c r="Y64" i="3"/>
  <c r="Y65" i="3"/>
  <c r="Y66" i="3"/>
  <c r="Y87" i="3"/>
  <c r="Z64" i="3"/>
  <c r="Z65" i="3"/>
  <c r="Z66" i="3"/>
  <c r="Z87" i="3"/>
  <c r="K58" i="3"/>
  <c r="K59" i="3"/>
  <c r="K60" i="3"/>
  <c r="K85" i="3"/>
  <c r="L58" i="3"/>
  <c r="L59" i="3"/>
  <c r="L60" i="3"/>
  <c r="L85" i="3"/>
  <c r="M58" i="3"/>
  <c r="M59" i="3"/>
  <c r="M60" i="3"/>
  <c r="M85" i="3"/>
  <c r="N58" i="3"/>
  <c r="N59" i="3"/>
  <c r="N60" i="3"/>
  <c r="N85" i="3"/>
  <c r="O58" i="3"/>
  <c r="O59" i="3"/>
  <c r="O60" i="3"/>
  <c r="O85" i="3"/>
  <c r="P58" i="3"/>
  <c r="P59" i="3"/>
  <c r="P60" i="3"/>
  <c r="P85" i="3"/>
  <c r="Q58" i="3"/>
  <c r="Q59" i="3"/>
  <c r="Q60" i="3"/>
  <c r="Q85" i="3"/>
  <c r="R58" i="3"/>
  <c r="R59" i="3"/>
  <c r="R60" i="3"/>
  <c r="R85" i="3"/>
  <c r="S58" i="3"/>
  <c r="S59" i="3"/>
  <c r="S60" i="3"/>
  <c r="S85" i="3"/>
  <c r="K61" i="3"/>
  <c r="K62" i="3"/>
  <c r="K63" i="3"/>
  <c r="K86" i="3"/>
  <c r="L61" i="3"/>
  <c r="L62" i="3"/>
  <c r="L63" i="3"/>
  <c r="L86" i="3"/>
  <c r="M61" i="3"/>
  <c r="M62" i="3"/>
  <c r="M63" i="3"/>
  <c r="M86" i="3"/>
  <c r="N61" i="3"/>
  <c r="N62" i="3"/>
  <c r="N63" i="3"/>
  <c r="N86" i="3"/>
  <c r="O61" i="3"/>
  <c r="O62" i="3"/>
  <c r="O63" i="3"/>
  <c r="O86" i="3"/>
  <c r="P61" i="3"/>
  <c r="P62" i="3"/>
  <c r="P63" i="3"/>
  <c r="P86" i="3"/>
  <c r="Q61" i="3"/>
  <c r="Q62" i="3"/>
  <c r="Q63" i="3"/>
  <c r="Q86" i="3"/>
  <c r="R61" i="3"/>
  <c r="R62" i="3"/>
  <c r="R63" i="3"/>
  <c r="R86" i="3"/>
  <c r="S61" i="3"/>
  <c r="S62" i="3"/>
  <c r="S63" i="3"/>
  <c r="S86" i="3"/>
  <c r="K64" i="3"/>
  <c r="K65" i="3"/>
  <c r="K66" i="3"/>
  <c r="K87" i="3"/>
  <c r="L64" i="3"/>
  <c r="L65" i="3"/>
  <c r="L66" i="3"/>
  <c r="L87" i="3"/>
  <c r="M64" i="3"/>
  <c r="M65" i="3"/>
  <c r="M66" i="3"/>
  <c r="M87" i="3"/>
  <c r="N64" i="3"/>
  <c r="N65" i="3"/>
  <c r="N66" i="3"/>
  <c r="N87" i="3"/>
  <c r="O64" i="3"/>
  <c r="O65" i="3"/>
  <c r="O66" i="3"/>
  <c r="O87" i="3"/>
  <c r="P64" i="3"/>
  <c r="P65" i="3"/>
  <c r="P66" i="3"/>
  <c r="P87" i="3"/>
  <c r="Q64" i="3"/>
  <c r="Q65" i="3"/>
  <c r="Q66" i="3"/>
  <c r="Q87" i="3"/>
  <c r="R64" i="3"/>
  <c r="R65" i="3"/>
  <c r="R66" i="3"/>
  <c r="R87" i="3"/>
  <c r="S64" i="3"/>
  <c r="S65" i="3"/>
  <c r="S66" i="3"/>
  <c r="S87" i="3"/>
  <c r="K67" i="3"/>
  <c r="K68" i="3"/>
  <c r="K69" i="3"/>
  <c r="K88" i="3"/>
  <c r="L67" i="3"/>
  <c r="L68" i="3"/>
  <c r="L69" i="3"/>
  <c r="L88" i="3"/>
  <c r="M67" i="3"/>
  <c r="M68" i="3"/>
  <c r="M69" i="3"/>
  <c r="M88" i="3"/>
  <c r="N67" i="3"/>
  <c r="N68" i="3"/>
  <c r="N69" i="3"/>
  <c r="N88" i="3"/>
  <c r="O67" i="3"/>
  <c r="O68" i="3"/>
  <c r="O69" i="3"/>
  <c r="O88" i="3"/>
  <c r="P67" i="3"/>
  <c r="P68" i="3"/>
  <c r="P69" i="3"/>
  <c r="P88" i="3"/>
  <c r="Q67" i="3"/>
  <c r="Q68" i="3"/>
  <c r="Q69" i="3"/>
  <c r="Q88" i="3"/>
  <c r="K70" i="3"/>
  <c r="K71" i="3"/>
  <c r="K72" i="3"/>
  <c r="K89" i="3"/>
  <c r="L70" i="3"/>
  <c r="L71" i="3"/>
  <c r="L72" i="3"/>
  <c r="L89" i="3"/>
  <c r="M70" i="3"/>
  <c r="M71" i="3"/>
  <c r="M72" i="3"/>
  <c r="M89" i="3"/>
  <c r="N70" i="3"/>
  <c r="N71" i="3"/>
  <c r="N72" i="3"/>
  <c r="N89" i="3"/>
  <c r="O70" i="3"/>
  <c r="O71" i="3"/>
  <c r="O72" i="3"/>
  <c r="O89" i="3"/>
  <c r="P70" i="3"/>
  <c r="P71" i="3"/>
  <c r="P72" i="3"/>
  <c r="P89" i="3"/>
  <c r="Q70" i="3"/>
  <c r="Q71" i="3"/>
  <c r="Q72" i="3"/>
  <c r="Q89" i="3"/>
  <c r="K73" i="3"/>
  <c r="K74" i="3"/>
  <c r="K75" i="3"/>
  <c r="K90" i="3"/>
  <c r="L73" i="3"/>
  <c r="L74" i="3"/>
  <c r="L75" i="3"/>
  <c r="L90" i="3"/>
  <c r="M73" i="3"/>
  <c r="M74" i="3"/>
  <c r="M75" i="3"/>
  <c r="M90" i="3"/>
  <c r="N73" i="3"/>
  <c r="N74" i="3"/>
  <c r="N75" i="3"/>
  <c r="N90" i="3"/>
  <c r="O73" i="3"/>
  <c r="O74" i="3"/>
  <c r="O75" i="3"/>
  <c r="O90" i="3"/>
  <c r="P73" i="3"/>
  <c r="P74" i="3"/>
  <c r="P75" i="3"/>
  <c r="P90" i="3"/>
  <c r="L49" i="3"/>
  <c r="L50" i="3"/>
  <c r="L51" i="3"/>
  <c r="L82" i="3"/>
  <c r="M49" i="3"/>
  <c r="M50" i="3"/>
  <c r="M51" i="3"/>
  <c r="M82" i="3"/>
  <c r="N49" i="3"/>
  <c r="N50" i="3"/>
  <c r="N51" i="3"/>
  <c r="N82" i="3"/>
  <c r="O49" i="3"/>
  <c r="O50" i="3"/>
  <c r="O51" i="3"/>
  <c r="O82" i="3"/>
  <c r="P49" i="3"/>
  <c r="P50" i="3"/>
  <c r="P51" i="3"/>
  <c r="P82" i="3"/>
  <c r="Q49" i="3"/>
  <c r="Q50" i="3"/>
  <c r="Q51" i="3"/>
  <c r="Q82" i="3"/>
  <c r="R49" i="3"/>
  <c r="R50" i="3"/>
  <c r="R51" i="3"/>
  <c r="R82" i="3"/>
  <c r="S49" i="3"/>
  <c r="S50" i="3"/>
  <c r="S51" i="3"/>
  <c r="S82" i="3"/>
  <c r="L52" i="3"/>
  <c r="L53" i="3"/>
  <c r="L54" i="3"/>
  <c r="L83" i="3"/>
  <c r="M52" i="3"/>
  <c r="M53" i="3"/>
  <c r="M54" i="3"/>
  <c r="M83" i="3"/>
  <c r="N52" i="3"/>
  <c r="N53" i="3"/>
  <c r="N54" i="3"/>
  <c r="N83" i="3"/>
  <c r="O52" i="3"/>
  <c r="O53" i="3"/>
  <c r="O54" i="3"/>
  <c r="O83" i="3"/>
  <c r="P52" i="3"/>
  <c r="P53" i="3"/>
  <c r="P54" i="3"/>
  <c r="P83" i="3"/>
  <c r="Q52" i="3"/>
  <c r="Q53" i="3"/>
  <c r="Q54" i="3"/>
  <c r="Q83" i="3"/>
  <c r="R52" i="3"/>
  <c r="R53" i="3"/>
  <c r="R54" i="3"/>
  <c r="R83" i="3"/>
  <c r="S52" i="3"/>
  <c r="S53" i="3"/>
  <c r="S54" i="3"/>
  <c r="S83" i="3"/>
  <c r="L55" i="3"/>
  <c r="L56" i="3"/>
  <c r="L57" i="3"/>
  <c r="L84" i="3"/>
  <c r="M55" i="3"/>
  <c r="M56" i="3"/>
  <c r="M57" i="3"/>
  <c r="M84" i="3"/>
  <c r="N55" i="3"/>
  <c r="N56" i="3"/>
  <c r="N57" i="3"/>
  <c r="N84" i="3"/>
  <c r="O55" i="3"/>
  <c r="O56" i="3"/>
  <c r="O57" i="3"/>
  <c r="O84" i="3"/>
  <c r="P55" i="3"/>
  <c r="P56" i="3"/>
  <c r="P57" i="3"/>
  <c r="P84" i="3"/>
  <c r="Q55" i="3"/>
  <c r="Q56" i="3"/>
  <c r="Q57" i="3"/>
  <c r="Q84" i="3"/>
  <c r="R55" i="3"/>
  <c r="R56" i="3"/>
  <c r="R57" i="3"/>
  <c r="R84" i="3"/>
  <c r="S55" i="3"/>
  <c r="S56" i="3"/>
  <c r="S57" i="3"/>
  <c r="S84" i="3"/>
  <c r="B43" i="3"/>
  <c r="B44" i="3"/>
  <c r="B45" i="3"/>
  <c r="B80" i="3"/>
  <c r="C43" i="3"/>
  <c r="C44" i="3"/>
  <c r="C45" i="3"/>
  <c r="C80" i="3"/>
  <c r="D43" i="3"/>
  <c r="D44" i="3"/>
  <c r="D45" i="3"/>
  <c r="D80" i="3"/>
  <c r="E43" i="3"/>
  <c r="E44" i="3"/>
  <c r="E45" i="3"/>
  <c r="E80" i="3"/>
  <c r="F43" i="3"/>
  <c r="F44" i="3"/>
  <c r="F45" i="3"/>
  <c r="F80" i="3"/>
  <c r="G43" i="3"/>
  <c r="G44" i="3"/>
  <c r="G45" i="3"/>
  <c r="G80" i="3"/>
  <c r="H43" i="3"/>
  <c r="H44" i="3"/>
  <c r="H45" i="3"/>
  <c r="H80" i="3"/>
  <c r="I43" i="3"/>
  <c r="I44" i="3"/>
  <c r="I45" i="3"/>
  <c r="I80" i="3"/>
  <c r="J43" i="3"/>
  <c r="J44" i="3"/>
  <c r="J45" i="3"/>
  <c r="J80" i="3"/>
  <c r="K43" i="3"/>
  <c r="K44" i="3"/>
  <c r="K45" i="3"/>
  <c r="K80" i="3"/>
  <c r="B46" i="3"/>
  <c r="B47" i="3"/>
  <c r="B48" i="3"/>
  <c r="B81" i="3"/>
  <c r="C46" i="3"/>
  <c r="C47" i="3"/>
  <c r="C48" i="3"/>
  <c r="C81" i="3"/>
  <c r="D46" i="3"/>
  <c r="D47" i="3"/>
  <c r="D48" i="3"/>
  <c r="D81" i="3"/>
  <c r="E46" i="3"/>
  <c r="E47" i="3"/>
  <c r="E48" i="3"/>
  <c r="E81" i="3"/>
  <c r="F46" i="3"/>
  <c r="F47" i="3"/>
  <c r="F48" i="3"/>
  <c r="F81" i="3"/>
  <c r="G46" i="3"/>
  <c r="G47" i="3"/>
  <c r="G48" i="3"/>
  <c r="G81" i="3"/>
  <c r="H46" i="3"/>
  <c r="H47" i="3"/>
  <c r="H48" i="3"/>
  <c r="H81" i="3"/>
  <c r="I46" i="3"/>
  <c r="I47" i="3"/>
  <c r="I48" i="3"/>
  <c r="I81" i="3"/>
  <c r="J46" i="3"/>
  <c r="J47" i="3"/>
  <c r="J48" i="3"/>
  <c r="J81" i="3"/>
  <c r="K46" i="3"/>
  <c r="K47" i="3"/>
  <c r="K48" i="3"/>
  <c r="K81" i="3"/>
  <c r="B49" i="3"/>
  <c r="B50" i="3"/>
  <c r="B51" i="3"/>
  <c r="B82" i="3"/>
  <c r="C49" i="3"/>
  <c r="C50" i="3"/>
  <c r="C51" i="3"/>
  <c r="C82" i="3"/>
  <c r="D49" i="3"/>
  <c r="D50" i="3"/>
  <c r="D51" i="3"/>
  <c r="D82" i="3"/>
  <c r="E49" i="3"/>
  <c r="E50" i="3"/>
  <c r="E51" i="3"/>
  <c r="E82" i="3"/>
  <c r="F49" i="3"/>
  <c r="F50" i="3"/>
  <c r="F51" i="3"/>
  <c r="F82" i="3"/>
  <c r="G49" i="3"/>
  <c r="G50" i="3"/>
  <c r="G51" i="3"/>
  <c r="G82" i="3"/>
  <c r="H49" i="3"/>
  <c r="H50" i="3"/>
  <c r="H51" i="3"/>
  <c r="H82" i="3"/>
  <c r="I49" i="3"/>
  <c r="I50" i="3"/>
  <c r="I51" i="3"/>
  <c r="I82" i="3"/>
  <c r="J49" i="3"/>
  <c r="J50" i="3"/>
  <c r="J51" i="3"/>
  <c r="J82" i="3"/>
  <c r="K49" i="3"/>
  <c r="K50" i="3"/>
  <c r="K51" i="3"/>
  <c r="K82" i="3"/>
  <c r="B52" i="3"/>
  <c r="B53" i="3"/>
  <c r="B54" i="3"/>
  <c r="B83" i="3"/>
  <c r="C52" i="3"/>
  <c r="C53" i="3"/>
  <c r="C54" i="3"/>
  <c r="C83" i="3"/>
  <c r="D52" i="3"/>
  <c r="D53" i="3"/>
  <c r="D54" i="3"/>
  <c r="D83" i="3"/>
  <c r="E52" i="3"/>
  <c r="E53" i="3"/>
  <c r="E54" i="3"/>
  <c r="E83" i="3"/>
  <c r="F52" i="3"/>
  <c r="F53" i="3"/>
  <c r="F54" i="3"/>
  <c r="F83" i="3"/>
  <c r="G52" i="3"/>
  <c r="G53" i="3"/>
  <c r="G54" i="3"/>
  <c r="G83" i="3"/>
  <c r="H52" i="3"/>
  <c r="H53" i="3"/>
  <c r="H54" i="3"/>
  <c r="H83" i="3"/>
  <c r="I52" i="3"/>
  <c r="I53" i="3"/>
  <c r="I54" i="3"/>
  <c r="I83" i="3"/>
  <c r="J52" i="3"/>
  <c r="J53" i="3"/>
  <c r="J54" i="3"/>
  <c r="J83" i="3"/>
  <c r="K52" i="3"/>
  <c r="K53" i="3"/>
  <c r="K54" i="3"/>
  <c r="K83" i="3"/>
  <c r="B55" i="3"/>
  <c r="B56" i="3"/>
  <c r="B57" i="3"/>
  <c r="B84" i="3"/>
  <c r="C55" i="3"/>
  <c r="C56" i="3"/>
  <c r="C57" i="3"/>
  <c r="C84" i="3"/>
  <c r="D55" i="3"/>
  <c r="D56" i="3"/>
  <c r="D57" i="3"/>
  <c r="D84" i="3"/>
  <c r="E55" i="3"/>
  <c r="E56" i="3"/>
  <c r="E57" i="3"/>
  <c r="E84" i="3"/>
  <c r="F55" i="3"/>
  <c r="F56" i="3"/>
  <c r="F57" i="3"/>
  <c r="F84" i="3"/>
  <c r="G55" i="3"/>
  <c r="G56" i="3"/>
  <c r="G57" i="3"/>
  <c r="G84" i="3"/>
  <c r="H55" i="3"/>
  <c r="H56" i="3"/>
  <c r="H57" i="3"/>
  <c r="H84" i="3"/>
  <c r="I55" i="3"/>
  <c r="I56" i="3"/>
  <c r="I57" i="3"/>
  <c r="I84" i="3"/>
  <c r="J55" i="3"/>
  <c r="J56" i="3"/>
  <c r="J57" i="3"/>
  <c r="J84" i="3"/>
  <c r="K55" i="3"/>
  <c r="K56" i="3"/>
  <c r="K57" i="3"/>
  <c r="K84" i="3"/>
  <c r="B58" i="3"/>
  <c r="B59" i="3"/>
  <c r="B60" i="3"/>
  <c r="B85" i="3"/>
  <c r="C58" i="3"/>
  <c r="C59" i="3"/>
  <c r="C60" i="3"/>
  <c r="C85" i="3"/>
  <c r="D58" i="3"/>
  <c r="D59" i="3"/>
  <c r="D60" i="3"/>
  <c r="D85" i="3"/>
  <c r="E58" i="3"/>
  <c r="E59" i="3"/>
  <c r="E60" i="3"/>
  <c r="E85" i="3"/>
  <c r="F58" i="3"/>
  <c r="F59" i="3"/>
  <c r="F60" i="3"/>
  <c r="F85" i="3"/>
  <c r="I58" i="3"/>
  <c r="I59" i="3"/>
  <c r="I60" i="3"/>
  <c r="I85" i="3"/>
  <c r="J58" i="3"/>
  <c r="J59" i="3"/>
  <c r="J60" i="3"/>
  <c r="J85" i="3"/>
  <c r="B61" i="3"/>
  <c r="B62" i="3"/>
  <c r="B63" i="3"/>
  <c r="B86" i="3"/>
  <c r="C61" i="3"/>
  <c r="C62" i="3"/>
  <c r="C63" i="3"/>
  <c r="C86" i="3"/>
  <c r="D61" i="3"/>
  <c r="D62" i="3"/>
  <c r="D63" i="3"/>
  <c r="D86" i="3"/>
  <c r="E61" i="3"/>
  <c r="E62" i="3"/>
  <c r="E63" i="3"/>
  <c r="E86" i="3"/>
  <c r="F61" i="3"/>
  <c r="F62" i="3"/>
  <c r="F63" i="3"/>
  <c r="F86" i="3"/>
  <c r="I61" i="3"/>
  <c r="I62" i="3"/>
  <c r="I63" i="3"/>
  <c r="I86" i="3"/>
  <c r="J61" i="3"/>
  <c r="J62" i="3"/>
  <c r="J63" i="3"/>
  <c r="J86" i="3"/>
  <c r="B64" i="3"/>
  <c r="B65" i="3"/>
  <c r="B66" i="3"/>
  <c r="B87" i="3"/>
  <c r="C64" i="3"/>
  <c r="C65" i="3"/>
  <c r="C66" i="3"/>
  <c r="C87" i="3"/>
  <c r="D64" i="3"/>
  <c r="D65" i="3"/>
  <c r="D66" i="3"/>
  <c r="D87" i="3"/>
  <c r="E64" i="3"/>
  <c r="E65" i="3"/>
  <c r="E66" i="3"/>
  <c r="E87" i="3"/>
  <c r="F64" i="3"/>
  <c r="F65" i="3"/>
  <c r="F66" i="3"/>
  <c r="F87" i="3"/>
  <c r="H64" i="3"/>
  <c r="H65" i="3"/>
  <c r="H66" i="3"/>
  <c r="H87" i="3"/>
  <c r="I64" i="3"/>
  <c r="I65" i="3"/>
  <c r="I66" i="3"/>
  <c r="I87" i="3"/>
  <c r="J64" i="3"/>
  <c r="J65" i="3"/>
  <c r="J66" i="3"/>
  <c r="J87" i="3"/>
  <c r="B67" i="3"/>
  <c r="B68" i="3"/>
  <c r="B69" i="3"/>
  <c r="B88" i="3"/>
  <c r="D67" i="3"/>
  <c r="D68" i="3"/>
  <c r="D69" i="3"/>
  <c r="D88" i="3"/>
  <c r="E67" i="3"/>
  <c r="E68" i="3"/>
  <c r="E69" i="3"/>
  <c r="E88" i="3"/>
  <c r="F67" i="3"/>
  <c r="F68" i="3"/>
  <c r="F69" i="3"/>
  <c r="F88" i="3"/>
  <c r="G67" i="3"/>
  <c r="G68" i="3"/>
  <c r="G69" i="3"/>
  <c r="G88" i="3"/>
  <c r="H67" i="3"/>
  <c r="H68" i="3"/>
  <c r="H69" i="3"/>
  <c r="H88" i="3"/>
  <c r="I67" i="3"/>
  <c r="I68" i="3"/>
  <c r="I69" i="3"/>
  <c r="I88" i="3"/>
  <c r="J67" i="3"/>
  <c r="J68" i="3"/>
  <c r="J69" i="3"/>
  <c r="J88" i="3"/>
  <c r="B70" i="3"/>
  <c r="B71" i="3"/>
  <c r="B72" i="3"/>
  <c r="B89" i="3"/>
  <c r="D70" i="3"/>
  <c r="D71" i="3"/>
  <c r="D72" i="3"/>
  <c r="D89" i="3"/>
  <c r="E70" i="3"/>
  <c r="E71" i="3"/>
  <c r="E72" i="3"/>
  <c r="E89" i="3"/>
  <c r="F70" i="3"/>
  <c r="F71" i="3"/>
  <c r="F72" i="3"/>
  <c r="F89" i="3"/>
  <c r="G70" i="3"/>
  <c r="G71" i="3"/>
  <c r="G72" i="3"/>
  <c r="G89" i="3"/>
  <c r="H70" i="3"/>
  <c r="H71" i="3"/>
  <c r="H72" i="3"/>
  <c r="H89" i="3"/>
  <c r="I70" i="3"/>
  <c r="I71" i="3"/>
  <c r="I72" i="3"/>
  <c r="I89" i="3"/>
  <c r="J70" i="3"/>
  <c r="J71" i="3"/>
  <c r="J72" i="3"/>
  <c r="J89" i="3"/>
  <c r="B73" i="3"/>
  <c r="B74" i="3"/>
  <c r="B75" i="3"/>
  <c r="B90" i="3"/>
  <c r="D73" i="3"/>
  <c r="D74" i="3"/>
  <c r="D75" i="3"/>
  <c r="D90" i="3"/>
  <c r="E73" i="3"/>
  <c r="E74" i="3"/>
  <c r="E75" i="3"/>
  <c r="E90" i="3"/>
  <c r="F73" i="3"/>
  <c r="F74" i="3"/>
  <c r="F75" i="3"/>
  <c r="F90" i="3"/>
  <c r="G73" i="3"/>
  <c r="G74" i="3"/>
  <c r="G75" i="3"/>
  <c r="G90" i="3"/>
  <c r="H73" i="3"/>
  <c r="H74" i="3"/>
  <c r="H75" i="3"/>
  <c r="H90" i="3"/>
  <c r="I73" i="3"/>
  <c r="I74" i="3"/>
  <c r="I75" i="3"/>
  <c r="I90" i="3"/>
  <c r="J73" i="3"/>
  <c r="J74" i="3"/>
  <c r="J75" i="3"/>
  <c r="J90" i="3"/>
  <c r="C40" i="3"/>
  <c r="C41" i="3"/>
  <c r="C42" i="3"/>
  <c r="C79" i="3"/>
  <c r="D40" i="3"/>
  <c r="D41" i="3"/>
  <c r="D42" i="3"/>
  <c r="D79" i="3"/>
  <c r="E40" i="3"/>
  <c r="E41" i="3"/>
  <c r="E42" i="3"/>
  <c r="E79" i="3"/>
  <c r="F40" i="3"/>
  <c r="F41" i="3"/>
  <c r="F42" i="3"/>
  <c r="F79" i="3"/>
  <c r="G40" i="3"/>
  <c r="G41" i="3"/>
  <c r="G42" i="3"/>
  <c r="G79" i="3"/>
  <c r="H40" i="3"/>
  <c r="H41" i="3"/>
  <c r="H42" i="3"/>
  <c r="H79" i="3"/>
  <c r="I40" i="3"/>
  <c r="I41" i="3"/>
  <c r="I42" i="3"/>
  <c r="I79" i="3"/>
  <c r="J40" i="3"/>
  <c r="J41" i="3"/>
  <c r="J42" i="3"/>
  <c r="J79" i="3"/>
  <c r="K40" i="3"/>
  <c r="K41" i="3"/>
  <c r="K42" i="3"/>
  <c r="K79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G65" i="3"/>
  <c r="G66" i="3"/>
  <c r="C67" i="3"/>
  <c r="C68" i="3"/>
  <c r="C69" i="3"/>
  <c r="C70" i="3"/>
  <c r="C71" i="3"/>
  <c r="C72" i="3"/>
  <c r="C73" i="3"/>
  <c r="C74" i="3"/>
  <c r="C75" i="3"/>
  <c r="R89" i="2"/>
  <c r="Q89" i="2"/>
  <c r="Y86" i="2"/>
  <c r="X86" i="2"/>
  <c r="R83" i="2"/>
  <c r="Q83" i="2"/>
  <c r="C70" i="2"/>
  <c r="C71" i="2"/>
  <c r="C89" i="2"/>
  <c r="C73" i="2"/>
  <c r="C74" i="2"/>
  <c r="C90" i="2"/>
  <c r="O58" i="2"/>
  <c r="O59" i="2"/>
  <c r="O60" i="2"/>
  <c r="O85" i="2"/>
  <c r="P58" i="2"/>
  <c r="P59" i="2"/>
  <c r="P60" i="2"/>
  <c r="P85" i="2"/>
  <c r="Q58" i="2"/>
  <c r="Q59" i="2"/>
  <c r="Q60" i="2"/>
  <c r="Q85" i="2"/>
  <c r="R58" i="2"/>
  <c r="R59" i="2"/>
  <c r="R60" i="2"/>
  <c r="R85" i="2"/>
  <c r="S58" i="2"/>
  <c r="S59" i="2"/>
  <c r="S60" i="2"/>
  <c r="S85" i="2"/>
  <c r="T58" i="2"/>
  <c r="T59" i="2"/>
  <c r="T60" i="2"/>
  <c r="T85" i="2"/>
  <c r="U58" i="2"/>
  <c r="U59" i="2"/>
  <c r="U60" i="2"/>
  <c r="U85" i="2"/>
  <c r="O61" i="2"/>
  <c r="O62" i="2"/>
  <c r="O63" i="2"/>
  <c r="O86" i="2"/>
  <c r="P61" i="2"/>
  <c r="P62" i="2"/>
  <c r="P63" i="2"/>
  <c r="P86" i="2"/>
  <c r="Q61" i="2"/>
  <c r="Q62" i="2"/>
  <c r="Q63" i="2"/>
  <c r="Q86" i="2"/>
  <c r="R61" i="2"/>
  <c r="R62" i="2"/>
  <c r="R63" i="2"/>
  <c r="R86" i="2"/>
  <c r="S61" i="2"/>
  <c r="S62" i="2"/>
  <c r="S63" i="2"/>
  <c r="S86" i="2"/>
  <c r="T61" i="2"/>
  <c r="T62" i="2"/>
  <c r="T63" i="2"/>
  <c r="T86" i="2"/>
  <c r="U61" i="2"/>
  <c r="U62" i="2"/>
  <c r="U63" i="2"/>
  <c r="U86" i="2"/>
  <c r="O64" i="2"/>
  <c r="O65" i="2"/>
  <c r="O87" i="2"/>
  <c r="P64" i="2"/>
  <c r="P65" i="2"/>
  <c r="P87" i="2"/>
  <c r="Q64" i="2"/>
  <c r="Q65" i="2"/>
  <c r="Q87" i="2"/>
  <c r="R64" i="2"/>
  <c r="R65" i="2"/>
  <c r="R87" i="2"/>
  <c r="S64" i="2"/>
  <c r="S65" i="2"/>
  <c r="S87" i="2"/>
  <c r="T64" i="2"/>
  <c r="T65" i="2"/>
  <c r="T87" i="2"/>
  <c r="U64" i="2"/>
  <c r="U65" i="2"/>
  <c r="U87" i="2"/>
  <c r="B58" i="2"/>
  <c r="B59" i="2"/>
  <c r="B60" i="2"/>
  <c r="B85" i="2"/>
  <c r="C58" i="2"/>
  <c r="C59" i="2"/>
  <c r="C60" i="2"/>
  <c r="C85" i="2"/>
  <c r="D58" i="2"/>
  <c r="D59" i="2"/>
  <c r="D60" i="2"/>
  <c r="D85" i="2"/>
  <c r="E58" i="2"/>
  <c r="E59" i="2"/>
  <c r="E60" i="2"/>
  <c r="E85" i="2"/>
  <c r="F58" i="2"/>
  <c r="F59" i="2"/>
  <c r="F60" i="2"/>
  <c r="F85" i="2"/>
  <c r="G58" i="2"/>
  <c r="G59" i="2"/>
  <c r="G60" i="2"/>
  <c r="G85" i="2"/>
  <c r="H58" i="2"/>
  <c r="H59" i="2"/>
  <c r="H60" i="2"/>
  <c r="H85" i="2"/>
  <c r="J58" i="2"/>
  <c r="J59" i="2"/>
  <c r="J85" i="2"/>
  <c r="K58" i="2"/>
  <c r="K59" i="2"/>
  <c r="K60" i="2"/>
  <c r="K85" i="2"/>
  <c r="L58" i="2"/>
  <c r="L59" i="2"/>
  <c r="L60" i="2"/>
  <c r="L85" i="2"/>
  <c r="M58" i="2"/>
  <c r="M59" i="2"/>
  <c r="M60" i="2"/>
  <c r="M85" i="2"/>
  <c r="N58" i="2"/>
  <c r="N59" i="2"/>
  <c r="N60" i="2"/>
  <c r="N85" i="2"/>
  <c r="B61" i="2"/>
  <c r="B62" i="2"/>
  <c r="B63" i="2"/>
  <c r="B86" i="2"/>
  <c r="C61" i="2"/>
  <c r="C62" i="2"/>
  <c r="C63" i="2"/>
  <c r="C86" i="2"/>
  <c r="D61" i="2"/>
  <c r="D62" i="2"/>
  <c r="D63" i="2"/>
  <c r="D86" i="2"/>
  <c r="E61" i="2"/>
  <c r="E62" i="2"/>
  <c r="E63" i="2"/>
  <c r="E86" i="2"/>
  <c r="F61" i="2"/>
  <c r="F62" i="2"/>
  <c r="F63" i="2"/>
  <c r="F86" i="2"/>
  <c r="G61" i="2"/>
  <c r="G62" i="2"/>
  <c r="G63" i="2"/>
  <c r="G86" i="2"/>
  <c r="H61" i="2"/>
  <c r="H62" i="2"/>
  <c r="H63" i="2"/>
  <c r="H86" i="2"/>
  <c r="J61" i="2"/>
  <c r="J62" i="2"/>
  <c r="J63" i="2"/>
  <c r="J86" i="2"/>
  <c r="K61" i="2"/>
  <c r="K62" i="2"/>
  <c r="K63" i="2"/>
  <c r="K86" i="2"/>
  <c r="L61" i="2"/>
  <c r="L62" i="2"/>
  <c r="L63" i="2"/>
  <c r="L86" i="2"/>
  <c r="M61" i="2"/>
  <c r="M62" i="2"/>
  <c r="M63" i="2"/>
  <c r="M86" i="2"/>
  <c r="N61" i="2"/>
  <c r="N62" i="2"/>
  <c r="N63" i="2"/>
  <c r="N86" i="2"/>
  <c r="B64" i="2"/>
  <c r="B65" i="2"/>
  <c r="B66" i="2"/>
  <c r="B87" i="2"/>
  <c r="C64" i="2"/>
  <c r="C65" i="2"/>
  <c r="C66" i="2"/>
  <c r="C87" i="2"/>
  <c r="D64" i="2"/>
  <c r="D65" i="2"/>
  <c r="D66" i="2"/>
  <c r="D87" i="2"/>
  <c r="E64" i="2"/>
  <c r="E65" i="2"/>
  <c r="E66" i="2"/>
  <c r="E87" i="2"/>
  <c r="F64" i="2"/>
  <c r="F65" i="2"/>
  <c r="F66" i="2"/>
  <c r="F87" i="2"/>
  <c r="G64" i="2"/>
  <c r="G65" i="2"/>
  <c r="G66" i="2"/>
  <c r="G87" i="2"/>
  <c r="H64" i="2"/>
  <c r="H65" i="2"/>
  <c r="H66" i="2"/>
  <c r="H87" i="2"/>
  <c r="J64" i="2"/>
  <c r="J65" i="2"/>
  <c r="J87" i="2"/>
  <c r="K64" i="2"/>
  <c r="K65" i="2"/>
  <c r="K66" i="2"/>
  <c r="K87" i="2"/>
  <c r="L64" i="2"/>
  <c r="L65" i="2"/>
  <c r="L66" i="2"/>
  <c r="L87" i="2"/>
  <c r="M64" i="2"/>
  <c r="M65" i="2"/>
  <c r="M66" i="2"/>
  <c r="M87" i="2"/>
  <c r="N64" i="2"/>
  <c r="N65" i="2"/>
  <c r="N66" i="2"/>
  <c r="N87" i="2"/>
  <c r="B67" i="2"/>
  <c r="B68" i="2"/>
  <c r="B69" i="2"/>
  <c r="B88" i="2"/>
  <c r="C67" i="2"/>
  <c r="C68" i="2"/>
  <c r="C88" i="2"/>
  <c r="D67" i="2"/>
  <c r="D68" i="2"/>
  <c r="D69" i="2"/>
  <c r="D88" i="2"/>
  <c r="E67" i="2"/>
  <c r="E68" i="2"/>
  <c r="E69" i="2"/>
  <c r="E88" i="2"/>
  <c r="F67" i="2"/>
  <c r="F68" i="2"/>
  <c r="F69" i="2"/>
  <c r="F88" i="2"/>
  <c r="G67" i="2"/>
  <c r="G68" i="2"/>
  <c r="G69" i="2"/>
  <c r="G88" i="2"/>
  <c r="H67" i="2"/>
  <c r="H68" i="2"/>
  <c r="H69" i="2"/>
  <c r="H88" i="2"/>
  <c r="I67" i="2"/>
  <c r="I68" i="2"/>
  <c r="I69" i="2"/>
  <c r="I88" i="2"/>
  <c r="J67" i="2"/>
  <c r="J68" i="2"/>
  <c r="J69" i="2"/>
  <c r="J88" i="2"/>
  <c r="K67" i="2"/>
  <c r="K68" i="2"/>
  <c r="K69" i="2"/>
  <c r="K88" i="2"/>
  <c r="L67" i="2"/>
  <c r="L68" i="2"/>
  <c r="L69" i="2"/>
  <c r="L88" i="2"/>
  <c r="M67" i="2"/>
  <c r="M68" i="2"/>
  <c r="M69" i="2"/>
  <c r="M88" i="2"/>
  <c r="N67" i="2"/>
  <c r="N68" i="2"/>
  <c r="N69" i="2"/>
  <c r="N88" i="2"/>
  <c r="B70" i="2"/>
  <c r="B71" i="2"/>
  <c r="B72" i="2"/>
  <c r="B89" i="2"/>
  <c r="D70" i="2"/>
  <c r="D71" i="2"/>
  <c r="D72" i="2"/>
  <c r="D89" i="2"/>
  <c r="E70" i="2"/>
  <c r="E71" i="2"/>
  <c r="E72" i="2"/>
  <c r="E89" i="2"/>
  <c r="F70" i="2"/>
  <c r="F71" i="2"/>
  <c r="F72" i="2"/>
  <c r="F89" i="2"/>
  <c r="G70" i="2"/>
  <c r="G71" i="2"/>
  <c r="G72" i="2"/>
  <c r="G89" i="2"/>
  <c r="H70" i="2"/>
  <c r="H71" i="2"/>
  <c r="H72" i="2"/>
  <c r="H89" i="2"/>
  <c r="I70" i="2"/>
  <c r="I71" i="2"/>
  <c r="I72" i="2"/>
  <c r="I89" i="2"/>
  <c r="J70" i="2"/>
  <c r="J71" i="2"/>
  <c r="J72" i="2"/>
  <c r="J89" i="2"/>
  <c r="K70" i="2"/>
  <c r="K71" i="2"/>
  <c r="K72" i="2"/>
  <c r="K89" i="2"/>
  <c r="L70" i="2"/>
  <c r="L71" i="2"/>
  <c r="L72" i="2"/>
  <c r="L89" i="2"/>
  <c r="M70" i="2"/>
  <c r="M71" i="2"/>
  <c r="M72" i="2"/>
  <c r="M89" i="2"/>
  <c r="N70" i="2"/>
  <c r="N71" i="2"/>
  <c r="N72" i="2"/>
  <c r="N89" i="2"/>
  <c r="B73" i="2"/>
  <c r="B74" i="2"/>
  <c r="B75" i="2"/>
  <c r="B90" i="2"/>
  <c r="D73" i="2"/>
  <c r="D74" i="2"/>
  <c r="D75" i="2"/>
  <c r="D90" i="2"/>
  <c r="E73" i="2"/>
  <c r="E74" i="2"/>
  <c r="E75" i="2"/>
  <c r="E90" i="2"/>
  <c r="F73" i="2"/>
  <c r="F74" i="2"/>
  <c r="F75" i="2"/>
  <c r="F90" i="2"/>
  <c r="G73" i="2"/>
  <c r="G74" i="2"/>
  <c r="G75" i="2"/>
  <c r="G90" i="2"/>
  <c r="H73" i="2"/>
  <c r="H74" i="2"/>
  <c r="H75" i="2"/>
  <c r="H90" i="2"/>
  <c r="I73" i="2"/>
  <c r="I74" i="2"/>
  <c r="I75" i="2"/>
  <c r="I90" i="2"/>
  <c r="J73" i="2"/>
  <c r="J74" i="2"/>
  <c r="J75" i="2"/>
  <c r="J90" i="2"/>
  <c r="K73" i="2"/>
  <c r="K74" i="2"/>
  <c r="K75" i="2"/>
  <c r="K90" i="2"/>
  <c r="L73" i="2"/>
  <c r="L74" i="2"/>
  <c r="L75" i="2"/>
  <c r="L90" i="2"/>
  <c r="M73" i="2"/>
  <c r="M74" i="2"/>
  <c r="M75" i="2"/>
  <c r="M90" i="2"/>
  <c r="N73" i="2"/>
  <c r="N74" i="2"/>
  <c r="N75" i="2"/>
  <c r="N90" i="2"/>
  <c r="M49" i="2"/>
  <c r="M50" i="2"/>
  <c r="M51" i="2"/>
  <c r="M82" i="2"/>
  <c r="N49" i="2"/>
  <c r="N50" i="2"/>
  <c r="N51" i="2"/>
  <c r="N82" i="2"/>
  <c r="M52" i="2"/>
  <c r="M53" i="2"/>
  <c r="M54" i="2"/>
  <c r="M83" i="2"/>
  <c r="N52" i="2"/>
  <c r="N53" i="2"/>
  <c r="N54" i="2"/>
  <c r="N83" i="2"/>
  <c r="M55" i="2"/>
  <c r="M56" i="2"/>
  <c r="M57" i="2"/>
  <c r="M84" i="2"/>
  <c r="N55" i="2"/>
  <c r="N56" i="2"/>
  <c r="N57" i="2"/>
  <c r="N84" i="2"/>
  <c r="B49" i="2"/>
  <c r="B50" i="2"/>
  <c r="B51" i="2"/>
  <c r="B82" i="2"/>
  <c r="C49" i="2"/>
  <c r="C50" i="2"/>
  <c r="C51" i="2"/>
  <c r="C82" i="2"/>
  <c r="D49" i="2"/>
  <c r="D50" i="2"/>
  <c r="D51" i="2"/>
  <c r="D82" i="2"/>
  <c r="E49" i="2"/>
  <c r="E50" i="2"/>
  <c r="E51" i="2"/>
  <c r="E82" i="2"/>
  <c r="F49" i="2"/>
  <c r="F50" i="2"/>
  <c r="F51" i="2"/>
  <c r="F82" i="2"/>
  <c r="G49" i="2"/>
  <c r="G50" i="2"/>
  <c r="G51" i="2"/>
  <c r="G82" i="2"/>
  <c r="H49" i="2"/>
  <c r="H50" i="2"/>
  <c r="H51" i="2"/>
  <c r="H82" i="2"/>
  <c r="I49" i="2"/>
  <c r="I50" i="2"/>
  <c r="I51" i="2"/>
  <c r="I82" i="2"/>
  <c r="J49" i="2"/>
  <c r="J50" i="2"/>
  <c r="J51" i="2"/>
  <c r="J82" i="2"/>
  <c r="K49" i="2"/>
  <c r="K50" i="2"/>
  <c r="K51" i="2"/>
  <c r="K82" i="2"/>
  <c r="L49" i="2"/>
  <c r="L50" i="2"/>
  <c r="L51" i="2"/>
  <c r="L82" i="2"/>
  <c r="B52" i="2"/>
  <c r="B53" i="2"/>
  <c r="B54" i="2"/>
  <c r="B83" i="2"/>
  <c r="C52" i="2"/>
  <c r="C53" i="2"/>
  <c r="C54" i="2"/>
  <c r="C83" i="2"/>
  <c r="D52" i="2"/>
  <c r="D53" i="2"/>
  <c r="D54" i="2"/>
  <c r="D83" i="2"/>
  <c r="E52" i="2"/>
  <c r="E53" i="2"/>
  <c r="E54" i="2"/>
  <c r="E83" i="2"/>
  <c r="F52" i="2"/>
  <c r="F53" i="2"/>
  <c r="F54" i="2"/>
  <c r="F83" i="2"/>
  <c r="G52" i="2"/>
  <c r="G53" i="2"/>
  <c r="G54" i="2"/>
  <c r="G83" i="2"/>
  <c r="H52" i="2"/>
  <c r="H53" i="2"/>
  <c r="H54" i="2"/>
  <c r="H83" i="2"/>
  <c r="I52" i="2"/>
  <c r="I53" i="2"/>
  <c r="I54" i="2"/>
  <c r="I83" i="2"/>
  <c r="J52" i="2"/>
  <c r="J53" i="2"/>
  <c r="J54" i="2"/>
  <c r="J83" i="2"/>
  <c r="K52" i="2"/>
  <c r="K53" i="2"/>
  <c r="K54" i="2"/>
  <c r="K83" i="2"/>
  <c r="L52" i="2"/>
  <c r="L53" i="2"/>
  <c r="L54" i="2"/>
  <c r="L83" i="2"/>
  <c r="B55" i="2"/>
  <c r="B56" i="2"/>
  <c r="B57" i="2"/>
  <c r="B84" i="2"/>
  <c r="C55" i="2"/>
  <c r="C56" i="2"/>
  <c r="C57" i="2"/>
  <c r="C84" i="2"/>
  <c r="D55" i="2"/>
  <c r="D56" i="2"/>
  <c r="D57" i="2"/>
  <c r="D84" i="2"/>
  <c r="E55" i="2"/>
  <c r="E56" i="2"/>
  <c r="E57" i="2"/>
  <c r="E84" i="2"/>
  <c r="F55" i="2"/>
  <c r="F56" i="2"/>
  <c r="F57" i="2"/>
  <c r="F84" i="2"/>
  <c r="G55" i="2"/>
  <c r="G56" i="2"/>
  <c r="G57" i="2"/>
  <c r="G84" i="2"/>
  <c r="H55" i="2"/>
  <c r="H56" i="2"/>
  <c r="H57" i="2"/>
  <c r="H84" i="2"/>
  <c r="I55" i="2"/>
  <c r="I56" i="2"/>
  <c r="I57" i="2"/>
  <c r="I84" i="2"/>
  <c r="J55" i="2"/>
  <c r="J56" i="2"/>
  <c r="J57" i="2"/>
  <c r="J84" i="2"/>
  <c r="K55" i="2"/>
  <c r="K56" i="2"/>
  <c r="K57" i="2"/>
  <c r="K84" i="2"/>
  <c r="L55" i="2"/>
  <c r="L56" i="2"/>
  <c r="L57" i="2"/>
  <c r="L84" i="2"/>
  <c r="B43" i="2"/>
  <c r="B44" i="2"/>
  <c r="B45" i="2"/>
  <c r="B80" i="2"/>
  <c r="C43" i="2"/>
  <c r="C44" i="2"/>
  <c r="C45" i="2"/>
  <c r="C80" i="2"/>
  <c r="D43" i="2"/>
  <c r="D44" i="2"/>
  <c r="D45" i="2"/>
  <c r="D80" i="2"/>
  <c r="E43" i="2"/>
  <c r="E44" i="2"/>
  <c r="E45" i="2"/>
  <c r="E80" i="2"/>
  <c r="F43" i="2"/>
  <c r="F44" i="2"/>
  <c r="F45" i="2"/>
  <c r="F80" i="2"/>
  <c r="G43" i="2"/>
  <c r="G44" i="2"/>
  <c r="G45" i="2"/>
  <c r="G80" i="2"/>
  <c r="H43" i="2"/>
  <c r="H44" i="2"/>
  <c r="H45" i="2"/>
  <c r="H80" i="2"/>
  <c r="I43" i="2"/>
  <c r="I44" i="2"/>
  <c r="I45" i="2"/>
  <c r="I80" i="2"/>
  <c r="J43" i="2"/>
  <c r="J44" i="2"/>
  <c r="J45" i="2"/>
  <c r="J80" i="2"/>
  <c r="K43" i="2"/>
  <c r="K44" i="2"/>
  <c r="K45" i="2"/>
  <c r="K80" i="2"/>
  <c r="L43" i="2"/>
  <c r="L44" i="2"/>
  <c r="L45" i="2"/>
  <c r="L80" i="2"/>
  <c r="B46" i="2"/>
  <c r="B47" i="2"/>
  <c r="B48" i="2"/>
  <c r="B81" i="2"/>
  <c r="C46" i="2"/>
  <c r="C47" i="2"/>
  <c r="C48" i="2"/>
  <c r="C81" i="2"/>
  <c r="D46" i="2"/>
  <c r="D47" i="2"/>
  <c r="D48" i="2"/>
  <c r="D81" i="2"/>
  <c r="E46" i="2"/>
  <c r="E47" i="2"/>
  <c r="E48" i="2"/>
  <c r="E81" i="2"/>
  <c r="F46" i="2"/>
  <c r="F47" i="2"/>
  <c r="F48" i="2"/>
  <c r="F81" i="2"/>
  <c r="G46" i="2"/>
  <c r="G47" i="2"/>
  <c r="G48" i="2"/>
  <c r="G81" i="2"/>
  <c r="H46" i="2"/>
  <c r="H47" i="2"/>
  <c r="H48" i="2"/>
  <c r="H81" i="2"/>
  <c r="I46" i="2"/>
  <c r="I47" i="2"/>
  <c r="I48" i="2"/>
  <c r="I81" i="2"/>
  <c r="J46" i="2"/>
  <c r="J47" i="2"/>
  <c r="J48" i="2"/>
  <c r="J81" i="2"/>
  <c r="K46" i="2"/>
  <c r="K47" i="2"/>
  <c r="K48" i="2"/>
  <c r="K81" i="2"/>
  <c r="L46" i="2"/>
  <c r="L47" i="2"/>
  <c r="L48" i="2"/>
  <c r="L81" i="2"/>
  <c r="C40" i="2"/>
  <c r="C41" i="2"/>
  <c r="C42" i="2"/>
  <c r="C79" i="2"/>
  <c r="D40" i="2"/>
  <c r="D41" i="2"/>
  <c r="D42" i="2"/>
  <c r="D79" i="2"/>
  <c r="E40" i="2"/>
  <c r="E41" i="2"/>
  <c r="E42" i="2"/>
  <c r="E79" i="2"/>
  <c r="F40" i="2"/>
  <c r="F41" i="2"/>
  <c r="F42" i="2"/>
  <c r="F79" i="2"/>
  <c r="G40" i="2"/>
  <c r="G41" i="2"/>
  <c r="G42" i="2"/>
  <c r="G79" i="2"/>
  <c r="H40" i="2"/>
  <c r="H41" i="2"/>
  <c r="H42" i="2"/>
  <c r="H79" i="2"/>
  <c r="I40" i="2"/>
  <c r="I41" i="2"/>
  <c r="I42" i="2"/>
  <c r="I79" i="2"/>
  <c r="J40" i="2"/>
  <c r="J41" i="2"/>
  <c r="J42" i="2"/>
  <c r="J79" i="2"/>
  <c r="K40" i="2"/>
  <c r="K41" i="2"/>
  <c r="K42" i="2"/>
  <c r="K79" i="2"/>
  <c r="L40" i="2"/>
  <c r="L41" i="2"/>
  <c r="L42" i="2"/>
  <c r="L79" i="2"/>
  <c r="B40" i="2"/>
  <c r="B41" i="2"/>
  <c r="B42" i="2"/>
  <c r="B79" i="2"/>
  <c r="Q89" i="1"/>
  <c r="P89" i="1"/>
  <c r="U86" i="1"/>
  <c r="T86" i="1"/>
  <c r="R83" i="1"/>
  <c r="B43" i="1"/>
  <c r="B44" i="1"/>
  <c r="B45" i="1"/>
  <c r="B80" i="1"/>
  <c r="C43" i="1"/>
  <c r="C44" i="1"/>
  <c r="C45" i="1"/>
  <c r="C80" i="1"/>
  <c r="D43" i="1"/>
  <c r="D44" i="1"/>
  <c r="D45" i="1"/>
  <c r="D80" i="1"/>
  <c r="E43" i="1"/>
  <c r="E44" i="1"/>
  <c r="E45" i="1"/>
  <c r="E80" i="1"/>
  <c r="F43" i="1"/>
  <c r="F44" i="1"/>
  <c r="F45" i="1"/>
  <c r="F80" i="1"/>
  <c r="G43" i="1"/>
  <c r="G44" i="1"/>
  <c r="G45" i="1"/>
  <c r="G80" i="1"/>
  <c r="H43" i="1"/>
  <c r="H44" i="1"/>
  <c r="H45" i="1"/>
  <c r="H80" i="1"/>
  <c r="I43" i="1"/>
  <c r="I44" i="1"/>
  <c r="I45" i="1"/>
  <c r="I80" i="1"/>
  <c r="J43" i="1"/>
  <c r="J44" i="1"/>
  <c r="J45" i="1"/>
  <c r="J80" i="1"/>
  <c r="K43" i="1"/>
  <c r="K44" i="1"/>
  <c r="K45" i="1"/>
  <c r="K80" i="1"/>
  <c r="L43" i="1"/>
  <c r="L44" i="1"/>
  <c r="L45" i="1"/>
  <c r="L80" i="1"/>
  <c r="B46" i="1"/>
  <c r="B47" i="1"/>
  <c r="B48" i="1"/>
  <c r="B81" i="1"/>
  <c r="C46" i="1"/>
  <c r="C47" i="1"/>
  <c r="C48" i="1"/>
  <c r="C81" i="1"/>
  <c r="D46" i="1"/>
  <c r="D47" i="1"/>
  <c r="D48" i="1"/>
  <c r="D81" i="1"/>
  <c r="E46" i="1"/>
  <c r="E47" i="1"/>
  <c r="E48" i="1"/>
  <c r="E81" i="1"/>
  <c r="F46" i="1"/>
  <c r="F47" i="1"/>
  <c r="F48" i="1"/>
  <c r="F81" i="1"/>
  <c r="G46" i="1"/>
  <c r="G47" i="1"/>
  <c r="G48" i="1"/>
  <c r="G81" i="1"/>
  <c r="H46" i="1"/>
  <c r="H47" i="1"/>
  <c r="H48" i="1"/>
  <c r="H81" i="1"/>
  <c r="I46" i="1"/>
  <c r="I47" i="1"/>
  <c r="I48" i="1"/>
  <c r="I81" i="1"/>
  <c r="J46" i="1"/>
  <c r="J47" i="1"/>
  <c r="J48" i="1"/>
  <c r="J81" i="1"/>
  <c r="K46" i="1"/>
  <c r="K47" i="1"/>
  <c r="K48" i="1"/>
  <c r="K81" i="1"/>
  <c r="L46" i="1"/>
  <c r="L47" i="1"/>
  <c r="L48" i="1"/>
  <c r="L81" i="1"/>
  <c r="B49" i="1"/>
  <c r="B50" i="1"/>
  <c r="B51" i="1"/>
  <c r="B82" i="1"/>
  <c r="C49" i="1"/>
  <c r="C50" i="1"/>
  <c r="C51" i="1"/>
  <c r="C82" i="1"/>
  <c r="D49" i="1"/>
  <c r="D50" i="1"/>
  <c r="D51" i="1"/>
  <c r="D82" i="1"/>
  <c r="E49" i="1"/>
  <c r="E50" i="1"/>
  <c r="E51" i="1"/>
  <c r="E82" i="1"/>
  <c r="F49" i="1"/>
  <c r="F50" i="1"/>
  <c r="F51" i="1"/>
  <c r="F82" i="1"/>
  <c r="G49" i="1"/>
  <c r="G50" i="1"/>
  <c r="G51" i="1"/>
  <c r="G82" i="1"/>
  <c r="H49" i="1"/>
  <c r="H50" i="1"/>
  <c r="H51" i="1"/>
  <c r="H82" i="1"/>
  <c r="I49" i="1"/>
  <c r="I50" i="1"/>
  <c r="I51" i="1"/>
  <c r="I82" i="1"/>
  <c r="J49" i="1"/>
  <c r="J50" i="1"/>
  <c r="J51" i="1"/>
  <c r="J82" i="1"/>
  <c r="K49" i="1"/>
  <c r="K50" i="1"/>
  <c r="K51" i="1"/>
  <c r="K82" i="1"/>
  <c r="L49" i="1"/>
  <c r="L50" i="1"/>
  <c r="L51" i="1"/>
  <c r="L82" i="1"/>
  <c r="M49" i="1"/>
  <c r="M50" i="1"/>
  <c r="M51" i="1"/>
  <c r="M82" i="1"/>
  <c r="N49" i="1"/>
  <c r="N50" i="1"/>
  <c r="N51" i="1"/>
  <c r="N82" i="1"/>
  <c r="B52" i="1"/>
  <c r="B53" i="1"/>
  <c r="B54" i="1"/>
  <c r="B83" i="1"/>
  <c r="C52" i="1"/>
  <c r="C53" i="1"/>
  <c r="C54" i="1"/>
  <c r="C83" i="1"/>
  <c r="D52" i="1"/>
  <c r="D53" i="1"/>
  <c r="D54" i="1"/>
  <c r="D83" i="1"/>
  <c r="E52" i="1"/>
  <c r="E53" i="1"/>
  <c r="E54" i="1"/>
  <c r="E83" i="1"/>
  <c r="F52" i="1"/>
  <c r="F53" i="1"/>
  <c r="F54" i="1"/>
  <c r="F83" i="1"/>
  <c r="G52" i="1"/>
  <c r="G53" i="1"/>
  <c r="G54" i="1"/>
  <c r="G83" i="1"/>
  <c r="H52" i="1"/>
  <c r="H53" i="1"/>
  <c r="H54" i="1"/>
  <c r="H83" i="1"/>
  <c r="I52" i="1"/>
  <c r="I53" i="1"/>
  <c r="I54" i="1"/>
  <c r="I83" i="1"/>
  <c r="J52" i="1"/>
  <c r="J53" i="1"/>
  <c r="J54" i="1"/>
  <c r="J83" i="1"/>
  <c r="K52" i="1"/>
  <c r="K53" i="1"/>
  <c r="K54" i="1"/>
  <c r="K83" i="1"/>
  <c r="L52" i="1"/>
  <c r="L53" i="1"/>
  <c r="L54" i="1"/>
  <c r="L83" i="1"/>
  <c r="M52" i="1"/>
  <c r="M53" i="1"/>
  <c r="M54" i="1"/>
  <c r="M83" i="1"/>
  <c r="N52" i="1"/>
  <c r="N53" i="1"/>
  <c r="N54" i="1"/>
  <c r="N83" i="1"/>
  <c r="B55" i="1"/>
  <c r="B56" i="1"/>
  <c r="B57" i="1"/>
  <c r="B84" i="1"/>
  <c r="C55" i="1"/>
  <c r="C56" i="1"/>
  <c r="C57" i="1"/>
  <c r="C84" i="1"/>
  <c r="D55" i="1"/>
  <c r="D56" i="1"/>
  <c r="D57" i="1"/>
  <c r="D84" i="1"/>
  <c r="E55" i="1"/>
  <c r="E56" i="1"/>
  <c r="E57" i="1"/>
  <c r="E84" i="1"/>
  <c r="F55" i="1"/>
  <c r="F56" i="1"/>
  <c r="F57" i="1"/>
  <c r="F84" i="1"/>
  <c r="G55" i="1"/>
  <c r="G56" i="1"/>
  <c r="G57" i="1"/>
  <c r="G84" i="1"/>
  <c r="H55" i="1"/>
  <c r="H56" i="1"/>
  <c r="H57" i="1"/>
  <c r="H84" i="1"/>
  <c r="I55" i="1"/>
  <c r="I56" i="1"/>
  <c r="I57" i="1"/>
  <c r="I84" i="1"/>
  <c r="J55" i="1"/>
  <c r="J56" i="1"/>
  <c r="J57" i="1"/>
  <c r="J84" i="1"/>
  <c r="K55" i="1"/>
  <c r="K56" i="1"/>
  <c r="K57" i="1"/>
  <c r="K84" i="1"/>
  <c r="L55" i="1"/>
  <c r="L56" i="1"/>
  <c r="L57" i="1"/>
  <c r="L84" i="1"/>
  <c r="M55" i="1"/>
  <c r="M56" i="1"/>
  <c r="M84" i="1"/>
  <c r="N55" i="1"/>
  <c r="N56" i="1"/>
  <c r="N57" i="1"/>
  <c r="N84" i="1"/>
  <c r="B58" i="1"/>
  <c r="B59" i="1"/>
  <c r="B60" i="1"/>
  <c r="B85" i="1"/>
  <c r="C58" i="1"/>
  <c r="C59" i="1"/>
  <c r="C60" i="1"/>
  <c r="C85" i="1"/>
  <c r="D58" i="1"/>
  <c r="D59" i="1"/>
  <c r="D60" i="1"/>
  <c r="D85" i="1"/>
  <c r="E58" i="1"/>
  <c r="E59" i="1"/>
  <c r="E60" i="1"/>
  <c r="E85" i="1"/>
  <c r="F58" i="1"/>
  <c r="F59" i="1"/>
  <c r="F60" i="1"/>
  <c r="F85" i="1"/>
  <c r="G58" i="1"/>
  <c r="G59" i="1"/>
  <c r="G60" i="1"/>
  <c r="G85" i="1"/>
  <c r="H58" i="1"/>
  <c r="H59" i="1"/>
  <c r="H60" i="1"/>
  <c r="H85" i="1"/>
  <c r="I58" i="1"/>
  <c r="I59" i="1"/>
  <c r="I60" i="1"/>
  <c r="I85" i="1"/>
  <c r="J58" i="1"/>
  <c r="J59" i="1"/>
  <c r="J60" i="1"/>
  <c r="J85" i="1"/>
  <c r="K58" i="1"/>
  <c r="K59" i="1"/>
  <c r="K60" i="1"/>
  <c r="K85" i="1"/>
  <c r="L58" i="1"/>
  <c r="L59" i="1"/>
  <c r="L60" i="1"/>
  <c r="L85" i="1"/>
  <c r="M58" i="1"/>
  <c r="M59" i="1"/>
  <c r="M60" i="1"/>
  <c r="M85" i="1"/>
  <c r="N58" i="1"/>
  <c r="N59" i="1"/>
  <c r="N60" i="1"/>
  <c r="N85" i="1"/>
  <c r="O58" i="1"/>
  <c r="O59" i="1"/>
  <c r="O60" i="1"/>
  <c r="O85" i="1"/>
  <c r="P58" i="1"/>
  <c r="P59" i="1"/>
  <c r="P60" i="1"/>
  <c r="P85" i="1"/>
  <c r="Q58" i="1"/>
  <c r="Q59" i="1"/>
  <c r="Q60" i="1"/>
  <c r="Q85" i="1"/>
  <c r="B61" i="1"/>
  <c r="B62" i="1"/>
  <c r="B63" i="1"/>
  <c r="B86" i="1"/>
  <c r="C61" i="1"/>
  <c r="C62" i="1"/>
  <c r="C63" i="1"/>
  <c r="C86" i="1"/>
  <c r="D61" i="1"/>
  <c r="D62" i="1"/>
  <c r="D63" i="1"/>
  <c r="D86" i="1"/>
  <c r="E61" i="1"/>
  <c r="E62" i="1"/>
  <c r="E63" i="1"/>
  <c r="E86" i="1"/>
  <c r="F61" i="1"/>
  <c r="F62" i="1"/>
  <c r="F63" i="1"/>
  <c r="F86" i="1"/>
  <c r="G61" i="1"/>
  <c r="G62" i="1"/>
  <c r="G63" i="1"/>
  <c r="G86" i="1"/>
  <c r="H61" i="1"/>
  <c r="H62" i="1"/>
  <c r="H63" i="1"/>
  <c r="H86" i="1"/>
  <c r="I61" i="1"/>
  <c r="I62" i="1"/>
  <c r="I63" i="1"/>
  <c r="I86" i="1"/>
  <c r="J61" i="1"/>
  <c r="J62" i="1"/>
  <c r="J63" i="1"/>
  <c r="J86" i="1"/>
  <c r="K61" i="1"/>
  <c r="K62" i="1"/>
  <c r="K63" i="1"/>
  <c r="K86" i="1"/>
  <c r="L61" i="1"/>
  <c r="L62" i="1"/>
  <c r="L63" i="1"/>
  <c r="L86" i="1"/>
  <c r="M61" i="1"/>
  <c r="M62" i="1"/>
  <c r="M63" i="1"/>
  <c r="M86" i="1"/>
  <c r="N61" i="1"/>
  <c r="N62" i="1"/>
  <c r="N63" i="1"/>
  <c r="N86" i="1"/>
  <c r="O61" i="1"/>
  <c r="O62" i="1"/>
  <c r="O63" i="1"/>
  <c r="O86" i="1"/>
  <c r="P61" i="1"/>
  <c r="P62" i="1"/>
  <c r="P63" i="1"/>
  <c r="P86" i="1"/>
  <c r="Q61" i="1"/>
  <c r="Q62" i="1"/>
  <c r="Q63" i="1"/>
  <c r="Q86" i="1"/>
  <c r="B64" i="1"/>
  <c r="B65" i="1"/>
  <c r="B66" i="1"/>
  <c r="B87" i="1"/>
  <c r="D64" i="1"/>
  <c r="D65" i="1"/>
  <c r="D66" i="1"/>
  <c r="D87" i="1"/>
  <c r="E64" i="1"/>
  <c r="E65" i="1"/>
  <c r="E66" i="1"/>
  <c r="E87" i="1"/>
  <c r="G64" i="1"/>
  <c r="G65" i="1"/>
  <c r="G66" i="1"/>
  <c r="G87" i="1"/>
  <c r="H64" i="1"/>
  <c r="H65" i="1"/>
  <c r="H66" i="1"/>
  <c r="H87" i="1"/>
  <c r="I64" i="1"/>
  <c r="I65" i="1"/>
  <c r="I66" i="1"/>
  <c r="I87" i="1"/>
  <c r="J64" i="1"/>
  <c r="J65" i="1"/>
  <c r="J66" i="1"/>
  <c r="J87" i="1"/>
  <c r="K64" i="1"/>
  <c r="K65" i="1"/>
  <c r="K66" i="1"/>
  <c r="K87" i="1"/>
  <c r="L64" i="1"/>
  <c r="L65" i="1"/>
  <c r="L66" i="1"/>
  <c r="L87" i="1"/>
  <c r="M64" i="1"/>
  <c r="M65" i="1"/>
  <c r="M66" i="1"/>
  <c r="M87" i="1"/>
  <c r="N64" i="1"/>
  <c r="N65" i="1"/>
  <c r="N66" i="1"/>
  <c r="N87" i="1"/>
  <c r="O64" i="1"/>
  <c r="O65" i="1"/>
  <c r="O66" i="1"/>
  <c r="O87" i="1"/>
  <c r="P64" i="1"/>
  <c r="P65" i="1"/>
  <c r="P66" i="1"/>
  <c r="P87" i="1"/>
  <c r="Q64" i="1"/>
  <c r="Q65" i="1"/>
  <c r="Q87" i="1"/>
  <c r="B67" i="1"/>
  <c r="B68" i="1"/>
  <c r="B69" i="1"/>
  <c r="B88" i="1"/>
  <c r="D67" i="1"/>
  <c r="D68" i="1"/>
  <c r="D88" i="1"/>
  <c r="E67" i="1"/>
  <c r="E68" i="1"/>
  <c r="E69" i="1"/>
  <c r="E88" i="1"/>
  <c r="G67" i="1"/>
  <c r="G68" i="1"/>
  <c r="G69" i="1"/>
  <c r="G88" i="1"/>
  <c r="H67" i="1"/>
  <c r="H68" i="1"/>
  <c r="H69" i="1"/>
  <c r="H88" i="1"/>
  <c r="I67" i="1"/>
  <c r="I68" i="1"/>
  <c r="I69" i="1"/>
  <c r="I88" i="1"/>
  <c r="J67" i="1"/>
  <c r="J68" i="1"/>
  <c r="J69" i="1"/>
  <c r="J88" i="1"/>
  <c r="K67" i="1"/>
  <c r="K68" i="1"/>
  <c r="K69" i="1"/>
  <c r="K88" i="1"/>
  <c r="L67" i="1"/>
  <c r="L68" i="1"/>
  <c r="L69" i="1"/>
  <c r="L88" i="1"/>
  <c r="M67" i="1"/>
  <c r="M68" i="1"/>
  <c r="M69" i="1"/>
  <c r="M88" i="1"/>
  <c r="B70" i="1"/>
  <c r="B71" i="1"/>
  <c r="B72" i="1"/>
  <c r="B89" i="1"/>
  <c r="D70" i="1"/>
  <c r="D71" i="1"/>
  <c r="D89" i="1"/>
  <c r="E70" i="1"/>
  <c r="E71" i="1"/>
  <c r="E72" i="1"/>
  <c r="E89" i="1"/>
  <c r="G70" i="1"/>
  <c r="G71" i="1"/>
  <c r="G72" i="1"/>
  <c r="G89" i="1"/>
  <c r="H70" i="1"/>
  <c r="H71" i="1"/>
  <c r="H72" i="1"/>
  <c r="H89" i="1"/>
  <c r="I70" i="1"/>
  <c r="I71" i="1"/>
  <c r="I72" i="1"/>
  <c r="I89" i="1"/>
  <c r="J70" i="1"/>
  <c r="J71" i="1"/>
  <c r="J72" i="1"/>
  <c r="J89" i="1"/>
  <c r="K70" i="1"/>
  <c r="K71" i="1"/>
  <c r="K72" i="1"/>
  <c r="K89" i="1"/>
  <c r="L70" i="1"/>
  <c r="L71" i="1"/>
  <c r="L72" i="1"/>
  <c r="L89" i="1"/>
  <c r="M70" i="1"/>
  <c r="M71" i="1"/>
  <c r="M72" i="1"/>
  <c r="M89" i="1"/>
  <c r="D73" i="1"/>
  <c r="D74" i="1"/>
  <c r="D90" i="1"/>
  <c r="E73" i="1"/>
  <c r="E74" i="1"/>
  <c r="E75" i="1"/>
  <c r="E90" i="1"/>
  <c r="G73" i="1"/>
  <c r="G74" i="1"/>
  <c r="G75" i="1"/>
  <c r="G90" i="1"/>
  <c r="H73" i="1"/>
  <c r="H74" i="1"/>
  <c r="H75" i="1"/>
  <c r="H90" i="1"/>
  <c r="I73" i="1"/>
  <c r="I74" i="1"/>
  <c r="I75" i="1"/>
  <c r="I90" i="1"/>
  <c r="J73" i="1"/>
  <c r="J74" i="1"/>
  <c r="J75" i="1"/>
  <c r="J90" i="1"/>
  <c r="K73" i="1"/>
  <c r="K74" i="1"/>
  <c r="K75" i="1"/>
  <c r="K90" i="1"/>
  <c r="L73" i="1"/>
  <c r="L74" i="1"/>
  <c r="L75" i="1"/>
  <c r="L90" i="1"/>
  <c r="M73" i="1"/>
  <c r="M74" i="1"/>
  <c r="M75" i="1"/>
  <c r="M90" i="1"/>
  <c r="C40" i="1"/>
  <c r="C41" i="1"/>
  <c r="C42" i="1"/>
  <c r="C79" i="1"/>
  <c r="D40" i="1"/>
  <c r="D41" i="1"/>
  <c r="D42" i="1"/>
  <c r="D79" i="1"/>
  <c r="E40" i="1"/>
  <c r="E41" i="1"/>
  <c r="E42" i="1"/>
  <c r="E79" i="1"/>
  <c r="F40" i="1"/>
  <c r="F41" i="1"/>
  <c r="F42" i="1"/>
  <c r="F79" i="1"/>
  <c r="G40" i="1"/>
  <c r="G41" i="1"/>
  <c r="G42" i="1"/>
  <c r="G79" i="1"/>
  <c r="H40" i="1"/>
  <c r="H41" i="1"/>
  <c r="H42" i="1"/>
  <c r="H79" i="1"/>
  <c r="I40" i="1"/>
  <c r="I41" i="1"/>
  <c r="I42" i="1"/>
  <c r="I79" i="1"/>
  <c r="J40" i="1"/>
  <c r="J41" i="1"/>
  <c r="J42" i="1"/>
  <c r="J79" i="1"/>
  <c r="K40" i="1"/>
  <c r="K41" i="1"/>
  <c r="K42" i="1"/>
  <c r="K79" i="1"/>
  <c r="L40" i="1"/>
  <c r="L41" i="1"/>
  <c r="L42" i="1"/>
  <c r="L79" i="1"/>
  <c r="F67" i="1"/>
  <c r="F68" i="1"/>
  <c r="F69" i="1"/>
  <c r="F70" i="1"/>
  <c r="F71" i="1"/>
  <c r="F72" i="1"/>
  <c r="F73" i="1"/>
  <c r="F74" i="1"/>
  <c r="F75" i="1"/>
</calcChain>
</file>

<file path=xl/sharedStrings.xml><?xml version="1.0" encoding="utf-8"?>
<sst xmlns="http://schemas.openxmlformats.org/spreadsheetml/2006/main" count="810" uniqueCount="319">
  <si>
    <t>ID</t>
  </si>
  <si>
    <t>Day 0 (cells/mL)</t>
  </si>
  <si>
    <t>Day 2 (cells/mL)</t>
  </si>
  <si>
    <t>Day 4 cells/mL</t>
  </si>
  <si>
    <t>Day 6 cells/mL</t>
  </si>
  <si>
    <t>Day 8 cells/mL</t>
  </si>
  <si>
    <t>Day 10 cells/mL</t>
  </si>
  <si>
    <t>Day 12 cells/mL</t>
  </si>
  <si>
    <t>Day 14 cells/mL</t>
  </si>
  <si>
    <t>Day 16 cells/mL</t>
  </si>
  <si>
    <t>Day 18 cells/mL</t>
  </si>
  <si>
    <t>Day 20 cells/mL</t>
  </si>
  <si>
    <t>Day 22 cells/mL</t>
  </si>
  <si>
    <t>Day 24 cells/mL</t>
  </si>
  <si>
    <t>Day 26 cells/mL</t>
  </si>
  <si>
    <t>Day 28 cells/mL</t>
  </si>
  <si>
    <t>Day 30 cells/mL</t>
  </si>
  <si>
    <t>Day 32 cells/mL</t>
  </si>
  <si>
    <t>Day 34 cells/mL</t>
  </si>
  <si>
    <t>Day 36 cells/mL</t>
  </si>
  <si>
    <t>Day 38 cells/mL</t>
  </si>
  <si>
    <t>Day 40 cells/mL</t>
  </si>
  <si>
    <t>Day 42 cells/mL</t>
  </si>
  <si>
    <t>Day 44 cells/mL</t>
  </si>
  <si>
    <t>Day 46 cells/mL</t>
  </si>
  <si>
    <t>Day 48 cells/mL</t>
  </si>
  <si>
    <t>necro-0-1-1</t>
  </si>
  <si>
    <t>necro-0-1-2</t>
  </si>
  <si>
    <t>necro-0-1-3</t>
  </si>
  <si>
    <t>necro-0-2-1</t>
  </si>
  <si>
    <t>necro-0-2-2</t>
  </si>
  <si>
    <t>necro-0-2-3</t>
  </si>
  <si>
    <t>necro-0-3-1</t>
  </si>
  <si>
    <t>necro-0-3-2</t>
  </si>
  <si>
    <t>necro-0-3-3</t>
  </si>
  <si>
    <t>necro-100-1-1</t>
  </si>
  <si>
    <t>necro-100-1-2</t>
  </si>
  <si>
    <t>necro-100-1-3</t>
  </si>
  <si>
    <t>necro-100-2-1</t>
  </si>
  <si>
    <t>necro-100-2-2</t>
  </si>
  <si>
    <t>necro-100-2-3</t>
  </si>
  <si>
    <t>necro-100-3-1</t>
  </si>
  <si>
    <t>necro-100-3-2</t>
  </si>
  <si>
    <t>necro-100-3-3</t>
  </si>
  <si>
    <t>psyg-0-1-1</t>
  </si>
  <si>
    <t>psyg-0-1-2</t>
  </si>
  <si>
    <t>psyg-0-1-3</t>
  </si>
  <si>
    <t>psyg-0-2-1</t>
  </si>
  <si>
    <t>psyg-0-2-2</t>
  </si>
  <si>
    <t>psyg-0-2-3</t>
  </si>
  <si>
    <t>psyg-0-3-1</t>
  </si>
  <si>
    <t>psyg-0-3-2</t>
  </si>
  <si>
    <t>psyg-0-3-3</t>
  </si>
  <si>
    <t>psyg-100-1-1</t>
  </si>
  <si>
    <t>psyg-100-1-2</t>
  </si>
  <si>
    <t>psyg-100-1-3</t>
  </si>
  <si>
    <t>psyg-100-2-1</t>
  </si>
  <si>
    <t>psyg-100-2-2</t>
  </si>
  <si>
    <t>psyg-100-2-3</t>
  </si>
  <si>
    <t>psyg-100-3-1</t>
  </si>
  <si>
    <t>psyg-100-3-2</t>
  </si>
  <si>
    <t>psyg-100-3-3</t>
  </si>
  <si>
    <t>min-0-1-1</t>
  </si>
  <si>
    <t>min-0-1-2</t>
  </si>
  <si>
    <t>min-0-1-3</t>
  </si>
  <si>
    <t>min-0-2-1</t>
  </si>
  <si>
    <t>min-0-2-2</t>
  </si>
  <si>
    <t>min-0-2-3</t>
  </si>
  <si>
    <t>min-0-3-1</t>
  </si>
  <si>
    <t>min-0-3-2</t>
  </si>
  <si>
    <t>min-0-3-3</t>
  </si>
  <si>
    <t>min-100-1-1</t>
  </si>
  <si>
    <t>min-100-1-2</t>
  </si>
  <si>
    <t>min-100-1-3</t>
  </si>
  <si>
    <t>min-100-2-1</t>
  </si>
  <si>
    <t>min-100-2-2</t>
  </si>
  <si>
    <t>min-100-2-3</t>
  </si>
  <si>
    <t>min-100-3-1</t>
  </si>
  <si>
    <t>min-100-3-2</t>
  </si>
  <si>
    <t>min-100-3-3</t>
  </si>
  <si>
    <t>smic-0-1-1</t>
  </si>
  <si>
    <t>smic-0-1-2</t>
  </si>
  <si>
    <t>smic-0-1-3</t>
  </si>
  <si>
    <t>smic-0-2-1</t>
  </si>
  <si>
    <t>smic-0-2-2</t>
  </si>
  <si>
    <t>smic-0-2-3</t>
  </si>
  <si>
    <t>smic-0-3-1</t>
  </si>
  <si>
    <t>smic-0-3-2</t>
  </si>
  <si>
    <t>smic-0-3-3</t>
  </si>
  <si>
    <t>smic-100-1-1</t>
  </si>
  <si>
    <t>smic-100-1-2</t>
  </si>
  <si>
    <t>smic-100-1-3</t>
  </si>
  <si>
    <t>smic-100-2-1</t>
  </si>
  <si>
    <t>smic-100-2-2</t>
  </si>
  <si>
    <t>smic-100-2-3</t>
  </si>
  <si>
    <t>smic-100-3-1</t>
  </si>
  <si>
    <t>smic-100-3-2</t>
  </si>
  <si>
    <t>smic-100-3-3</t>
  </si>
  <si>
    <t>necro-50-1-1</t>
  </si>
  <si>
    <t>necro-50-1-2</t>
  </si>
  <si>
    <t>necro-50-1-3</t>
  </si>
  <si>
    <t>necro-50-2-1</t>
  </si>
  <si>
    <t>necro-50-2-2</t>
  </si>
  <si>
    <t>necro-50-2-3</t>
  </si>
  <si>
    <t>necro-50-3-1</t>
  </si>
  <si>
    <t>necro-50-3-2</t>
  </si>
  <si>
    <t>necro-50-3-3</t>
  </si>
  <si>
    <t>vor-100-1-1</t>
  </si>
  <si>
    <t>vor-100-1-2</t>
  </si>
  <si>
    <t>vor-100-1-3</t>
  </si>
  <si>
    <t>vor-100-2-1</t>
  </si>
  <si>
    <t>vor-100-2-2</t>
  </si>
  <si>
    <t>vor-100-2-3</t>
  </si>
  <si>
    <t>vor-100-3-1</t>
  </si>
  <si>
    <t>vor-100-3-2</t>
  </si>
  <si>
    <t>vor-100-3-3</t>
  </si>
  <si>
    <t>vor-0-1-1</t>
  </si>
  <si>
    <t>vor-0-1-2</t>
  </si>
  <si>
    <t>vor-0-1-3</t>
  </si>
  <si>
    <t>vor-0-2-1</t>
  </si>
  <si>
    <t>vor-0-2-2</t>
  </si>
  <si>
    <t>vor-0-2-3</t>
  </si>
  <si>
    <t>vor-0-3-1</t>
  </si>
  <si>
    <t>vor-0-3-2</t>
  </si>
  <si>
    <t>vor-0-3-3</t>
  </si>
  <si>
    <t>psyg-50-1-1</t>
  </si>
  <si>
    <t>psyg-50-1-2</t>
  </si>
  <si>
    <t>psyg-50-1-3</t>
  </si>
  <si>
    <t>psyg-50-2-1</t>
  </si>
  <si>
    <t>psyg-50-2-2</t>
  </si>
  <si>
    <t>psyg-50-2-3</t>
  </si>
  <si>
    <t>psyg-50-3-1</t>
  </si>
  <si>
    <t>psyg-50-3-2</t>
  </si>
  <si>
    <t>psyg-50-3-3</t>
  </si>
  <si>
    <t>min-50-1-1</t>
  </si>
  <si>
    <t>min-50-1-2</t>
  </si>
  <si>
    <t>min-50-1-3</t>
  </si>
  <si>
    <t>min-50-2-1</t>
  </si>
  <si>
    <t>min-50-2-2</t>
  </si>
  <si>
    <t>min-50-2-3</t>
  </si>
  <si>
    <t>min-50-3-1</t>
  </si>
  <si>
    <t>min-50-3-2</t>
  </si>
  <si>
    <t>min-50-3-3</t>
  </si>
  <si>
    <t>vor-50-1-1</t>
  </si>
  <si>
    <t>vor-50-1-2</t>
  </si>
  <si>
    <t>vor-50-1-3</t>
  </si>
  <si>
    <t>vor-50-2-1</t>
  </si>
  <si>
    <t>vor-50-2-2</t>
  </si>
  <si>
    <t>vor-50-2-3</t>
  </si>
  <si>
    <t>vor-50-3-1</t>
  </si>
  <si>
    <t>vor-50-3-2</t>
  </si>
  <si>
    <t>vor-50-3-3</t>
  </si>
  <si>
    <t>necro-250-1-1</t>
  </si>
  <si>
    <t>necro-250-1-2</t>
  </si>
  <si>
    <t>necro-250-1-3</t>
  </si>
  <si>
    <t>necro-250-2-1</t>
  </si>
  <si>
    <t>necro-250-2-2</t>
  </si>
  <si>
    <t>necro-250-2-3</t>
  </si>
  <si>
    <t>necro-250-3-1</t>
  </si>
  <si>
    <t>necro-250-3-2</t>
  </si>
  <si>
    <t>necro-250-3-3</t>
  </si>
  <si>
    <t>smic-50-1-1</t>
  </si>
  <si>
    <t>smic-50-1-2</t>
  </si>
  <si>
    <t>smic-50-1-3</t>
  </si>
  <si>
    <t>smic-50-2-1</t>
  </si>
  <si>
    <t>smic-50-2-2</t>
  </si>
  <si>
    <t>smic-50-2-3</t>
  </si>
  <si>
    <t>smic-50-3-1</t>
  </si>
  <si>
    <t>smic-50-3-2</t>
  </si>
  <si>
    <t>smic-50-3-3</t>
  </si>
  <si>
    <t>smic-250-1-1</t>
  </si>
  <si>
    <t>smic-250-1-2</t>
  </si>
  <si>
    <t>smic-250-1-3</t>
  </si>
  <si>
    <t>smic-250-2-1</t>
  </si>
  <si>
    <t>smic-250-2-2</t>
  </si>
  <si>
    <t>smic-250-2-3</t>
  </si>
  <si>
    <t>smic-250-3-1</t>
  </si>
  <si>
    <t>smic-250-3-2</t>
  </si>
  <si>
    <t>smic-250-3-3</t>
  </si>
  <si>
    <t>vor-250-1-1</t>
  </si>
  <si>
    <t>vor-250-1-2</t>
  </si>
  <si>
    <t>vor-250-1-3</t>
  </si>
  <si>
    <t>vor-250-2-1</t>
  </si>
  <si>
    <t>vor-250-2-2</t>
  </si>
  <si>
    <t>vor-250-2-3</t>
  </si>
  <si>
    <t>vor-250-3-1</t>
  </si>
  <si>
    <t>vor-250-3-2</t>
  </si>
  <si>
    <t>vor-250-3-3</t>
  </si>
  <si>
    <t>min-250-1-1</t>
  </si>
  <si>
    <t>min-250-1-2</t>
  </si>
  <si>
    <t>min-250-1-3</t>
  </si>
  <si>
    <t>min-250-2-1</t>
  </si>
  <si>
    <t>min-250-2-2</t>
  </si>
  <si>
    <t>min-250-2-3</t>
  </si>
  <si>
    <t>min-250-3-1</t>
  </si>
  <si>
    <t>min-250-3-2</t>
  </si>
  <si>
    <t>min-250-3-3</t>
  </si>
  <si>
    <t>psyg-250-1-1</t>
  </si>
  <si>
    <t>psyg-250-1-2</t>
  </si>
  <si>
    <t>psyg-250-1-3</t>
  </si>
  <si>
    <t>psyg-250-2-1</t>
  </si>
  <si>
    <t>psyg-250-2-2</t>
  </si>
  <si>
    <t>psyg-250-2-3</t>
  </si>
  <si>
    <t>psyg-250-3-1</t>
  </si>
  <si>
    <t>psyg-250-3-2</t>
  </si>
  <si>
    <t>psyg-250-3-3</t>
  </si>
  <si>
    <t>LN values</t>
  </si>
  <si>
    <t>average LN values</t>
  </si>
  <si>
    <t>necro-0-1</t>
  </si>
  <si>
    <t>necro-0-2</t>
  </si>
  <si>
    <t>necro-100-1</t>
  </si>
  <si>
    <t>necro-100-2</t>
  </si>
  <si>
    <t>necro-100-3</t>
  </si>
  <si>
    <t>necro-50-1</t>
  </si>
  <si>
    <t>necro-50-2</t>
  </si>
  <si>
    <t>necro-50-3</t>
  </si>
  <si>
    <t>necro-250-1</t>
  </si>
  <si>
    <t>necro-250-2</t>
  </si>
  <si>
    <t>necro-250-3</t>
  </si>
  <si>
    <t>Average LN values</t>
  </si>
  <si>
    <t>psyg-0-1</t>
  </si>
  <si>
    <t>psyg-0-2</t>
  </si>
  <si>
    <t>psyg-100-1</t>
  </si>
  <si>
    <t>psyg-100-2</t>
  </si>
  <si>
    <t>psyg-100-3</t>
  </si>
  <si>
    <t>psyg-50-1</t>
  </si>
  <si>
    <t>psyg-50-2</t>
  </si>
  <si>
    <t>psyg-50-3</t>
  </si>
  <si>
    <t>psyg-250-1</t>
  </si>
  <si>
    <t>psyg-250-2</t>
  </si>
  <si>
    <t>psyg-250-3</t>
  </si>
  <si>
    <t>min-250-3</t>
  </si>
  <si>
    <t>min-250-2</t>
  </si>
  <si>
    <t>min-250-1</t>
  </si>
  <si>
    <t>min-50-3</t>
  </si>
  <si>
    <t>min-50-2</t>
  </si>
  <si>
    <t>min-50-1</t>
  </si>
  <si>
    <t>min-100-3</t>
  </si>
  <si>
    <t>min-100-2</t>
  </si>
  <si>
    <t>min-100-1</t>
  </si>
  <si>
    <t>min-0-3</t>
  </si>
  <si>
    <t>min-0-2</t>
  </si>
  <si>
    <t>min-0-1</t>
  </si>
  <si>
    <t>smic-0-1</t>
  </si>
  <si>
    <t>smic-0-2</t>
  </si>
  <si>
    <t>smic-250-3</t>
  </si>
  <si>
    <t>smic-250-2</t>
  </si>
  <si>
    <t>smic-250-1</t>
  </si>
  <si>
    <t>smic-50-3</t>
  </si>
  <si>
    <t>smic-50-2</t>
  </si>
  <si>
    <t>smic-50-1</t>
  </si>
  <si>
    <t>smic-100-3</t>
  </si>
  <si>
    <t>smic-100-2</t>
  </si>
  <si>
    <t>smic-100-1</t>
  </si>
  <si>
    <t>smic-0-3</t>
  </si>
  <si>
    <t>vor-100-1</t>
  </si>
  <si>
    <t>vor-100-2</t>
  </si>
  <si>
    <t>vor-100-3</t>
  </si>
  <si>
    <t>vor-0-1</t>
  </si>
  <si>
    <t>vor-0-2</t>
  </si>
  <si>
    <t>vor-0-3</t>
  </si>
  <si>
    <t>vor-50-1</t>
  </si>
  <si>
    <t>vor-50-2</t>
  </si>
  <si>
    <t>vor-50-3</t>
  </si>
  <si>
    <t>vor-250-1</t>
  </si>
  <si>
    <t>vor-250-2</t>
  </si>
  <si>
    <t>vor-250-3</t>
  </si>
  <si>
    <t>average cell density</t>
  </si>
  <si>
    <t>necro-0-3</t>
  </si>
  <si>
    <t>necro-0</t>
  </si>
  <si>
    <t>SD</t>
  </si>
  <si>
    <t>necro-50</t>
  </si>
  <si>
    <t>necro-100</t>
  </si>
  <si>
    <t>necro-250</t>
  </si>
  <si>
    <t>psyg-0</t>
  </si>
  <si>
    <t>psyg-50</t>
  </si>
  <si>
    <t>psyg-100</t>
  </si>
  <si>
    <t>psyg-250</t>
  </si>
  <si>
    <t>min-0</t>
  </si>
  <si>
    <t>min-50</t>
  </si>
  <si>
    <t>min-100</t>
  </si>
  <si>
    <t>min-250</t>
  </si>
  <si>
    <t>smic-0</t>
  </si>
  <si>
    <t>smic-50</t>
  </si>
  <si>
    <t>smic-100</t>
  </si>
  <si>
    <t>smic-250</t>
  </si>
  <si>
    <t>vor-0</t>
  </si>
  <si>
    <t>vor-50</t>
  </si>
  <si>
    <t>vor-100</t>
  </si>
  <si>
    <t>vor-250</t>
  </si>
  <si>
    <t>day start</t>
  </si>
  <si>
    <t>day end</t>
  </si>
  <si>
    <t>slope</t>
  </si>
  <si>
    <t>r2</t>
  </si>
  <si>
    <t>treatment</t>
  </si>
  <si>
    <t>ironconc</t>
  </si>
  <si>
    <t>Species</t>
  </si>
  <si>
    <t>spgrowth</t>
  </si>
  <si>
    <t>std</t>
  </si>
  <si>
    <t>smic50</t>
  </si>
  <si>
    <t>S. microadriaticum</t>
  </si>
  <si>
    <t>smic100</t>
  </si>
  <si>
    <t>smic250</t>
  </si>
  <si>
    <t>necro50</t>
  </si>
  <si>
    <t>S. necroappetens</t>
  </si>
  <si>
    <t>necro100</t>
  </si>
  <si>
    <t>necro250</t>
  </si>
  <si>
    <t>min50</t>
  </si>
  <si>
    <t>B. minutum</t>
  </si>
  <si>
    <t>min100</t>
  </si>
  <si>
    <t>min250</t>
  </si>
  <si>
    <t>psyg50</t>
  </si>
  <si>
    <t>B. psygmophilum</t>
  </si>
  <si>
    <t>psyg100</t>
  </si>
  <si>
    <t>psyg250</t>
  </si>
  <si>
    <t>vor50</t>
  </si>
  <si>
    <t>E. voratum</t>
  </si>
  <si>
    <t>vor100</t>
  </si>
  <si>
    <t>vor250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</si>
</sst>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2" fontId="2" fillId="0" borderId="2" xfId="0" applyNumberFormat="1" applyFont="1" applyFill="1" applyBorder="1"/>
    <xf numFmtId="0" fontId="0" fillId="0" borderId="3" xfId="0" applyFill="1" applyBorder="1"/>
    <xf numFmtId="1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2" borderId="0" xfId="0" applyFill="1"/>
    <xf numFmtId="0" fontId="0" fillId="3" borderId="3" xfId="0" applyFill="1" applyBorder="1"/>
    <xf numFmtId="0" fontId="0" fillId="3" borderId="0" xfId="0" applyFill="1"/>
    <xf numFmtId="2" fontId="0" fillId="3" borderId="0" xfId="0" applyNumberFormat="1" applyFill="1"/>
    <xf numFmtId="2" fontId="1" fillId="3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/>
    <xf numFmtId="0" fontId="0" fillId="4" borderId="3" xfId="0" applyFill="1" applyBorder="1"/>
    <xf numFmtId="0" fontId="0" fillId="4" borderId="0" xfId="0" applyFill="1"/>
    <xf numFmtId="0" fontId="0" fillId="4" borderId="0" xfId="0" applyFill="1" applyBorder="1"/>
    <xf numFmtId="1" fontId="0" fillId="4" borderId="0" xfId="0" applyNumberFormat="1" applyFill="1"/>
    <xf numFmtId="2" fontId="0" fillId="4" borderId="0" xfId="0" applyNumberFormat="1" applyFill="1"/>
    <xf numFmtId="1" fontId="3" fillId="5" borderId="0" xfId="0" applyNumberFormat="1" applyFont="1" applyFill="1" applyBorder="1"/>
    <xf numFmtId="2" fontId="3" fillId="5" borderId="0" xfId="0" applyNumberFormat="1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5" fillId="3" borderId="1" xfId="0" applyFont="1" applyFill="1" applyBorder="1"/>
    <xf numFmtId="0" fontId="5" fillId="3" borderId="2" xfId="0" applyFont="1" applyFill="1" applyBorder="1"/>
    <xf numFmtId="0" fontId="0" fillId="3" borderId="1" xfId="0" applyFill="1" applyBorder="1"/>
    <xf numFmtId="0" fontId="6" fillId="0" borderId="0" xfId="0" applyFont="1" applyFill="1"/>
    <xf numFmtId="0" fontId="0" fillId="0" borderId="2" xfId="0" applyBorder="1"/>
    <xf numFmtId="0" fontId="0" fillId="0" borderId="2" xfId="0" applyFill="1" applyBorder="1"/>
    <xf numFmtId="1" fontId="3" fillId="0" borderId="2" xfId="0" applyNumberFormat="1" applyFont="1" applyFill="1" applyBorder="1"/>
    <xf numFmtId="2" fontId="3" fillId="0" borderId="2" xfId="0" applyNumberFormat="1" applyFont="1" applyFill="1" applyBorder="1"/>
    <xf numFmtId="0" fontId="4" fillId="0" borderId="2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0" xfId="0" applyFill="1" applyBorder="1"/>
    <xf numFmtId="164" fontId="7" fillId="6" borderId="0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8" xfId="0" applyBorder="1"/>
    <xf numFmtId="2" fontId="0" fillId="0" borderId="0" xfId="0" applyNumberFormat="1"/>
    <xf numFmtId="2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9791994750656"/>
                  <c:y val="0.0128638086905803"/>
                </c:manualLayout>
              </c:layout>
              <c:numFmt formatCode="General" sourceLinked="0"/>
            </c:trendlineLbl>
          </c:trendline>
          <c:xVal>
            <c:numRef>
              <c:f>necro!$D$78:$L$78</c:f>
              <c:numCache>
                <c:formatCode>General</c:formatCode>
                <c:ptCount val="9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14.0</c:v>
                </c:pt>
                <c:pt idx="6">
                  <c:v>16.0</c:v>
                </c:pt>
                <c:pt idx="7">
                  <c:v>18.0</c:v>
                </c:pt>
                <c:pt idx="8">
                  <c:v>20.0</c:v>
                </c:pt>
              </c:numCache>
            </c:numRef>
          </c:xVal>
          <c:yVal>
            <c:numRef>
              <c:f>necro!$D$84:$L$84</c:f>
              <c:numCache>
                <c:formatCode>0.00</c:formatCode>
                <c:ptCount val="9"/>
                <c:pt idx="0">
                  <c:v>7.784253110176585</c:v>
                </c:pt>
                <c:pt idx="1">
                  <c:v>8.753767103385632</c:v>
                </c:pt>
                <c:pt idx="2">
                  <c:v>9.236013737317462</c:v>
                </c:pt>
                <c:pt idx="3">
                  <c:v>9.94018056257842</c:v>
                </c:pt>
                <c:pt idx="4">
                  <c:v>10.19737637484486</c:v>
                </c:pt>
                <c:pt idx="5">
                  <c:v>11.01323716506756</c:v>
                </c:pt>
                <c:pt idx="6">
                  <c:v>11.88425842357204</c:v>
                </c:pt>
                <c:pt idx="7">
                  <c:v>12.68529868725857</c:v>
                </c:pt>
                <c:pt idx="8">
                  <c:v>13.414452571708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33232"/>
        <c:axId val="2075929808"/>
      </c:scatterChart>
      <c:valAx>
        <c:axId val="205403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929808"/>
        <c:crosses val="autoZero"/>
        <c:crossBetween val="midCat"/>
      </c:valAx>
      <c:valAx>
        <c:axId val="2075929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5403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7848665791776"/>
                  <c:y val="0.453229075532225"/>
                </c:manualLayout>
              </c:layout>
              <c:numFmt formatCode="General" sourceLinked="0"/>
            </c:trendlineLbl>
          </c:trendline>
          <c:xVal>
            <c:numRef>
              <c:f>psygmo!$D$78:$K$78</c:f>
              <c:numCache>
                <c:formatCode>General</c:formatCode>
                <c:ptCount val="8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14.0</c:v>
                </c:pt>
                <c:pt idx="6">
                  <c:v>16.0</c:v>
                </c:pt>
                <c:pt idx="7">
                  <c:v>18.0</c:v>
                </c:pt>
              </c:numCache>
            </c:numRef>
          </c:xVal>
          <c:yVal>
            <c:numRef>
              <c:f>psygmo!$D$82:$K$82</c:f>
              <c:numCache>
                <c:formatCode>0.00</c:formatCode>
                <c:ptCount val="8"/>
                <c:pt idx="0">
                  <c:v>7.656938502171235</c:v>
                </c:pt>
                <c:pt idx="1">
                  <c:v>8.284244350469485</c:v>
                </c:pt>
                <c:pt idx="2">
                  <c:v>8.676796600372737</c:v>
                </c:pt>
                <c:pt idx="3">
                  <c:v>9.411145324505913</c:v>
                </c:pt>
                <c:pt idx="4">
                  <c:v>9.805002420774004</c:v>
                </c:pt>
                <c:pt idx="5">
                  <c:v>10.30676671272575</c:v>
                </c:pt>
                <c:pt idx="6">
                  <c:v>10.91337640785736</c:v>
                </c:pt>
                <c:pt idx="7">
                  <c:v>11.48390031320888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810864"/>
        <c:axId val="2072446016"/>
      </c:scatterChart>
      <c:valAx>
        <c:axId val="205381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2446016"/>
        <c:crosses val="autoZero"/>
        <c:crossBetween val="midCat"/>
      </c:valAx>
      <c:valAx>
        <c:axId val="20724460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53810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84050372520435"/>
                  <c:y val="0.0087846310877806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min!$E$78:$P$78</c:f>
              <c:numCache>
                <c:formatCode>General</c:formatCode>
                <c:ptCount val="12"/>
                <c:pt idx="0">
                  <c:v>6.0</c:v>
                </c:pt>
                <c:pt idx="1">
                  <c:v>8.0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</c:numCache>
            </c:numRef>
          </c:xVal>
          <c:yVal>
            <c:numRef>
              <c:f>min!$E$82:$P$82</c:f>
              <c:numCache>
                <c:formatCode>0.00</c:formatCode>
                <c:ptCount val="12"/>
                <c:pt idx="0">
                  <c:v>8.05892283935984</c:v>
                </c:pt>
                <c:pt idx="1">
                  <c:v>8.251398624135286</c:v>
                </c:pt>
                <c:pt idx="2">
                  <c:v>8.645988667485977</c:v>
                </c:pt>
                <c:pt idx="3">
                  <c:v>9.141910851559073</c:v>
                </c:pt>
                <c:pt idx="4">
                  <c:v>9.822537694690717</c:v>
                </c:pt>
                <c:pt idx="5">
                  <c:v>10.18680863408621</c:v>
                </c:pt>
                <c:pt idx="6">
                  <c:v>10.72881647025073</c:v>
                </c:pt>
                <c:pt idx="7">
                  <c:v>11.51537466580168</c:v>
                </c:pt>
                <c:pt idx="8">
                  <c:v>12.11594814014348</c:v>
                </c:pt>
                <c:pt idx="9">
                  <c:v>12.76892418187356</c:v>
                </c:pt>
                <c:pt idx="10">
                  <c:v>13.18822215291157</c:v>
                </c:pt>
                <c:pt idx="11">
                  <c:v>13.60375669085257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257552"/>
        <c:axId val="2063527280"/>
      </c:scatterChart>
      <c:valAx>
        <c:axId val="203825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3527280"/>
        <c:crosses val="autoZero"/>
        <c:crossBetween val="midCat"/>
      </c:valAx>
      <c:valAx>
        <c:axId val="2063527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825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81264435695538"/>
                  <c:y val="0.013414260717410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Smic!$E$78:$M$78</c:f>
              <c:numCache>
                <c:formatCode>General</c:formatCode>
                <c:ptCount val="9"/>
                <c:pt idx="0">
                  <c:v>6.0</c:v>
                </c:pt>
                <c:pt idx="1">
                  <c:v>8.0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</c:numCache>
            </c:numRef>
          </c:xVal>
          <c:yVal>
            <c:numRef>
              <c:f>Smic!$E$84:$M$84</c:f>
              <c:numCache>
                <c:formatCode>0.00</c:formatCode>
                <c:ptCount val="9"/>
                <c:pt idx="0">
                  <c:v>7.122913464576992</c:v>
                </c:pt>
                <c:pt idx="1">
                  <c:v>7.55914541861421</c:v>
                </c:pt>
                <c:pt idx="2">
                  <c:v>7.96269763063137</c:v>
                </c:pt>
                <c:pt idx="3">
                  <c:v>8.94642377016954</c:v>
                </c:pt>
                <c:pt idx="4">
                  <c:v>9.858795544446323</c:v>
                </c:pt>
                <c:pt idx="5">
                  <c:v>10.76983997017039</c:v>
                </c:pt>
                <c:pt idx="6">
                  <c:v>11.73732547353295</c:v>
                </c:pt>
                <c:pt idx="7">
                  <c:v>12.50792438779696</c:v>
                </c:pt>
                <c:pt idx="8">
                  <c:v>13.09048105534067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04560"/>
        <c:axId val="2072878832"/>
      </c:scatterChart>
      <c:valAx>
        <c:axId val="205560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2878832"/>
        <c:crosses val="autoZero"/>
        <c:crossBetween val="midCat"/>
      </c:valAx>
      <c:valAx>
        <c:axId val="20728788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5560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0744271830886"/>
                  <c:y val="0.41488162344983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vor!$D$78:$K$78</c:f>
              <c:numCache>
                <c:formatCode>General</c:formatCode>
                <c:ptCount val="8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14.0</c:v>
                </c:pt>
                <c:pt idx="6">
                  <c:v>16.0</c:v>
                </c:pt>
                <c:pt idx="7">
                  <c:v>18.0</c:v>
                </c:pt>
              </c:numCache>
            </c:numRef>
          </c:xVal>
          <c:yVal>
            <c:numRef>
              <c:f>vor!$D$79:$K$79</c:f>
              <c:numCache>
                <c:formatCode>0.00</c:formatCode>
                <c:ptCount val="8"/>
                <c:pt idx="0">
                  <c:v>8.052095758517454</c:v>
                </c:pt>
                <c:pt idx="1">
                  <c:v>8.496438749496697</c:v>
                </c:pt>
                <c:pt idx="2">
                  <c:v>9.150782563590302</c:v>
                </c:pt>
                <c:pt idx="3">
                  <c:v>9.542097625146368</c:v>
                </c:pt>
                <c:pt idx="4">
                  <c:v>10.07207189164875</c:v>
                </c:pt>
                <c:pt idx="6">
                  <c:v>11.94338478812288</c:v>
                </c:pt>
                <c:pt idx="7">
                  <c:v>12.49300401566284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752000"/>
        <c:axId val="2056477264"/>
      </c:scatterChart>
      <c:valAx>
        <c:axId val="20377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6477264"/>
        <c:crosses val="autoZero"/>
        <c:crossBetween val="midCat"/>
      </c:valAx>
      <c:valAx>
        <c:axId val="20564772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7752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647991</xdr:colOff>
      <xdr:row>92</xdr:row>
      <xdr:rowOff>34636</xdr:rowOff>
    </xdr:from>
    <xdr:to>
      <xdr:col>14</xdr:col>
      <xdr:colOff>94530</xdr:colOff>
      <xdr:row>107</xdr:row>
      <xdr:rowOff>117619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71438</xdr:colOff>
      <xdr:row>92</xdr:row>
      <xdr:rowOff>166689</xdr:rowOff>
    </xdr:from>
    <xdr:to>
      <xdr:col>10</xdr:col>
      <xdr:colOff>920750</xdr:colOff>
      <xdr:row>108</xdr:row>
      <xdr:rowOff>146844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480220</xdr:colOff>
      <xdr:row>90</xdr:row>
      <xdr:rowOff>130969</xdr:rowOff>
    </xdr:from>
    <xdr:to>
      <xdr:col>12</xdr:col>
      <xdr:colOff>68605</xdr:colOff>
      <xdr:row>102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412749</xdr:colOff>
      <xdr:row>90</xdr:row>
      <xdr:rowOff>59532</xdr:rowOff>
    </xdr:from>
    <xdr:to>
      <xdr:col>16</xdr:col>
      <xdr:colOff>936624</xdr:colOff>
      <xdr:row>103</xdr:row>
      <xdr:rowOff>63501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754064</xdr:colOff>
      <xdr:row>91</xdr:row>
      <xdr:rowOff>111126</xdr:rowOff>
    </xdr:from>
    <xdr:to>
      <xdr:col>16</xdr:col>
      <xdr:colOff>325439</xdr:colOff>
      <xdr:row>106</xdr:row>
      <xdr:rowOff>69851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nahreich/Dropbox/Hannah%20culture%20expt%20summer%202017/cell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batch"/>
      <sheetName val="forR"/>
      <sheetName val="sp_growth"/>
      <sheetName val="innoculationdensity"/>
      <sheetName val="stock densities"/>
    </sheetNames>
    <sheetDataSet>
      <sheetData sheetId="0"/>
      <sheetData sheetId="1"/>
      <sheetData sheetId="2"/>
      <sheetData sheetId="3"/>
      <sheetData sheetId="4">
        <row r="2">
          <cell r="D2">
            <v>576200</v>
          </cell>
        </row>
        <row r="5">
          <cell r="D5">
            <v>496993.33333333337</v>
          </cell>
        </row>
        <row r="8">
          <cell r="D8">
            <v>1379706.6666666665</v>
          </cell>
        </row>
        <row r="11">
          <cell r="D11">
            <v>703406.66666666674</v>
          </cell>
        </row>
        <row r="14">
          <cell r="D14">
            <v>508966.66666666663</v>
          </cell>
        </row>
        <row r="29">
          <cell r="D29">
            <v>175460</v>
          </cell>
        </row>
        <row r="32">
          <cell r="D32">
            <v>411920</v>
          </cell>
        </row>
        <row r="49">
          <cell r="D49">
            <v>1501.5933333333337</v>
          </cell>
        </row>
        <row r="50">
          <cell r="D50">
            <v>118806.66666666666</v>
          </cell>
        </row>
        <row r="53">
          <cell r="D53">
            <v>310940</v>
          </cell>
        </row>
        <row r="55">
          <cell r="D55">
            <v>196090</v>
          </cell>
        </row>
        <row r="58">
          <cell r="D58">
            <v>1492.26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I12" sqref="I12"/>
    </sheetView>
  </sheetViews>
  <sheetFormatPr baseColWidth="10" defaultRowHeight="15" x14ac:dyDescent="0.2"/>
  <sheetData>
    <row r="1" spans="1:5" s="28" customFormat="1" ht="16" x14ac:dyDescent="0.2">
      <c r="A1" s="32" t="s">
        <v>0</v>
      </c>
      <c r="B1" s="30" t="s">
        <v>290</v>
      </c>
      <c r="C1" s="31" t="s">
        <v>291</v>
      </c>
      <c r="D1" s="31" t="s">
        <v>292</v>
      </c>
      <c r="E1" s="31" t="s">
        <v>293</v>
      </c>
    </row>
    <row r="2" spans="1:5" x14ac:dyDescent="0.2">
      <c r="A2" s="9" t="s">
        <v>210</v>
      </c>
      <c r="B2" s="6">
        <v>4</v>
      </c>
      <c r="C2" s="6">
        <v>20</v>
      </c>
      <c r="D2" s="6">
        <v>0.35809999999999997</v>
      </c>
      <c r="E2" s="6">
        <v>0.99104999999999999</v>
      </c>
    </row>
    <row r="3" spans="1:5" x14ac:dyDescent="0.2">
      <c r="A3" s="9" t="s">
        <v>211</v>
      </c>
      <c r="B3" s="6">
        <v>4</v>
      </c>
      <c r="C3" s="6">
        <v>20</v>
      </c>
      <c r="D3" s="6">
        <v>0.36359999999999998</v>
      </c>
      <c r="E3" s="6">
        <v>0.99238000000000004</v>
      </c>
    </row>
    <row r="4" spans="1:5" x14ac:dyDescent="0.2">
      <c r="A4" s="9" t="s">
        <v>212</v>
      </c>
      <c r="B4" s="6">
        <v>4</v>
      </c>
      <c r="C4" s="6">
        <v>20</v>
      </c>
      <c r="D4" s="6">
        <v>0.33900000000000002</v>
      </c>
      <c r="E4" s="6">
        <v>0.99029999999999996</v>
      </c>
    </row>
    <row r="5" spans="1:5" x14ac:dyDescent="0.2">
      <c r="A5" s="9" t="s">
        <v>213</v>
      </c>
      <c r="B5" s="6">
        <v>6</v>
      </c>
      <c r="C5" s="6">
        <v>24</v>
      </c>
      <c r="D5" s="6">
        <v>0.30630000000000002</v>
      </c>
      <c r="E5" s="6">
        <v>0.97506999999999999</v>
      </c>
    </row>
    <row r="6" spans="1:5" x14ac:dyDescent="0.2">
      <c r="A6" s="9" t="s">
        <v>214</v>
      </c>
      <c r="B6" s="6">
        <v>6</v>
      </c>
      <c r="C6" s="6">
        <v>24</v>
      </c>
      <c r="D6" s="6">
        <v>0.3054</v>
      </c>
      <c r="E6" s="6">
        <v>0.97665999999999997</v>
      </c>
    </row>
    <row r="7" spans="1:5" x14ac:dyDescent="0.2">
      <c r="A7" s="9" t="s">
        <v>215</v>
      </c>
      <c r="B7" s="6">
        <v>6</v>
      </c>
      <c r="C7" s="6">
        <v>24</v>
      </c>
      <c r="D7" s="6">
        <v>0.33119999999999999</v>
      </c>
      <c r="E7" s="6">
        <v>0.97014999999999996</v>
      </c>
    </row>
    <row r="8" spans="1:5" x14ac:dyDescent="0.2">
      <c r="A8" s="9" t="s">
        <v>216</v>
      </c>
      <c r="B8" s="6">
        <v>4</v>
      </c>
      <c r="C8" s="6">
        <v>16</v>
      </c>
      <c r="D8" s="6">
        <v>0.45810000000000001</v>
      </c>
      <c r="E8" s="6">
        <v>0.99726000000000004</v>
      </c>
    </row>
    <row r="9" spans="1:5" x14ac:dyDescent="0.2">
      <c r="A9" s="9" t="s">
        <v>217</v>
      </c>
      <c r="B9" s="6">
        <v>4</v>
      </c>
      <c r="C9" s="6">
        <v>16</v>
      </c>
      <c r="D9" s="6">
        <v>0.49469999999999997</v>
      </c>
      <c r="E9" s="6">
        <v>0.99092999999999998</v>
      </c>
    </row>
    <row r="10" spans="1:5" s="28" customFormat="1" x14ac:dyDescent="0.2">
      <c r="A10" s="26" t="s">
        <v>218</v>
      </c>
      <c r="B10" s="29">
        <v>4</v>
      </c>
      <c r="C10" s="29">
        <v>16</v>
      </c>
      <c r="D10" s="29">
        <v>0.47589999999999999</v>
      </c>
      <c r="E10" s="29">
        <v>0.99294000000000004</v>
      </c>
    </row>
    <row r="11" spans="1:5" x14ac:dyDescent="0.2">
      <c r="A11" s="9" t="s">
        <v>222</v>
      </c>
      <c r="B11" s="6">
        <v>4</v>
      </c>
      <c r="C11" s="6">
        <v>18</v>
      </c>
      <c r="D11" s="6">
        <v>0.26919999999999999</v>
      </c>
      <c r="E11" s="27">
        <v>0.99746000000000001</v>
      </c>
    </row>
    <row r="12" spans="1:5" x14ac:dyDescent="0.2">
      <c r="A12" s="9" t="s">
        <v>223</v>
      </c>
      <c r="B12" s="6">
        <v>4</v>
      </c>
      <c r="C12" s="6">
        <v>18</v>
      </c>
      <c r="D12" s="6">
        <v>0.26910000000000001</v>
      </c>
      <c r="E12" s="6">
        <v>0.99326999999999999</v>
      </c>
    </row>
    <row r="13" spans="1:5" x14ac:dyDescent="0.2">
      <c r="A13" s="9" t="s">
        <v>224</v>
      </c>
      <c r="B13" s="6">
        <v>4</v>
      </c>
      <c r="C13" s="6">
        <v>18</v>
      </c>
      <c r="D13" s="6">
        <v>0.28499999999999998</v>
      </c>
      <c r="E13" s="6">
        <v>0.98563000000000001</v>
      </c>
    </row>
    <row r="14" spans="1:5" x14ac:dyDescent="0.2">
      <c r="A14" s="9" t="s">
        <v>225</v>
      </c>
      <c r="B14" s="6">
        <v>4</v>
      </c>
      <c r="C14" s="6">
        <v>32</v>
      </c>
      <c r="D14" s="6">
        <v>0.1898</v>
      </c>
      <c r="E14" s="6">
        <v>0.98511000000000004</v>
      </c>
    </row>
    <row r="15" spans="1:5" x14ac:dyDescent="0.2">
      <c r="A15" s="9" t="s">
        <v>226</v>
      </c>
      <c r="B15" s="6">
        <v>4</v>
      </c>
      <c r="C15" s="6">
        <v>32</v>
      </c>
      <c r="D15" s="6">
        <v>0.17</v>
      </c>
      <c r="E15" s="6">
        <v>0.99504999999999999</v>
      </c>
    </row>
    <row r="16" spans="1:5" x14ac:dyDescent="0.2">
      <c r="A16" s="9" t="s">
        <v>227</v>
      </c>
      <c r="B16" s="6">
        <v>4</v>
      </c>
      <c r="C16" s="6">
        <v>32</v>
      </c>
      <c r="D16" s="6">
        <v>0.16270000000000001</v>
      </c>
      <c r="E16" s="6">
        <v>0.99314999999999998</v>
      </c>
    </row>
    <row r="17" spans="1:5" x14ac:dyDescent="0.2">
      <c r="A17" s="9" t="s">
        <v>228</v>
      </c>
      <c r="B17" s="6">
        <v>4</v>
      </c>
      <c r="C17" s="6">
        <v>18</v>
      </c>
      <c r="D17" s="6">
        <v>0.41749999999999998</v>
      </c>
      <c r="E17" s="6">
        <v>0.99397000000000002</v>
      </c>
    </row>
    <row r="18" spans="1:5" x14ac:dyDescent="0.2">
      <c r="A18" s="9" t="s">
        <v>229</v>
      </c>
      <c r="B18" s="6">
        <v>4</v>
      </c>
      <c r="C18" s="6">
        <v>18</v>
      </c>
      <c r="D18" s="6">
        <v>0.41349999999999998</v>
      </c>
      <c r="E18" s="6">
        <v>0.99211000000000005</v>
      </c>
    </row>
    <row r="19" spans="1:5" s="28" customFormat="1" x14ac:dyDescent="0.2">
      <c r="A19" s="26" t="s">
        <v>230</v>
      </c>
      <c r="B19" s="29">
        <v>4</v>
      </c>
      <c r="C19" s="29">
        <v>18</v>
      </c>
      <c r="D19" s="29">
        <v>0.41830000000000001</v>
      </c>
      <c r="E19" s="29">
        <v>0.99380999999999997</v>
      </c>
    </row>
    <row r="20" spans="1:5" x14ac:dyDescent="0.2">
      <c r="A20" s="9" t="s">
        <v>239</v>
      </c>
      <c r="B20" s="6">
        <v>6</v>
      </c>
      <c r="C20" s="6">
        <v>28</v>
      </c>
      <c r="D20" s="6">
        <v>0.27060000000000001</v>
      </c>
      <c r="E20" s="6">
        <v>0.99211000000000005</v>
      </c>
    </row>
    <row r="21" spans="1:5" x14ac:dyDescent="0.2">
      <c r="A21" s="9" t="s">
        <v>238</v>
      </c>
      <c r="B21" s="6">
        <v>6</v>
      </c>
      <c r="C21" s="6">
        <v>28</v>
      </c>
      <c r="D21" s="6">
        <v>0.26029999999999998</v>
      </c>
      <c r="E21" s="6">
        <v>0.98890999999999996</v>
      </c>
    </row>
    <row r="22" spans="1:5" x14ac:dyDescent="0.2">
      <c r="A22" s="9" t="s">
        <v>237</v>
      </c>
      <c r="B22" s="6">
        <v>6</v>
      </c>
      <c r="C22" s="6">
        <v>28</v>
      </c>
      <c r="D22" s="6">
        <v>0.2631</v>
      </c>
      <c r="E22" s="6">
        <v>0.99104000000000003</v>
      </c>
    </row>
    <row r="23" spans="1:5" x14ac:dyDescent="0.2">
      <c r="A23" s="9" t="s">
        <v>236</v>
      </c>
      <c r="B23" s="6">
        <v>6</v>
      </c>
      <c r="C23" s="6">
        <v>38</v>
      </c>
      <c r="D23" s="6">
        <v>0.1971</v>
      </c>
      <c r="E23" s="6">
        <v>0.99865000000000004</v>
      </c>
    </row>
    <row r="24" spans="1:5" x14ac:dyDescent="0.2">
      <c r="A24" s="9" t="s">
        <v>235</v>
      </c>
      <c r="B24" s="6">
        <v>6</v>
      </c>
      <c r="C24" s="6">
        <v>38</v>
      </c>
      <c r="D24" s="6">
        <v>0.17630000000000001</v>
      </c>
      <c r="E24" s="6">
        <v>0.99570999999999998</v>
      </c>
    </row>
    <row r="25" spans="1:5" x14ac:dyDescent="0.2">
      <c r="A25" s="9" t="s">
        <v>234</v>
      </c>
      <c r="B25" s="6">
        <v>6</v>
      </c>
      <c r="C25" s="6">
        <v>38</v>
      </c>
      <c r="D25" s="6">
        <v>0.2064</v>
      </c>
      <c r="E25" s="6">
        <v>0.99136999999999997</v>
      </c>
    </row>
    <row r="26" spans="1:5" x14ac:dyDescent="0.2">
      <c r="A26" s="9" t="s">
        <v>233</v>
      </c>
      <c r="B26" s="6">
        <v>4</v>
      </c>
      <c r="C26" s="6">
        <v>22</v>
      </c>
      <c r="D26" s="6">
        <v>0.32719999999999999</v>
      </c>
      <c r="E26" s="6">
        <v>0.99743999999999999</v>
      </c>
    </row>
    <row r="27" spans="1:5" x14ac:dyDescent="0.2">
      <c r="A27" s="9" t="s">
        <v>232</v>
      </c>
      <c r="B27" s="6">
        <v>4</v>
      </c>
      <c r="C27" s="6">
        <v>22</v>
      </c>
      <c r="D27" s="6">
        <v>0.33510000000000001</v>
      </c>
      <c r="E27" s="6">
        <v>0.99509999999999998</v>
      </c>
    </row>
    <row r="28" spans="1:5" s="28" customFormat="1" x14ac:dyDescent="0.2">
      <c r="A28" s="26" t="s">
        <v>231</v>
      </c>
      <c r="B28" s="29">
        <v>4</v>
      </c>
      <c r="C28" s="29">
        <v>22</v>
      </c>
      <c r="D28" s="29">
        <v>0.32129999999999997</v>
      </c>
      <c r="E28" s="29">
        <v>0.99717999999999996</v>
      </c>
    </row>
    <row r="29" spans="1:5" x14ac:dyDescent="0.2">
      <c r="A29" s="9" t="s">
        <v>253</v>
      </c>
      <c r="B29" s="6">
        <v>6</v>
      </c>
      <c r="C29" s="6">
        <v>22</v>
      </c>
      <c r="D29" s="6">
        <v>0.38169999999999998</v>
      </c>
      <c r="E29" s="6">
        <v>0.99165999999999999</v>
      </c>
    </row>
    <row r="30" spans="1:5" x14ac:dyDescent="0.2">
      <c r="A30" s="9" t="s">
        <v>252</v>
      </c>
      <c r="B30" s="6">
        <v>6</v>
      </c>
      <c r="C30" s="6">
        <v>22</v>
      </c>
      <c r="D30" s="6">
        <v>0.41239999999999999</v>
      </c>
      <c r="E30" s="6">
        <v>0.99382000000000004</v>
      </c>
    </row>
    <row r="31" spans="1:5" x14ac:dyDescent="0.2">
      <c r="A31" s="9" t="s">
        <v>251</v>
      </c>
      <c r="B31" s="6">
        <v>6</v>
      </c>
      <c r="C31" s="6">
        <v>22</v>
      </c>
      <c r="D31" s="6">
        <v>0.4007</v>
      </c>
      <c r="E31" s="6">
        <v>0.98965999999999998</v>
      </c>
    </row>
    <row r="32" spans="1:5" x14ac:dyDescent="0.2">
      <c r="A32" s="9" t="s">
        <v>250</v>
      </c>
      <c r="B32" s="6">
        <v>6</v>
      </c>
      <c r="C32" s="6">
        <v>26</v>
      </c>
      <c r="D32" s="6">
        <v>0.21249999999999999</v>
      </c>
      <c r="E32" s="6">
        <v>0.99763000000000002</v>
      </c>
    </row>
    <row r="33" spans="1:5" x14ac:dyDescent="0.2">
      <c r="A33" s="9" t="s">
        <v>249</v>
      </c>
      <c r="B33" s="6">
        <v>6</v>
      </c>
      <c r="C33" s="6">
        <v>26</v>
      </c>
      <c r="D33" s="6">
        <v>0.2515</v>
      </c>
      <c r="E33" s="6">
        <v>0.98919999999999997</v>
      </c>
    </row>
    <row r="34" spans="1:5" x14ac:dyDescent="0.2">
      <c r="A34" s="9" t="s">
        <v>248</v>
      </c>
      <c r="B34" s="6">
        <v>6</v>
      </c>
      <c r="C34" s="6">
        <v>26</v>
      </c>
      <c r="D34" s="6">
        <v>0.2145</v>
      </c>
      <c r="E34" s="6">
        <v>0.99685000000000001</v>
      </c>
    </row>
    <row r="35" spans="1:5" x14ac:dyDescent="0.2">
      <c r="A35" s="9" t="s">
        <v>247</v>
      </c>
      <c r="B35" s="6">
        <v>2</v>
      </c>
      <c r="C35" s="6">
        <v>14</v>
      </c>
      <c r="D35" s="6">
        <v>0.50460000000000005</v>
      </c>
      <c r="E35" s="6">
        <v>0.99051</v>
      </c>
    </row>
    <row r="36" spans="1:5" x14ac:dyDescent="0.2">
      <c r="A36" s="9" t="s">
        <v>246</v>
      </c>
      <c r="B36" s="6">
        <v>2</v>
      </c>
      <c r="C36" s="6">
        <v>14</v>
      </c>
      <c r="D36" s="6">
        <v>0.49409999999999998</v>
      </c>
      <c r="E36" s="6">
        <v>0.98850000000000005</v>
      </c>
    </row>
    <row r="37" spans="1:5" s="28" customFormat="1" x14ac:dyDescent="0.2">
      <c r="A37" s="26" t="s">
        <v>245</v>
      </c>
      <c r="B37" s="29">
        <v>2</v>
      </c>
      <c r="C37" s="29">
        <v>14</v>
      </c>
      <c r="D37" s="29">
        <v>0.49070000000000003</v>
      </c>
      <c r="E37" s="29">
        <v>0.99000999999999995</v>
      </c>
    </row>
    <row r="38" spans="1:5" x14ac:dyDescent="0.2">
      <c r="A38" s="9" t="s">
        <v>255</v>
      </c>
      <c r="B38" s="6">
        <v>4</v>
      </c>
      <c r="C38" s="6">
        <v>18</v>
      </c>
      <c r="D38" s="6">
        <v>0.32519999999999999</v>
      </c>
      <c r="E38" s="6">
        <v>0.98273999999999995</v>
      </c>
    </row>
    <row r="39" spans="1:5" x14ac:dyDescent="0.2">
      <c r="A39" s="9" t="s">
        <v>256</v>
      </c>
      <c r="B39" s="6">
        <v>4</v>
      </c>
      <c r="C39" s="6">
        <v>18</v>
      </c>
      <c r="D39" s="6">
        <v>0.30980000000000002</v>
      </c>
      <c r="E39" s="6">
        <v>0.98394999999999999</v>
      </c>
    </row>
    <row r="40" spans="1:5" x14ac:dyDescent="0.2">
      <c r="A40" s="9" t="s">
        <v>257</v>
      </c>
      <c r="B40" s="6">
        <v>4</v>
      </c>
      <c r="C40" s="6">
        <v>18</v>
      </c>
      <c r="D40" s="6">
        <v>0.33279999999999998</v>
      </c>
      <c r="E40" s="6">
        <v>0.98717999999999995</v>
      </c>
    </row>
    <row r="41" spans="1:5" x14ac:dyDescent="0.2">
      <c r="A41" s="9" t="s">
        <v>261</v>
      </c>
      <c r="B41" s="6">
        <v>2</v>
      </c>
      <c r="C41" s="6">
        <v>30</v>
      </c>
      <c r="D41" s="6">
        <v>0.1971</v>
      </c>
      <c r="E41" s="6">
        <v>0.98643999999999998</v>
      </c>
    </row>
    <row r="42" spans="1:5" x14ac:dyDescent="0.2">
      <c r="A42" s="9" t="s">
        <v>262</v>
      </c>
      <c r="B42" s="6">
        <v>2</v>
      </c>
      <c r="C42" s="6">
        <v>30</v>
      </c>
      <c r="D42" s="6">
        <v>0.189</v>
      </c>
      <c r="E42" s="6">
        <v>0.99182999999999999</v>
      </c>
    </row>
    <row r="43" spans="1:5" x14ac:dyDescent="0.2">
      <c r="A43" s="9" t="s">
        <v>263</v>
      </c>
      <c r="B43" s="6">
        <v>2</v>
      </c>
      <c r="C43" s="6">
        <v>30</v>
      </c>
      <c r="D43" s="6">
        <v>0.18490000000000001</v>
      </c>
      <c r="E43" s="6">
        <v>0.99331000000000003</v>
      </c>
    </row>
    <row r="44" spans="1:5" x14ac:dyDescent="0.2">
      <c r="A44" s="9" t="s">
        <v>264</v>
      </c>
      <c r="B44" s="6">
        <v>2</v>
      </c>
      <c r="C44" s="6">
        <v>16</v>
      </c>
      <c r="D44" s="6">
        <v>0.36570000000000003</v>
      </c>
      <c r="E44" s="6">
        <v>0.98912999999999995</v>
      </c>
    </row>
    <row r="45" spans="1:5" x14ac:dyDescent="0.2">
      <c r="A45" s="9" t="s">
        <v>265</v>
      </c>
      <c r="B45" s="6">
        <v>2</v>
      </c>
      <c r="C45" s="6">
        <v>16</v>
      </c>
      <c r="D45" s="6">
        <v>0.36709999999999998</v>
      </c>
      <c r="E45" s="6">
        <v>0.99158000000000002</v>
      </c>
    </row>
    <row r="46" spans="1:5" x14ac:dyDescent="0.2">
      <c r="A46" s="9" t="s">
        <v>266</v>
      </c>
      <c r="B46" s="6">
        <v>2</v>
      </c>
      <c r="C46" s="6">
        <v>16</v>
      </c>
      <c r="D46" s="6">
        <v>0.36370000000000002</v>
      </c>
      <c r="E46" s="6">
        <v>0.995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22" sqref="E22"/>
    </sheetView>
  </sheetViews>
  <sheetFormatPr baseColWidth="10" defaultRowHeight="15" x14ac:dyDescent="0.2"/>
  <sheetData>
    <row r="1" spans="1:5" ht="17" thickBot="1" x14ac:dyDescent="0.25">
      <c r="A1" s="33" t="s">
        <v>294</v>
      </c>
      <c r="B1" s="34" t="s">
        <v>295</v>
      </c>
      <c r="C1" s="35" t="s">
        <v>296</v>
      </c>
      <c r="D1" t="s">
        <v>297</v>
      </c>
      <c r="E1" t="s">
        <v>298</v>
      </c>
    </row>
    <row r="2" spans="1:5" x14ac:dyDescent="0.2">
      <c r="A2" s="36" t="s">
        <v>299</v>
      </c>
      <c r="B2" s="37">
        <v>50</v>
      </c>
      <c r="C2" s="37" t="s">
        <v>300</v>
      </c>
      <c r="D2" s="38">
        <v>0.22036666666666668</v>
      </c>
      <c r="E2" s="38">
        <v>2.827177626774292E-2</v>
      </c>
    </row>
    <row r="3" spans="1:5" x14ac:dyDescent="0.2">
      <c r="A3" s="39" t="s">
        <v>301</v>
      </c>
      <c r="B3" s="37">
        <v>100</v>
      </c>
      <c r="C3" s="37" t="s">
        <v>300</v>
      </c>
      <c r="D3" s="38">
        <v>0.45113333333333339</v>
      </c>
      <c r="E3" s="38">
        <v>2.9994388364047934E-2</v>
      </c>
    </row>
    <row r="4" spans="1:5" ht="16" thickBot="1" x14ac:dyDescent="0.25">
      <c r="A4" s="39" t="s">
        <v>302</v>
      </c>
      <c r="B4" s="40">
        <v>250</v>
      </c>
      <c r="C4" s="41" t="s">
        <v>300</v>
      </c>
      <c r="D4" s="38">
        <v>0.48723333333333335</v>
      </c>
      <c r="E4" s="38">
        <v>2.9126677347980062E-2</v>
      </c>
    </row>
    <row r="5" spans="1:5" x14ac:dyDescent="0.2">
      <c r="A5" s="42" t="s">
        <v>303</v>
      </c>
      <c r="B5" s="39">
        <v>50</v>
      </c>
      <c r="C5" s="39" t="s">
        <v>304</v>
      </c>
      <c r="D5" s="43">
        <v>0.44536666666666669</v>
      </c>
      <c r="E5" s="43">
        <v>2.8043062124763291E-2</v>
      </c>
    </row>
    <row r="6" spans="1:5" x14ac:dyDescent="0.2">
      <c r="A6" s="39" t="s">
        <v>305</v>
      </c>
      <c r="B6" s="39">
        <v>100</v>
      </c>
      <c r="C6" s="39" t="s">
        <v>304</v>
      </c>
      <c r="D6" s="43">
        <v>0.43183333333333335</v>
      </c>
      <c r="E6" s="43">
        <v>2.2416363071054442E-2</v>
      </c>
    </row>
    <row r="7" spans="1:5" ht="16" thickBot="1" x14ac:dyDescent="0.25">
      <c r="A7" s="39" t="s">
        <v>306</v>
      </c>
      <c r="B7" s="40">
        <v>250</v>
      </c>
      <c r="C7" s="40" t="s">
        <v>304</v>
      </c>
      <c r="D7" s="43">
        <v>0.45419999999999999</v>
      </c>
      <c r="E7" s="43">
        <v>4.4400112612469775E-2</v>
      </c>
    </row>
    <row r="8" spans="1:5" x14ac:dyDescent="0.2">
      <c r="A8" s="36" t="s">
        <v>307</v>
      </c>
      <c r="B8" s="37">
        <v>50</v>
      </c>
      <c r="C8" s="37" t="s">
        <v>308</v>
      </c>
      <c r="D8" s="44">
        <v>0.21386666666666665</v>
      </c>
      <c r="E8" s="44">
        <v>1.9813715788143664E-2</v>
      </c>
    </row>
    <row r="9" spans="1:5" x14ac:dyDescent="0.2">
      <c r="A9" s="39" t="s">
        <v>309</v>
      </c>
      <c r="B9" s="37">
        <v>100</v>
      </c>
      <c r="C9" s="37" t="s">
        <v>308</v>
      </c>
      <c r="D9" s="43">
        <v>0.31906666666666667</v>
      </c>
      <c r="E9" s="43">
        <v>7.300228306932147E-3</v>
      </c>
    </row>
    <row r="10" spans="1:5" ht="16" thickBot="1" x14ac:dyDescent="0.25">
      <c r="A10" s="39" t="s">
        <v>310</v>
      </c>
      <c r="B10" s="40">
        <v>250</v>
      </c>
      <c r="C10" s="37" t="s">
        <v>308</v>
      </c>
      <c r="D10" s="43">
        <v>0.34333333333333332</v>
      </c>
      <c r="E10" s="43">
        <v>8.7460467259975853E-3</v>
      </c>
    </row>
    <row r="11" spans="1:5" x14ac:dyDescent="0.2">
      <c r="A11" s="36" t="s">
        <v>311</v>
      </c>
      <c r="B11" s="37">
        <v>50</v>
      </c>
      <c r="C11" s="37" t="s">
        <v>312</v>
      </c>
      <c r="D11" s="44">
        <v>0.22490000000000002</v>
      </c>
      <c r="E11" s="44">
        <v>4.3108351859007452E-2</v>
      </c>
    </row>
    <row r="12" spans="1:5" x14ac:dyDescent="0.2">
      <c r="A12" s="39" t="s">
        <v>313</v>
      </c>
      <c r="B12" s="37">
        <v>100</v>
      </c>
      <c r="C12" s="37" t="s">
        <v>312</v>
      </c>
      <c r="D12" s="43">
        <v>0.34066666666666667</v>
      </c>
      <c r="E12" s="43">
        <v>2.951784770834982E-2</v>
      </c>
    </row>
    <row r="13" spans="1:5" ht="16" thickBot="1" x14ac:dyDescent="0.25">
      <c r="A13" s="39" t="s">
        <v>314</v>
      </c>
      <c r="B13" s="40">
        <v>250</v>
      </c>
      <c r="C13" s="37" t="s">
        <v>312</v>
      </c>
      <c r="D13" s="43">
        <v>0.45966666666666667</v>
      </c>
      <c r="E13" s="43">
        <v>1.2225519757185534E-2</v>
      </c>
    </row>
    <row r="14" spans="1:5" x14ac:dyDescent="0.2">
      <c r="A14" s="36" t="s">
        <v>315</v>
      </c>
      <c r="B14" s="37">
        <v>50</v>
      </c>
      <c r="C14" s="37" t="s">
        <v>316</v>
      </c>
      <c r="D14" s="44">
        <v>0.22313333333333332</v>
      </c>
      <c r="E14" s="44">
        <v>8.6199381281615532E-3</v>
      </c>
    </row>
    <row r="15" spans="1:5" x14ac:dyDescent="0.2">
      <c r="A15" s="39" t="s">
        <v>317</v>
      </c>
      <c r="B15" s="37">
        <v>100</v>
      </c>
      <c r="C15" s="37" t="s">
        <v>316</v>
      </c>
      <c r="D15" s="43">
        <v>0.34899999999999998</v>
      </c>
      <c r="E15" s="43">
        <v>1.5860643114325466E-2</v>
      </c>
    </row>
    <row r="16" spans="1:5" ht="16" thickBot="1" x14ac:dyDescent="0.25">
      <c r="A16" s="39" t="s">
        <v>318</v>
      </c>
      <c r="B16" s="40">
        <v>250</v>
      </c>
      <c r="C16" s="37" t="s">
        <v>316</v>
      </c>
      <c r="D16" s="43">
        <v>0.41100000000000003</v>
      </c>
      <c r="E16" s="43">
        <v>8.9615846812938268E-3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Z133"/>
  <sheetViews>
    <sheetView zoomScale="110" zoomScaleNormal="110" zoomScalePageLayoutView="110" workbookViewId="0">
      <pane xSplit="1" ySplit="1" topLeftCell="L35" activePane="bottomRight" state="frozen"/>
      <selection pane="topRight" activeCell="B1" sqref="B1"/>
      <selection pane="bottomLeft" activeCell="A2" sqref="A2"/>
      <selection pane="bottomRight" activeCell="S75" sqref="S75"/>
    </sheetView>
  </sheetViews>
  <sheetFormatPr baseColWidth="10" defaultColWidth="12.5" defaultRowHeight="15" x14ac:dyDescent="0.2"/>
  <cols>
    <col min="1" max="1" width="18.5" style="4" customWidth="1"/>
    <col min="2" max="2" width="18.5" style="6" customWidth="1"/>
    <col min="3" max="3" width="18.6640625" style="6" customWidth="1"/>
    <col min="4" max="4" width="15.5" style="6" customWidth="1"/>
    <col min="5" max="5" width="16.6640625" style="6" customWidth="1"/>
    <col min="6" max="6" width="15.33203125" style="7" customWidth="1"/>
    <col min="7" max="16384" width="12.5" style="6"/>
  </cols>
  <sheetData>
    <row r="1" spans="1:26" s="2" customFormat="1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x14ac:dyDescent="0.2">
      <c r="A2" s="4" t="s">
        <v>26</v>
      </c>
      <c r="B2" s="5">
        <f>([1]innoculationdensity!$D$2*2)/1000</f>
        <v>1152.4000000000001</v>
      </c>
      <c r="C2" s="6">
        <v>1311</v>
      </c>
      <c r="D2" s="6">
        <v>1775</v>
      </c>
      <c r="E2" s="6">
        <v>2115</v>
      </c>
      <c r="F2" s="7">
        <v>2399</v>
      </c>
      <c r="G2" s="6">
        <v>2575</v>
      </c>
      <c r="H2" s="6">
        <v>2475</v>
      </c>
      <c r="I2" s="6">
        <v>2390</v>
      </c>
      <c r="J2" s="6">
        <v>2315</v>
      </c>
      <c r="K2" s="6">
        <v>2010</v>
      </c>
      <c r="L2" s="6">
        <v>2114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">
      <c r="A3" s="4" t="s">
        <v>27</v>
      </c>
      <c r="B3" s="5">
        <f>([1]innoculationdensity!$D$2*2)/1000</f>
        <v>1152.4000000000001</v>
      </c>
      <c r="C3" s="6">
        <v>1223</v>
      </c>
      <c r="D3" s="6">
        <v>1829</v>
      </c>
      <c r="E3" s="6">
        <v>2110</v>
      </c>
      <c r="F3" s="7">
        <v>2417</v>
      </c>
      <c r="G3" s="6">
        <v>2531</v>
      </c>
      <c r="H3" s="6">
        <v>2483</v>
      </c>
      <c r="I3" s="6">
        <v>2373</v>
      </c>
      <c r="J3" s="6">
        <v>2384</v>
      </c>
      <c r="K3" s="6">
        <v>2033</v>
      </c>
      <c r="L3" s="6">
        <v>2069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">
      <c r="A4" s="4" t="s">
        <v>28</v>
      </c>
      <c r="B4" s="5">
        <f>([1]innoculationdensity!$D$2*2)/1000</f>
        <v>1152.4000000000001</v>
      </c>
      <c r="C4" s="6">
        <v>1246</v>
      </c>
      <c r="D4" s="6">
        <v>1800</v>
      </c>
      <c r="E4" s="6">
        <v>2116</v>
      </c>
      <c r="F4" s="7">
        <v>2371</v>
      </c>
      <c r="G4" s="6">
        <v>2582</v>
      </c>
      <c r="H4" s="6">
        <v>2417</v>
      </c>
      <c r="I4" s="6">
        <v>2406</v>
      </c>
      <c r="J4" s="6">
        <v>2329</v>
      </c>
      <c r="K4" s="6">
        <v>2048</v>
      </c>
      <c r="L4" s="6">
        <v>2016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">
      <c r="A5" s="4" t="s">
        <v>29</v>
      </c>
      <c r="B5" s="5">
        <f>([1]innoculationdensity!$D$2*2)/1000</f>
        <v>1152.4000000000001</v>
      </c>
      <c r="C5" s="6">
        <v>1368</v>
      </c>
      <c r="D5" s="6">
        <v>1895</v>
      </c>
      <c r="E5" s="6">
        <v>2542</v>
      </c>
      <c r="F5" s="7">
        <v>2822</v>
      </c>
      <c r="G5" s="6">
        <v>2728</v>
      </c>
      <c r="H5" s="6">
        <v>2762</v>
      </c>
      <c r="I5" s="6">
        <v>2677</v>
      </c>
      <c r="J5" s="6">
        <v>2511</v>
      </c>
      <c r="K5" s="6">
        <v>2263</v>
      </c>
      <c r="L5" s="6">
        <v>2332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">
      <c r="A6" s="4" t="s">
        <v>30</v>
      </c>
      <c r="B6" s="5">
        <f>([1]innoculationdensity!$D$2*2)/1000</f>
        <v>1152.4000000000001</v>
      </c>
      <c r="C6" s="6">
        <v>1371</v>
      </c>
      <c r="D6" s="6">
        <v>1872</v>
      </c>
      <c r="E6" s="6">
        <v>2488</v>
      </c>
      <c r="F6" s="7">
        <v>2895</v>
      </c>
      <c r="G6" s="6">
        <v>2686</v>
      </c>
      <c r="H6" s="6">
        <v>2737</v>
      </c>
      <c r="I6" s="6">
        <v>2594</v>
      </c>
      <c r="J6" s="6">
        <v>2540</v>
      </c>
      <c r="K6" s="6">
        <v>2289</v>
      </c>
      <c r="L6" s="6">
        <v>2293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">
      <c r="A7" s="4" t="s">
        <v>31</v>
      </c>
      <c r="B7" s="5">
        <f>([1]innoculationdensity!$D$2*2)/1000</f>
        <v>1152.4000000000001</v>
      </c>
      <c r="C7" s="6">
        <v>1376</v>
      </c>
      <c r="D7" s="6">
        <v>1877</v>
      </c>
      <c r="E7" s="6">
        <v>2489</v>
      </c>
      <c r="F7" s="7">
        <v>2954</v>
      </c>
      <c r="G7" s="6">
        <v>2780</v>
      </c>
      <c r="H7" s="6">
        <v>2650</v>
      </c>
      <c r="I7" s="6">
        <v>2672</v>
      </c>
      <c r="J7" s="6">
        <v>2476</v>
      </c>
      <c r="K7" s="6">
        <v>2216</v>
      </c>
      <c r="L7" s="6">
        <v>2309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">
      <c r="A8" s="4" t="s">
        <v>32</v>
      </c>
      <c r="B8" s="5">
        <f>([1]innoculationdensity!$D$2*2)/1000</f>
        <v>1152.4000000000001</v>
      </c>
      <c r="C8" s="6">
        <v>1625</v>
      </c>
      <c r="D8" s="6">
        <v>2463</v>
      </c>
      <c r="E8" s="6">
        <v>2788</v>
      </c>
      <c r="F8" s="7">
        <v>2978</v>
      </c>
      <c r="G8" s="6">
        <v>3194</v>
      </c>
      <c r="H8" s="6">
        <v>3104</v>
      </c>
      <c r="I8" s="6">
        <v>3165</v>
      </c>
      <c r="J8" s="6">
        <v>2935</v>
      </c>
      <c r="K8" s="6">
        <v>2828</v>
      </c>
      <c r="L8" s="6">
        <v>2962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">
      <c r="A9" s="4" t="s">
        <v>33</v>
      </c>
      <c r="B9" s="5">
        <f>([1]innoculationdensity!$D$2*2)/1000</f>
        <v>1152.4000000000001</v>
      </c>
      <c r="C9" s="6">
        <v>1590</v>
      </c>
      <c r="D9" s="6">
        <v>2471</v>
      </c>
      <c r="E9" s="6">
        <v>2814</v>
      </c>
      <c r="F9" s="7">
        <v>2884</v>
      </c>
      <c r="G9" s="6">
        <v>3143</v>
      </c>
      <c r="H9" s="6">
        <v>3100</v>
      </c>
      <c r="I9" s="6">
        <v>3164</v>
      </c>
      <c r="J9" s="6">
        <v>2988</v>
      </c>
      <c r="K9" s="6">
        <v>2813</v>
      </c>
      <c r="L9" s="6">
        <v>2954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">
      <c r="A10" s="4" t="s">
        <v>34</v>
      </c>
      <c r="B10" s="5">
        <f>([1]innoculationdensity!$D$2*2)/1000</f>
        <v>1152.4000000000001</v>
      </c>
      <c r="C10" s="6">
        <v>1592</v>
      </c>
      <c r="D10" s="6">
        <v>2421</v>
      </c>
      <c r="E10" s="6">
        <v>2810</v>
      </c>
      <c r="F10" s="7">
        <v>2979</v>
      </c>
      <c r="G10" s="6">
        <v>3176</v>
      </c>
      <c r="H10" s="6">
        <v>3144</v>
      </c>
      <c r="I10" s="6">
        <v>3129</v>
      </c>
      <c r="J10" s="6">
        <v>2983</v>
      </c>
      <c r="K10" s="6">
        <v>2871</v>
      </c>
      <c r="L10" s="6">
        <v>2893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">
      <c r="A11" s="4" t="s">
        <v>35</v>
      </c>
      <c r="B11" s="5">
        <f>([1]innoculationdensity!$D$2*2)/1000</f>
        <v>1152.4000000000001</v>
      </c>
      <c r="C11" s="6">
        <v>1449</v>
      </c>
      <c r="D11" s="6">
        <v>4095</v>
      </c>
      <c r="E11" s="6">
        <v>6671</v>
      </c>
      <c r="F11" s="7">
        <v>11419</v>
      </c>
      <c r="G11" s="6">
        <v>20511</v>
      </c>
      <c r="H11" s="6">
        <v>40459</v>
      </c>
      <c r="I11" s="6">
        <v>105507</v>
      </c>
      <c r="J11" s="6">
        <f>12465*20</f>
        <v>249300</v>
      </c>
      <c r="K11" s="6">
        <f>28910*20</f>
        <v>578200</v>
      </c>
      <c r="L11" s="6">
        <f>20*44349</f>
        <v>886980</v>
      </c>
      <c r="M11" s="6">
        <f>20*56731</f>
        <v>1134620</v>
      </c>
      <c r="N11" s="6">
        <f>20*54743</f>
        <v>1094860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">
      <c r="A12" s="4" t="s">
        <v>36</v>
      </c>
      <c r="B12" s="5">
        <f>([1]innoculationdensity!$D$2*2)/1000</f>
        <v>1152.4000000000001</v>
      </c>
      <c r="C12" s="6">
        <v>1422</v>
      </c>
      <c r="D12" s="6">
        <v>3993</v>
      </c>
      <c r="E12" s="6">
        <v>5873</v>
      </c>
      <c r="F12" s="7">
        <v>11619</v>
      </c>
      <c r="G12" s="6">
        <v>20420</v>
      </c>
      <c r="H12" s="6">
        <v>43460</v>
      </c>
      <c r="I12" s="6">
        <v>98482</v>
      </c>
      <c r="J12" s="6">
        <f>12574*20</f>
        <v>251480</v>
      </c>
      <c r="K12" s="6">
        <f>28300*20</f>
        <v>566000</v>
      </c>
      <c r="L12" s="6">
        <f>20*44408</f>
        <v>888160</v>
      </c>
      <c r="M12" s="6">
        <f>20*56688</f>
        <v>1133760</v>
      </c>
      <c r="N12" s="6">
        <f>20*54219</f>
        <v>1084380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">
      <c r="A13" s="4" t="s">
        <v>37</v>
      </c>
      <c r="B13" s="5">
        <f>([1]innoculationdensity!$D$2*2)/1000</f>
        <v>1152.4000000000001</v>
      </c>
      <c r="C13" s="6">
        <v>1407</v>
      </c>
      <c r="D13" s="6">
        <v>4028</v>
      </c>
      <c r="E13" s="6">
        <v>5542</v>
      </c>
      <c r="F13" s="7">
        <v>11495</v>
      </c>
      <c r="G13" s="6">
        <v>20601</v>
      </c>
      <c r="H13" s="6">
        <v>41146</v>
      </c>
      <c r="I13" s="6">
        <v>98010</v>
      </c>
      <c r="J13" s="6">
        <f>12440*20</f>
        <v>248800</v>
      </c>
      <c r="K13" s="6">
        <f>28181*20</f>
        <v>563620</v>
      </c>
      <c r="L13" s="6">
        <f>20*44490</f>
        <v>889800</v>
      </c>
      <c r="M13" s="6">
        <f>20*56568</f>
        <v>1131360</v>
      </c>
      <c r="N13" s="6">
        <f>20*54443</f>
        <v>1088860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">
      <c r="A14" s="4" t="s">
        <v>38</v>
      </c>
      <c r="B14" s="5">
        <f>([1]innoculationdensity!$D$2*2)/1000</f>
        <v>1152.4000000000001</v>
      </c>
      <c r="C14" s="6">
        <v>1520</v>
      </c>
      <c r="D14" s="6">
        <v>3432</v>
      </c>
      <c r="E14" s="6">
        <v>5720</v>
      </c>
      <c r="F14" s="7">
        <v>10199</v>
      </c>
      <c r="G14" s="6">
        <v>22563</v>
      </c>
      <c r="H14" s="6">
        <v>41997</v>
      </c>
      <c r="I14" s="6">
        <v>96213</v>
      </c>
      <c r="J14" s="6">
        <f>13966*20</f>
        <v>279320</v>
      </c>
      <c r="K14" s="6">
        <f>27471*20</f>
        <v>549420</v>
      </c>
      <c r="L14" s="6">
        <f>20*41452</f>
        <v>829040</v>
      </c>
      <c r="M14" s="6">
        <f>20*53914</f>
        <v>1078280</v>
      </c>
      <c r="N14" s="6">
        <f>20*55157</f>
        <v>1103140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">
      <c r="A15" s="4" t="s">
        <v>39</v>
      </c>
      <c r="B15" s="5">
        <f>([1]innoculationdensity!$D$2*2)/1000</f>
        <v>1152.4000000000001</v>
      </c>
      <c r="C15" s="6">
        <v>1528</v>
      </c>
      <c r="D15" s="6">
        <v>3493</v>
      </c>
      <c r="E15" s="6">
        <v>5805</v>
      </c>
      <c r="F15" s="7">
        <v>10274</v>
      </c>
      <c r="G15" s="6">
        <v>21724</v>
      </c>
      <c r="H15" s="6">
        <v>41378</v>
      </c>
      <c r="I15" s="6">
        <v>96429</v>
      </c>
      <c r="J15" s="6">
        <f>13878*20</f>
        <v>277560</v>
      </c>
      <c r="K15" s="6">
        <f>26965*20</f>
        <v>539300</v>
      </c>
      <c r="L15" s="6">
        <f>20*40884</f>
        <v>817680</v>
      </c>
      <c r="M15" s="6">
        <f>20*52492</f>
        <v>1049840</v>
      </c>
      <c r="N15" s="6">
        <f>20*55040</f>
        <v>1100800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">
      <c r="A16" s="4" t="s">
        <v>40</v>
      </c>
      <c r="B16" s="5">
        <f>([1]innoculationdensity!$D$2*2)/1000</f>
        <v>1152.4000000000001</v>
      </c>
      <c r="C16" s="6">
        <v>1508</v>
      </c>
      <c r="D16" s="6">
        <v>3346</v>
      </c>
      <c r="E16" s="6">
        <v>5714</v>
      </c>
      <c r="F16" s="7">
        <v>10126</v>
      </c>
      <c r="G16" s="6">
        <v>22418</v>
      </c>
      <c r="H16" s="6">
        <v>40597</v>
      </c>
      <c r="I16" s="6">
        <v>94990</v>
      </c>
      <c r="J16" s="6">
        <f>14115*20</f>
        <v>282300</v>
      </c>
      <c r="K16" s="6">
        <f>26984*20</f>
        <v>539680</v>
      </c>
      <c r="L16" s="6">
        <f>20*40304</f>
        <v>806080</v>
      </c>
      <c r="M16" s="6">
        <f>20*53169</f>
        <v>1063380</v>
      </c>
      <c r="N16" s="6">
        <f>20*54408</f>
        <v>1088160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">
      <c r="A17" s="4" t="s">
        <v>41</v>
      </c>
      <c r="B17" s="5">
        <f>([1]innoculationdensity!$D$2*2)/1000</f>
        <v>1152.4000000000001</v>
      </c>
      <c r="C17" s="6">
        <v>1470</v>
      </c>
      <c r="D17" s="6">
        <v>2392</v>
      </c>
      <c r="E17" s="6">
        <v>6376</v>
      </c>
      <c r="F17" s="7">
        <v>10342</v>
      </c>
      <c r="G17" s="6">
        <v>21138</v>
      </c>
      <c r="H17" s="6">
        <v>28951</v>
      </c>
      <c r="I17" s="6">
        <v>72488</v>
      </c>
      <c r="J17" s="6">
        <f>7675*20</f>
        <v>153500</v>
      </c>
      <c r="K17" s="6">
        <f>16209*20</f>
        <v>324180</v>
      </c>
      <c r="L17" s="6">
        <f>20*34066</f>
        <v>681320</v>
      </c>
      <c r="M17" s="6">
        <f>20*50354</f>
        <v>1007080</v>
      </c>
      <c r="N17" s="6">
        <f>20*56853</f>
        <v>1137060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">
      <c r="A18" s="4" t="s">
        <v>42</v>
      </c>
      <c r="B18" s="5">
        <f>([1]innoculationdensity!$D$2*2)/1000</f>
        <v>1152.4000000000001</v>
      </c>
      <c r="C18" s="6">
        <v>1460</v>
      </c>
      <c r="D18" s="6">
        <v>2502</v>
      </c>
      <c r="E18" s="6">
        <v>6356</v>
      </c>
      <c r="F18" s="7">
        <v>10337</v>
      </c>
      <c r="G18" s="6">
        <v>20706</v>
      </c>
      <c r="H18" s="6">
        <v>25656</v>
      </c>
      <c r="I18" s="6">
        <v>57341</v>
      </c>
      <c r="J18" s="6">
        <f>7024*20</f>
        <v>140480</v>
      </c>
      <c r="K18" s="6">
        <f>15985*20</f>
        <v>319700</v>
      </c>
      <c r="L18" s="6">
        <f>20*32891</f>
        <v>657820</v>
      </c>
      <c r="M18" s="6">
        <f>20*50553</f>
        <v>1011060</v>
      </c>
      <c r="N18" s="6">
        <f>20*55662</f>
        <v>1113240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">
      <c r="A19" s="4" t="s">
        <v>43</v>
      </c>
      <c r="B19" s="5">
        <f>([1]innoculationdensity!$D$2*2)/1000</f>
        <v>1152.4000000000001</v>
      </c>
      <c r="C19" s="6">
        <v>1441</v>
      </c>
      <c r="D19" s="6">
        <v>2317</v>
      </c>
      <c r="E19" s="6">
        <v>6272</v>
      </c>
      <c r="F19" s="7">
        <v>10103</v>
      </c>
      <c r="G19" s="6">
        <v>20405</v>
      </c>
      <c r="H19" s="6">
        <v>26010</v>
      </c>
      <c r="I19" s="6">
        <v>53732</v>
      </c>
      <c r="J19" s="6">
        <f>7064*20</f>
        <v>141280</v>
      </c>
      <c r="K19" s="6">
        <f>16252*20</f>
        <v>325040</v>
      </c>
      <c r="L19" s="6">
        <f>20*33495</f>
        <v>669900</v>
      </c>
      <c r="M19" s="6">
        <f>20*50646</f>
        <v>1012920</v>
      </c>
      <c r="N19" s="6">
        <f>20*55818</f>
        <v>1116360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">
      <c r="A20" s="4" t="s">
        <v>98</v>
      </c>
      <c r="B20" s="5">
        <f>([1]innoculationdensity!$D$14*2.5)/1000</f>
        <v>1272.4166666666665</v>
      </c>
      <c r="C20" s="6">
        <v>1354</v>
      </c>
      <c r="D20" s="6">
        <v>1844</v>
      </c>
      <c r="E20" s="6">
        <v>2974</v>
      </c>
      <c r="F20" s="7">
        <v>3855</v>
      </c>
      <c r="G20" s="6">
        <v>7474</v>
      </c>
      <c r="H20" s="6">
        <v>10103</v>
      </c>
      <c r="I20" s="6">
        <v>16989</v>
      </c>
      <c r="J20" s="6">
        <v>26954</v>
      </c>
      <c r="K20" s="6">
        <v>61677</v>
      </c>
      <c r="L20" s="6">
        <f>7841*20</f>
        <v>156820</v>
      </c>
      <c r="M20" s="6">
        <f>(21886-682)*20</f>
        <v>424080</v>
      </c>
      <c r="N20" s="6">
        <f>(28007-432)*20</f>
        <v>551500</v>
      </c>
      <c r="O20" s="6">
        <f>35860*20</f>
        <v>717200</v>
      </c>
      <c r="P20" s="6">
        <f>48247*20</f>
        <v>964940</v>
      </c>
      <c r="Q20" s="6">
        <f>45999*20</f>
        <v>919980</v>
      </c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">
      <c r="A21" s="4" t="s">
        <v>99</v>
      </c>
      <c r="B21" s="5">
        <f>([1]innoculationdensity!$D$14*2.5)/1000</f>
        <v>1272.4166666666665</v>
      </c>
      <c r="C21" s="6">
        <v>1384</v>
      </c>
      <c r="D21" s="6">
        <v>1949</v>
      </c>
      <c r="E21" s="6">
        <v>2856</v>
      </c>
      <c r="F21" s="7">
        <v>3900</v>
      </c>
      <c r="G21" s="6">
        <v>7291</v>
      </c>
      <c r="H21" s="6">
        <v>9920</v>
      </c>
      <c r="I21" s="6">
        <v>16806</v>
      </c>
      <c r="J21" s="6">
        <v>26808</v>
      </c>
      <c r="K21" s="6">
        <v>63568</v>
      </c>
      <c r="L21" s="6">
        <f>8088*20</f>
        <v>161760</v>
      </c>
      <c r="M21" s="6">
        <f>(21589-682)*20</f>
        <v>418140</v>
      </c>
      <c r="N21" s="6">
        <f>(27948-432)*20</f>
        <v>550320</v>
      </c>
      <c r="O21" s="6">
        <f>36063*20</f>
        <v>721260</v>
      </c>
      <c r="P21" s="6">
        <f>48779*20</f>
        <v>975580</v>
      </c>
      <c r="Q21" s="6">
        <f>46210*20</f>
        <v>924200</v>
      </c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">
      <c r="A22" s="4" t="s">
        <v>100</v>
      </c>
      <c r="B22" s="5">
        <f>([1]innoculationdensity!$D$14*2.5)/1000</f>
        <v>1272.4166666666665</v>
      </c>
      <c r="C22" s="6">
        <v>1329</v>
      </c>
      <c r="D22" s="6">
        <v>1890</v>
      </c>
      <c r="E22" s="6">
        <v>3103</v>
      </c>
      <c r="F22" s="7">
        <v>3907</v>
      </c>
      <c r="G22" s="6">
        <v>7318</v>
      </c>
      <c r="H22" s="6">
        <v>10187</v>
      </c>
      <c r="I22" s="6">
        <v>16936</v>
      </c>
      <c r="J22" s="6">
        <v>27055</v>
      </c>
      <c r="K22" s="6">
        <v>65040</v>
      </c>
      <c r="L22" s="6">
        <f>7966*20</f>
        <v>159320</v>
      </c>
      <c r="M22" s="6">
        <f>(21344-682)*20</f>
        <v>413240</v>
      </c>
      <c r="N22" s="6">
        <f>(27805-432)*20</f>
        <v>547460</v>
      </c>
      <c r="O22" s="6">
        <f>35864*20</f>
        <v>717280</v>
      </c>
      <c r="P22" s="6">
        <f>48779*20</f>
        <v>975580</v>
      </c>
      <c r="Q22" s="6">
        <f>46774*20</f>
        <v>935480</v>
      </c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">
      <c r="A23" s="4" t="s">
        <v>101</v>
      </c>
      <c r="B23" s="5">
        <f>([1]innoculationdensity!$D$14*2.5)/1000</f>
        <v>1272.4166666666665</v>
      </c>
      <c r="C23" s="6">
        <v>1503</v>
      </c>
      <c r="D23" s="6">
        <v>2179</v>
      </c>
      <c r="E23" s="6">
        <v>2818</v>
      </c>
      <c r="F23" s="7">
        <v>4535</v>
      </c>
      <c r="G23" s="6">
        <v>6743</v>
      </c>
      <c r="H23" s="6">
        <v>9747</v>
      </c>
      <c r="I23" s="6">
        <v>14905</v>
      </c>
      <c r="J23" s="6">
        <v>28328</v>
      </c>
      <c r="K23" s="6">
        <v>67213</v>
      </c>
      <c r="L23" s="6">
        <f>7818*20</f>
        <v>156360</v>
      </c>
      <c r="M23" s="6">
        <f>(16621-682)*20</f>
        <v>318780</v>
      </c>
      <c r="N23" s="6">
        <f>(29685-432)*20</f>
        <v>585060</v>
      </c>
      <c r="O23" s="6">
        <f>32854*20</f>
        <v>657080</v>
      </c>
      <c r="P23" s="6">
        <f>47649*20</f>
        <v>952980</v>
      </c>
      <c r="Q23" s="6">
        <f>51296*20</f>
        <v>1025920</v>
      </c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2">
      <c r="A24" s="4" t="s">
        <v>102</v>
      </c>
      <c r="B24" s="5">
        <f>([1]innoculationdensity!$D$14*2.5)/1000</f>
        <v>1272.4166666666665</v>
      </c>
      <c r="C24" s="6">
        <v>1557</v>
      </c>
      <c r="D24" s="6">
        <v>2207</v>
      </c>
      <c r="E24" s="6">
        <v>2880</v>
      </c>
      <c r="F24" s="7">
        <v>4390</v>
      </c>
      <c r="G24" s="6">
        <v>6486</v>
      </c>
      <c r="H24" s="6">
        <v>9424</v>
      </c>
      <c r="I24" s="6">
        <v>14904</v>
      </c>
      <c r="J24" s="6">
        <v>28698</v>
      </c>
      <c r="K24" s="6">
        <v>67154</v>
      </c>
      <c r="L24" s="6">
        <f>7303*20</f>
        <v>146060</v>
      </c>
      <c r="M24" s="6">
        <f>(18218-682)*20</f>
        <v>350720</v>
      </c>
      <c r="N24" s="6">
        <f>(32997-432)*20</f>
        <v>651300</v>
      </c>
      <c r="O24" s="6">
        <f>32773*20</f>
        <v>655460</v>
      </c>
      <c r="P24" s="6">
        <f>47821*20</f>
        <v>956420</v>
      </c>
      <c r="Q24" s="6">
        <f>51425*20</f>
        <v>1028500</v>
      </c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">
      <c r="A25" s="4" t="s">
        <v>103</v>
      </c>
      <c r="B25" s="5">
        <f>([1]innoculationdensity!$D$14*2.5)/1000</f>
        <v>1272.4166666666665</v>
      </c>
      <c r="C25" s="6">
        <v>1540</v>
      </c>
      <c r="D25" s="6">
        <v>2122</v>
      </c>
      <c r="E25" s="6">
        <v>2839</v>
      </c>
      <c r="F25" s="7">
        <v>4451</v>
      </c>
      <c r="G25" s="6">
        <v>6422</v>
      </c>
      <c r="H25" s="6">
        <v>9357</v>
      </c>
      <c r="I25" s="6">
        <v>14853</v>
      </c>
      <c r="J25" s="6">
        <v>26627</v>
      </c>
      <c r="K25" s="6">
        <v>64173</v>
      </c>
      <c r="L25" s="6">
        <f>7493*20</f>
        <v>149860</v>
      </c>
      <c r="M25" s="6">
        <f>(17184-682)*20</f>
        <v>330040</v>
      </c>
      <c r="N25" s="6">
        <f>(31913-432)*20</f>
        <v>629620</v>
      </c>
      <c r="O25" s="6">
        <f>32244*20</f>
        <v>644880</v>
      </c>
      <c r="P25" s="6">
        <f>47196*20</f>
        <v>943920</v>
      </c>
      <c r="Q25" s="6">
        <f>51190*20</f>
        <v>1023800</v>
      </c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2">
      <c r="A26" s="4" t="s">
        <v>104</v>
      </c>
      <c r="B26" s="5">
        <f>([1]innoculationdensity!$D$14*2.5)/1000</f>
        <v>1272.4166666666665</v>
      </c>
      <c r="C26" s="6">
        <v>1578</v>
      </c>
      <c r="D26" s="6">
        <v>2245</v>
      </c>
      <c r="E26" s="6">
        <v>3116</v>
      </c>
      <c r="F26" s="7">
        <v>4891</v>
      </c>
      <c r="G26" s="6">
        <v>6694</v>
      </c>
      <c r="H26" s="6">
        <v>9826</v>
      </c>
      <c r="I26" s="6">
        <v>16863</v>
      </c>
      <c r="J26" s="6">
        <v>33199</v>
      </c>
      <c r="K26" s="6">
        <v>93834</v>
      </c>
      <c r="L26" s="6">
        <f>13355*20</f>
        <v>267100</v>
      </c>
      <c r="M26" s="6">
        <f>(30364-682)*20</f>
        <v>593640</v>
      </c>
      <c r="N26" s="6">
        <f>(37885-432)*20</f>
        <v>749060</v>
      </c>
      <c r="O26" s="6">
        <f>38972*20</f>
        <v>779440</v>
      </c>
      <c r="P26" s="6">
        <f>48016*20</f>
        <v>960320</v>
      </c>
      <c r="Q26" s="6">
        <f>54001*20</f>
        <v>1080020</v>
      </c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">
      <c r="A27" s="4" t="s">
        <v>105</v>
      </c>
      <c r="B27" s="5">
        <f>([1]innoculationdensity!$D$14*2.5)/1000</f>
        <v>1272.4166666666665</v>
      </c>
      <c r="C27" s="6">
        <v>1642</v>
      </c>
      <c r="D27" s="6">
        <v>2257</v>
      </c>
      <c r="E27" s="6">
        <v>3046</v>
      </c>
      <c r="F27" s="7">
        <v>4750</v>
      </c>
      <c r="G27" s="6">
        <v>6587</v>
      </c>
      <c r="H27" s="6">
        <v>9670</v>
      </c>
      <c r="I27" s="6">
        <v>16918</v>
      </c>
      <c r="J27" s="6">
        <v>33201</v>
      </c>
      <c r="K27" s="6">
        <v>95173</v>
      </c>
      <c r="L27" s="6">
        <f>13265*20</f>
        <v>265300</v>
      </c>
      <c r="M27" s="6">
        <f>(30770-682)*20</f>
        <v>601760</v>
      </c>
      <c r="N27" s="6">
        <f>(38107-432)*20</f>
        <v>753500</v>
      </c>
      <c r="O27" s="6">
        <f>38493*20</f>
        <v>769860</v>
      </c>
      <c r="P27" s="6">
        <f>48479*20</f>
        <v>969580</v>
      </c>
      <c r="Q27" s="6">
        <f>54327*20</f>
        <v>1086540</v>
      </c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">
      <c r="A28" s="4" t="s">
        <v>106</v>
      </c>
      <c r="B28" s="5">
        <f>([1]innoculationdensity!$D$14*2.5)/1000</f>
        <v>1272.4166666666665</v>
      </c>
      <c r="C28" s="6">
        <v>1528</v>
      </c>
      <c r="D28" s="6">
        <v>2269</v>
      </c>
      <c r="E28" s="6">
        <v>2981</v>
      </c>
      <c r="F28" s="7">
        <v>4443</v>
      </c>
      <c r="G28" s="6">
        <v>6550</v>
      </c>
      <c r="H28" s="6">
        <v>9841</v>
      </c>
      <c r="I28" s="6">
        <v>16754</v>
      </c>
      <c r="J28" s="6">
        <v>32483</v>
      </c>
      <c r="K28" s="6">
        <v>96804</v>
      </c>
      <c r="L28" s="6">
        <f>12837*20</f>
        <v>256740</v>
      </c>
      <c r="M28" s="6">
        <f>(28730-682)*20</f>
        <v>560960</v>
      </c>
      <c r="N28" s="6">
        <f>(38107-432)*20</f>
        <v>753500</v>
      </c>
      <c r="O28" s="6">
        <f>38633*20</f>
        <v>772660</v>
      </c>
      <c r="P28" s="6">
        <f>48087*20</f>
        <v>961740</v>
      </c>
      <c r="Q28" s="6">
        <f>53583*20</f>
        <v>1071660</v>
      </c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">
      <c r="A29" s="4" t="s">
        <v>152</v>
      </c>
      <c r="B29" s="5">
        <f>([1]innoculationdensity!$D$49)</f>
        <v>1501.5933333333337</v>
      </c>
      <c r="D29" s="6">
        <f>6274-682</f>
        <v>5592</v>
      </c>
      <c r="E29" s="6">
        <f>13103-432</f>
        <v>12671</v>
      </c>
      <c r="F29" s="7">
        <v>13417</v>
      </c>
      <c r="G29" s="6">
        <f>4253*20</f>
        <v>85060</v>
      </c>
      <c r="H29" s="6">
        <f>12465*20</f>
        <v>249300</v>
      </c>
      <c r="I29" s="6">
        <f>28437*20</f>
        <v>568740</v>
      </c>
      <c r="J29" s="6">
        <f>55964*20</f>
        <v>1119280</v>
      </c>
      <c r="K29" s="6">
        <f>78272*20</f>
        <v>1565440</v>
      </c>
      <c r="L29" s="6">
        <f>101480*20</f>
        <v>2029600</v>
      </c>
      <c r="M29" s="6">
        <f>107530*20</f>
        <v>2150600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">
      <c r="A30" s="4" t="s">
        <v>153</v>
      </c>
      <c r="B30" s="5">
        <f>([1]innoculationdensity!$D$49)</f>
        <v>1501.5933333333337</v>
      </c>
      <c r="D30" s="6">
        <f>5996-682</f>
        <v>5314</v>
      </c>
      <c r="E30" s="6">
        <f>12618-432</f>
        <v>12186</v>
      </c>
      <c r="F30" s="7">
        <v>13127</v>
      </c>
      <c r="G30" s="6">
        <f>4119*20</f>
        <v>82380</v>
      </c>
      <c r="H30" s="6">
        <f>12092*20</f>
        <v>241840</v>
      </c>
      <c r="I30" s="6">
        <f>28373*20</f>
        <v>567460</v>
      </c>
      <c r="J30" s="6">
        <f>56410*20</f>
        <v>1128200</v>
      </c>
      <c r="K30" s="6">
        <f>77555*20</f>
        <v>1551100</v>
      </c>
      <c r="L30" s="6">
        <f>101912*20</f>
        <v>2038240</v>
      </c>
      <c r="M30" s="6">
        <f>106750*20</f>
        <v>2135000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">
      <c r="A31" s="4" t="s">
        <v>154</v>
      </c>
      <c r="B31" s="5">
        <f>([1]innoculationdensity!$D$49)</f>
        <v>1501.5933333333337</v>
      </c>
      <c r="E31" s="6">
        <f>12199-432</f>
        <v>11767</v>
      </c>
      <c r="F31" s="7">
        <v>13305</v>
      </c>
      <c r="G31" s="6">
        <f>4195*20</f>
        <v>83900</v>
      </c>
      <c r="H31" s="6">
        <f>12165*20</f>
        <v>243300</v>
      </c>
      <c r="I31" s="6">
        <f>28040*20</f>
        <v>560800</v>
      </c>
      <c r="J31" s="6">
        <f>56635*20</f>
        <v>1132700</v>
      </c>
      <c r="K31" s="6">
        <f>78338*20</f>
        <v>1566760</v>
      </c>
      <c r="L31" s="6">
        <f>102089*(20)</f>
        <v>2041780</v>
      </c>
      <c r="M31" s="6">
        <f>108136*20</f>
        <v>2162720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">
      <c r="A32" s="4" t="s">
        <v>155</v>
      </c>
      <c r="B32" s="5">
        <f>([1]innoculationdensity!$D$49)</f>
        <v>1501.5933333333337</v>
      </c>
      <c r="D32" s="6">
        <f>5365-682</f>
        <v>4683</v>
      </c>
      <c r="E32" s="6">
        <f>11905-432</f>
        <v>11473</v>
      </c>
      <c r="F32" s="7">
        <v>14306</v>
      </c>
      <c r="G32" s="6">
        <f>5303*20</f>
        <v>106060</v>
      </c>
      <c r="H32" s="6">
        <f>17531*20</f>
        <v>350620</v>
      </c>
      <c r="I32" s="6">
        <f>35498*20</f>
        <v>709960</v>
      </c>
      <c r="J32" s="6">
        <f>67537*20</f>
        <v>1350740</v>
      </c>
      <c r="K32" s="6">
        <f>81463*20</f>
        <v>1629260</v>
      </c>
      <c r="L32" s="6">
        <f>89856*20</f>
        <v>1797120</v>
      </c>
      <c r="M32" s="6">
        <f>83177*20</f>
        <v>1663540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">
      <c r="A33" s="4" t="s">
        <v>156</v>
      </c>
      <c r="B33" s="5">
        <f>([1]innoculationdensity!$D$49)</f>
        <v>1501.5933333333337</v>
      </c>
      <c r="D33" s="6">
        <f>5300-682</f>
        <v>4618</v>
      </c>
      <c r="E33" s="6">
        <f>10753-432</f>
        <v>10321</v>
      </c>
      <c r="F33" s="7">
        <v>13905</v>
      </c>
      <c r="G33" s="6">
        <f>5143*20</f>
        <v>102860</v>
      </c>
      <c r="H33" s="6">
        <f>17473*20</f>
        <v>349460</v>
      </c>
      <c r="I33" s="6">
        <f>35611*20</f>
        <v>712220</v>
      </c>
      <c r="J33" s="6">
        <f>67737*20</f>
        <v>1354740</v>
      </c>
      <c r="K33" s="6">
        <f>80787*20</f>
        <v>1615740</v>
      </c>
      <c r="L33" s="6">
        <f>90436*20</f>
        <v>1808720</v>
      </c>
      <c r="M33" s="6">
        <f>83155*20</f>
        <v>1663100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">
      <c r="A34" s="4" t="s">
        <v>157</v>
      </c>
      <c r="B34" s="5">
        <f>([1]innoculationdensity!$D$49)</f>
        <v>1501.5933333333337</v>
      </c>
      <c r="E34" s="6">
        <f>10997-432</f>
        <v>10565</v>
      </c>
      <c r="F34" s="7">
        <v>14073</v>
      </c>
      <c r="G34" s="6">
        <f>4987*20</f>
        <v>99740</v>
      </c>
      <c r="H34" s="6">
        <f>17369*20</f>
        <v>347380</v>
      </c>
      <c r="I34" s="6">
        <f>35040*20</f>
        <v>700800</v>
      </c>
      <c r="J34" s="6">
        <f>67643*20</f>
        <v>1352860</v>
      </c>
      <c r="K34" s="6">
        <f>80807*20</f>
        <v>1616140</v>
      </c>
      <c r="L34" s="6">
        <f>90089*20</f>
        <v>1801780</v>
      </c>
      <c r="M34" s="6">
        <f>82653*20</f>
        <v>1653060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2">
      <c r="A35" s="4" t="s">
        <v>158</v>
      </c>
      <c r="B35" s="5">
        <f>([1]innoculationdensity!$D$49)</f>
        <v>1501.5933333333337</v>
      </c>
      <c r="D35" s="6">
        <f>5513-682</f>
        <v>4831</v>
      </c>
      <c r="E35" s="6">
        <f>12226-432</f>
        <v>11794</v>
      </c>
      <c r="F35" s="7">
        <v>13039</v>
      </c>
      <c r="G35" s="6">
        <f>5981*20</f>
        <v>119620</v>
      </c>
      <c r="H35" s="6">
        <f>13532*20</f>
        <v>270640</v>
      </c>
      <c r="I35" s="6">
        <f>30340*20</f>
        <v>606800</v>
      </c>
      <c r="J35" s="6">
        <f>64295*20</f>
        <v>1285900</v>
      </c>
      <c r="K35" s="6">
        <f>85366*20</f>
        <v>1707320</v>
      </c>
      <c r="L35" s="6">
        <f>102690*20</f>
        <v>2053800</v>
      </c>
      <c r="M35" s="6">
        <f>100432*20</f>
        <v>2008640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">
      <c r="A36" s="4" t="s">
        <v>159</v>
      </c>
      <c r="B36" s="5">
        <f>([1]innoculationdensity!$D$49)</f>
        <v>1501.5933333333337</v>
      </c>
      <c r="D36" s="6">
        <f>5874-682</f>
        <v>5192</v>
      </c>
      <c r="E36" s="6">
        <f>11410-432</f>
        <v>10978</v>
      </c>
      <c r="F36" s="7">
        <v>12347</v>
      </c>
      <c r="G36" s="6">
        <f>6055*20</f>
        <v>121100</v>
      </c>
      <c r="H36" s="6">
        <f>13548*20</f>
        <v>270960</v>
      </c>
      <c r="I36" s="6">
        <f>30181*20</f>
        <v>603620</v>
      </c>
      <c r="J36" s="6">
        <f>64496*20</f>
        <v>1289920</v>
      </c>
      <c r="K36" s="6">
        <f>85531*20</f>
        <v>1710620</v>
      </c>
      <c r="L36" s="6">
        <f>102778*20</f>
        <v>2055560</v>
      </c>
      <c r="M36" s="6">
        <f>100445*20</f>
        <v>2008900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">
      <c r="A37" s="4" t="s">
        <v>160</v>
      </c>
      <c r="B37" s="5">
        <f>([1]innoculationdensity!$D$49)</f>
        <v>1501.5933333333337</v>
      </c>
      <c r="E37" s="6">
        <f>11492-432</f>
        <v>11060</v>
      </c>
      <c r="F37" s="7">
        <v>12681</v>
      </c>
      <c r="G37" s="6">
        <f>6007*20</f>
        <v>120140</v>
      </c>
      <c r="H37" s="6">
        <f>13207*20</f>
        <v>264140</v>
      </c>
      <c r="I37" s="6">
        <f>29923*20</f>
        <v>598460</v>
      </c>
      <c r="J37" s="6">
        <f>64580*20</f>
        <v>1291600</v>
      </c>
      <c r="K37" s="6">
        <f>85424*20</f>
        <v>1708480</v>
      </c>
      <c r="L37" s="6">
        <f>102272*20</f>
        <v>2045440</v>
      </c>
      <c r="M37" s="6">
        <f>100056*20</f>
        <v>2001120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9" spans="1:26" x14ac:dyDescent="0.2">
      <c r="A39" s="4" t="s">
        <v>206</v>
      </c>
    </row>
    <row r="40" spans="1:26" x14ac:dyDescent="0.2">
      <c r="A40" s="4" t="s">
        <v>26</v>
      </c>
      <c r="B40" s="7">
        <f>LN(B2)</f>
        <v>7.0496020032103734</v>
      </c>
      <c r="C40" s="7">
        <f t="shared" ref="C40:L40" si="0">LN(C2)</f>
        <v>7.1785454837636999</v>
      </c>
      <c r="D40" s="7">
        <f t="shared" si="0"/>
        <v>7.4815557019095165</v>
      </c>
      <c r="E40" s="7">
        <f t="shared" si="0"/>
        <v>7.6568100914803781</v>
      </c>
      <c r="F40" s="7">
        <f t="shared" si="0"/>
        <v>7.7828072628396949</v>
      </c>
      <c r="G40" s="7">
        <f t="shared" si="0"/>
        <v>7.8536048130978369</v>
      </c>
      <c r="H40" s="7">
        <f t="shared" si="0"/>
        <v>7.8139956750027908</v>
      </c>
      <c r="I40" s="7">
        <f t="shared" si="0"/>
        <v>7.779048644925556</v>
      </c>
      <c r="J40" s="7">
        <f t="shared" si="0"/>
        <v>7.7471649665203346</v>
      </c>
      <c r="K40" s="7">
        <f t="shared" si="0"/>
        <v>7.6058900010531216</v>
      </c>
      <c r="L40" s="7">
        <f t="shared" si="0"/>
        <v>7.6563371664301831</v>
      </c>
      <c r="M40" s="7"/>
      <c r="N40" s="7"/>
      <c r="O40" s="7"/>
      <c r="P40" s="7"/>
      <c r="Q40" s="7"/>
    </row>
    <row r="41" spans="1:26" x14ac:dyDescent="0.2">
      <c r="A41" s="4" t="s">
        <v>27</v>
      </c>
      <c r="B41" s="7">
        <f t="shared" ref="B41:N75" si="1">LN(B3)</f>
        <v>7.0496020032103734</v>
      </c>
      <c r="C41" s="7">
        <f t="shared" si="1"/>
        <v>7.1090621356871724</v>
      </c>
      <c r="D41" s="7">
        <f t="shared" si="1"/>
        <v>7.511524648390866</v>
      </c>
      <c r="E41" s="7">
        <f t="shared" si="1"/>
        <v>7.6544432264701125</v>
      </c>
      <c r="F41" s="7">
        <f t="shared" si="1"/>
        <v>7.7902823807034833</v>
      </c>
      <c r="G41" s="7">
        <f t="shared" si="1"/>
        <v>7.8363697605451241</v>
      </c>
      <c r="H41" s="7">
        <f t="shared" si="1"/>
        <v>7.8172227855081662</v>
      </c>
      <c r="I41" s="7">
        <f t="shared" si="1"/>
        <v>7.7719102564357634</v>
      </c>
      <c r="J41" s="7">
        <f t="shared" si="1"/>
        <v>7.7765350281852408</v>
      </c>
      <c r="K41" s="7">
        <f t="shared" si="1"/>
        <v>7.6172678136283469</v>
      </c>
      <c r="L41" s="7">
        <f t="shared" si="1"/>
        <v>7.6348206777455427</v>
      </c>
      <c r="M41" s="7"/>
      <c r="N41" s="7"/>
      <c r="O41" s="7"/>
      <c r="P41" s="7"/>
      <c r="Q41" s="7"/>
    </row>
    <row r="42" spans="1:26" x14ac:dyDescent="0.2">
      <c r="A42" s="4" t="s">
        <v>28</v>
      </c>
      <c r="B42" s="7">
        <f t="shared" si="1"/>
        <v>7.0496020032103734</v>
      </c>
      <c r="C42" s="7">
        <f t="shared" si="1"/>
        <v>7.1276936993473985</v>
      </c>
      <c r="D42" s="7">
        <f t="shared" si="1"/>
        <v>7.4955419438842563</v>
      </c>
      <c r="E42" s="7">
        <f t="shared" si="1"/>
        <v>7.6572827929781901</v>
      </c>
      <c r="F42" s="7">
        <f t="shared" si="1"/>
        <v>7.7710670860654059</v>
      </c>
      <c r="G42" s="7">
        <f t="shared" si="1"/>
        <v>7.8563195714065879</v>
      </c>
      <c r="H42" s="7">
        <f t="shared" si="1"/>
        <v>7.7902823807034833</v>
      </c>
      <c r="I42" s="7">
        <f t="shared" si="1"/>
        <v>7.7857208965346238</v>
      </c>
      <c r="J42" s="7">
        <f t="shared" si="1"/>
        <v>7.7531942698843412</v>
      </c>
      <c r="K42" s="7">
        <f t="shared" si="1"/>
        <v>7.6246189861593985</v>
      </c>
      <c r="L42" s="7">
        <f t="shared" si="1"/>
        <v>7.6088706291912596</v>
      </c>
      <c r="M42" s="7"/>
      <c r="N42" s="7"/>
      <c r="O42" s="7"/>
      <c r="P42" s="7"/>
      <c r="Q42" s="7"/>
    </row>
    <row r="43" spans="1:26" x14ac:dyDescent="0.2">
      <c r="A43" s="4" t="s">
        <v>29</v>
      </c>
      <c r="B43" s="7">
        <f t="shared" si="1"/>
        <v>7.0496020032103734</v>
      </c>
      <c r="C43" s="7">
        <f t="shared" si="1"/>
        <v>7.2211050981824956</v>
      </c>
      <c r="D43" s="7">
        <f t="shared" si="1"/>
        <v>7.5469741175165268</v>
      </c>
      <c r="E43" s="7">
        <f t="shared" si="1"/>
        <v>7.8407064517493996</v>
      </c>
      <c r="F43" s="7">
        <f t="shared" si="1"/>
        <v>7.9452011324127589</v>
      </c>
      <c r="G43" s="7">
        <f t="shared" si="1"/>
        <v>7.9113240189633531</v>
      </c>
      <c r="H43" s="7">
        <f t="shared" si="1"/>
        <v>7.9237103339692379</v>
      </c>
      <c r="I43" s="7">
        <f t="shared" si="1"/>
        <v>7.8924520435203522</v>
      </c>
      <c r="J43" s="7">
        <f t="shared" si="1"/>
        <v>7.8284363591575854</v>
      </c>
      <c r="K43" s="7">
        <f t="shared" si="1"/>
        <v>7.7244466456335372</v>
      </c>
      <c r="L43" s="7">
        <f t="shared" si="1"/>
        <v>7.754481547470383</v>
      </c>
      <c r="M43" s="7"/>
      <c r="N43" s="7"/>
      <c r="O43" s="7"/>
      <c r="P43" s="7"/>
      <c r="Q43" s="7"/>
    </row>
    <row r="44" spans="1:26" x14ac:dyDescent="0.2">
      <c r="A44" s="4" t="s">
        <v>30</v>
      </c>
      <c r="B44" s="7">
        <f t="shared" si="1"/>
        <v>7.0496020032103734</v>
      </c>
      <c r="C44" s="7">
        <f t="shared" si="1"/>
        <v>7.2232956795623142</v>
      </c>
      <c r="D44" s="7">
        <f t="shared" si="1"/>
        <v>7.534762657037537</v>
      </c>
      <c r="E44" s="7">
        <f t="shared" si="1"/>
        <v>7.8192344538590701</v>
      </c>
      <c r="F44" s="7">
        <f t="shared" si="1"/>
        <v>7.9707403900070952</v>
      </c>
      <c r="G44" s="7">
        <f t="shared" si="1"/>
        <v>7.8958083770831831</v>
      </c>
      <c r="H44" s="7">
        <f t="shared" si="1"/>
        <v>7.9146177090406793</v>
      </c>
      <c r="I44" s="7">
        <f t="shared" si="1"/>
        <v>7.8609563648763894</v>
      </c>
      <c r="J44" s="7">
        <f t="shared" si="1"/>
        <v>7.8399193600125825</v>
      </c>
      <c r="K44" s="7">
        <f t="shared" si="1"/>
        <v>7.7358703199525669</v>
      </c>
      <c r="L44" s="7">
        <f t="shared" si="1"/>
        <v>7.7376162828579043</v>
      </c>
      <c r="M44" s="7"/>
      <c r="N44" s="7"/>
      <c r="O44" s="7"/>
      <c r="P44" s="7"/>
      <c r="Q44" s="7"/>
    </row>
    <row r="45" spans="1:26" x14ac:dyDescent="0.2">
      <c r="A45" s="4" t="s">
        <v>31</v>
      </c>
      <c r="B45" s="7">
        <f t="shared" si="1"/>
        <v>7.0496020032103734</v>
      </c>
      <c r="C45" s="7">
        <f t="shared" si="1"/>
        <v>7.2269360184932889</v>
      </c>
      <c r="D45" s="7">
        <f t="shared" si="1"/>
        <v>7.5374300365865086</v>
      </c>
      <c r="E45" s="7">
        <f t="shared" si="1"/>
        <v>7.8196363023675923</v>
      </c>
      <c r="F45" s="7">
        <f t="shared" si="1"/>
        <v>7.9909154630913255</v>
      </c>
      <c r="G45" s="7">
        <f t="shared" si="1"/>
        <v>7.9302062066846828</v>
      </c>
      <c r="H45" s="7">
        <f t="shared" si="1"/>
        <v>7.8823149189802679</v>
      </c>
      <c r="I45" s="7">
        <f t="shared" si="1"/>
        <v>7.8905825346565361</v>
      </c>
      <c r="J45" s="7">
        <f t="shared" si="1"/>
        <v>7.814399633804487</v>
      </c>
      <c r="K45" s="7">
        <f t="shared" si="1"/>
        <v>7.7034590478671747</v>
      </c>
      <c r="L45" s="7">
        <f t="shared" si="1"/>
        <v>7.7445698093544957</v>
      </c>
      <c r="M45" s="7"/>
      <c r="N45" s="7"/>
      <c r="O45" s="7"/>
      <c r="P45" s="7"/>
      <c r="Q45" s="7"/>
    </row>
    <row r="46" spans="1:26" x14ac:dyDescent="0.2">
      <c r="A46" s="4" t="s">
        <v>32</v>
      </c>
      <c r="B46" s="7">
        <f t="shared" si="1"/>
        <v>7.0496020032103734</v>
      </c>
      <c r="C46" s="7">
        <f t="shared" si="1"/>
        <v>7.3932630947638378</v>
      </c>
      <c r="D46" s="7">
        <f t="shared" si="1"/>
        <v>7.8091353981205378</v>
      </c>
      <c r="E46" s="7">
        <f t="shared" si="1"/>
        <v>7.9330797718804149</v>
      </c>
      <c r="F46" s="7">
        <f t="shared" si="1"/>
        <v>7.9990072132439547</v>
      </c>
      <c r="G46" s="7">
        <f t="shared" si="1"/>
        <v>8.0690293287749579</v>
      </c>
      <c r="H46" s="7">
        <f t="shared" si="1"/>
        <v>8.0404468813031098</v>
      </c>
      <c r="I46" s="7">
        <f t="shared" si="1"/>
        <v>8.0599083345782763</v>
      </c>
      <c r="J46" s="7">
        <f t="shared" si="1"/>
        <v>7.9844627322621964</v>
      </c>
      <c r="K46" s="7">
        <f t="shared" si="1"/>
        <v>7.947325027016463</v>
      </c>
      <c r="L46" s="7">
        <f t="shared" si="1"/>
        <v>7.9936199948277444</v>
      </c>
      <c r="M46" s="7"/>
      <c r="N46" s="7"/>
      <c r="O46" s="7"/>
      <c r="P46" s="7"/>
      <c r="Q46" s="7"/>
    </row>
    <row r="47" spans="1:26" x14ac:dyDescent="0.2">
      <c r="A47" s="4" t="s">
        <v>33</v>
      </c>
      <c r="B47" s="7">
        <f t="shared" si="1"/>
        <v>7.0496020032103734</v>
      </c>
      <c r="C47" s="7">
        <f t="shared" si="1"/>
        <v>7.3714892952142774</v>
      </c>
      <c r="D47" s="7">
        <f t="shared" si="1"/>
        <v>7.81237820598861</v>
      </c>
      <c r="E47" s="7">
        <f t="shared" si="1"/>
        <v>7.9423622376743346</v>
      </c>
      <c r="F47" s="7">
        <f t="shared" si="1"/>
        <v>7.9669334984048401</v>
      </c>
      <c r="G47" s="7">
        <f t="shared" si="1"/>
        <v>8.0529330367975671</v>
      </c>
      <c r="H47" s="7">
        <f t="shared" si="1"/>
        <v>8.0391573904732372</v>
      </c>
      <c r="I47" s="7">
        <f t="shared" si="1"/>
        <v>8.0595923288875451</v>
      </c>
      <c r="J47" s="7">
        <f t="shared" si="1"/>
        <v>8.0023595462527073</v>
      </c>
      <c r="K47" s="7">
        <f t="shared" si="1"/>
        <v>7.9420068084898565</v>
      </c>
      <c r="L47" s="7">
        <f t="shared" si="1"/>
        <v>7.9909154630913255</v>
      </c>
      <c r="M47" s="7"/>
      <c r="N47" s="7"/>
      <c r="O47" s="7"/>
      <c r="P47" s="7"/>
      <c r="Q47" s="7"/>
    </row>
    <row r="48" spans="1:26" x14ac:dyDescent="0.2">
      <c r="A48" s="4" t="s">
        <v>34</v>
      </c>
      <c r="B48" s="7">
        <f t="shared" si="1"/>
        <v>7.0496020032103734</v>
      </c>
      <c r="C48" s="7">
        <f t="shared" si="1"/>
        <v>7.3727463664043285</v>
      </c>
      <c r="D48" s="7">
        <f t="shared" si="1"/>
        <v>7.7919359569380582</v>
      </c>
      <c r="E48" s="7">
        <f t="shared" si="1"/>
        <v>7.9409397623277913</v>
      </c>
      <c r="F48" s="7">
        <f t="shared" si="1"/>
        <v>7.999342952713282</v>
      </c>
      <c r="G48" s="7">
        <f t="shared" si="1"/>
        <v>8.0633778223670269</v>
      </c>
      <c r="H48" s="7">
        <f t="shared" si="1"/>
        <v>8.0532511535490965</v>
      </c>
      <c r="I48" s="7">
        <f t="shared" si="1"/>
        <v>8.0484687436688827</v>
      </c>
      <c r="J48" s="7">
        <f t="shared" si="1"/>
        <v>8.000684784514748</v>
      </c>
      <c r="K48" s="7">
        <f t="shared" si="1"/>
        <v>7.9624156801210644</v>
      </c>
      <c r="L48" s="7">
        <f t="shared" si="1"/>
        <v>7.9700493049761354</v>
      </c>
      <c r="M48" s="7"/>
      <c r="N48" s="7"/>
      <c r="O48" s="7"/>
      <c r="P48" s="7"/>
      <c r="Q48" s="7"/>
    </row>
    <row r="49" spans="1:17" x14ac:dyDescent="0.2">
      <c r="A49" s="4" t="s">
        <v>35</v>
      </c>
      <c r="B49" s="7">
        <f t="shared" si="1"/>
        <v>7.0496020032103734</v>
      </c>
      <c r="C49" s="7">
        <f t="shared" si="1"/>
        <v>7.2786289423206822</v>
      </c>
      <c r="D49" s="7">
        <f t="shared" si="1"/>
        <v>8.3175219962871694</v>
      </c>
      <c r="E49" s="7">
        <f t="shared" si="1"/>
        <v>8.8055250527095161</v>
      </c>
      <c r="F49" s="7">
        <f t="shared" si="1"/>
        <v>9.3430339137016478</v>
      </c>
      <c r="G49" s="7">
        <f t="shared" si="1"/>
        <v>9.9287166065819044</v>
      </c>
      <c r="H49" s="7">
        <f t="shared" si="1"/>
        <v>10.608044394647637</v>
      </c>
      <c r="I49" s="7">
        <f t="shared" si="1"/>
        <v>11.566532580408047</v>
      </c>
      <c r="J49" s="7">
        <f t="shared" si="1"/>
        <v>12.426412269511649</v>
      </c>
      <c r="K49" s="7">
        <f t="shared" si="1"/>
        <v>13.267675108564383</v>
      </c>
      <c r="L49" s="7">
        <f t="shared" si="1"/>
        <v>13.695577713123191</v>
      </c>
      <c r="M49" s="7">
        <f t="shared" si="1"/>
        <v>13.941808351076903</v>
      </c>
      <c r="N49" s="7">
        <f t="shared" si="1"/>
        <v>13.906137059177455</v>
      </c>
      <c r="O49" s="7"/>
      <c r="P49" s="7"/>
      <c r="Q49" s="7"/>
    </row>
    <row r="50" spans="1:17" x14ac:dyDescent="0.2">
      <c r="A50" s="4" t="s">
        <v>36</v>
      </c>
      <c r="B50" s="7">
        <f t="shared" si="1"/>
        <v>7.0496020032103734</v>
      </c>
      <c r="C50" s="7">
        <f t="shared" si="1"/>
        <v>7.259819610363186</v>
      </c>
      <c r="D50" s="7">
        <f t="shared" si="1"/>
        <v>8.2922981070632211</v>
      </c>
      <c r="E50" s="7">
        <f t="shared" si="1"/>
        <v>8.6781208555225202</v>
      </c>
      <c r="F50" s="7">
        <f t="shared" si="1"/>
        <v>9.3603969681828616</v>
      </c>
      <c r="G50" s="7">
        <f t="shared" si="1"/>
        <v>9.9242700917186557</v>
      </c>
      <c r="H50" s="7">
        <f t="shared" si="1"/>
        <v>10.67959625381042</v>
      </c>
      <c r="I50" s="7">
        <f t="shared" si="1"/>
        <v>11.497629069344237</v>
      </c>
      <c r="J50" s="7">
        <f t="shared" si="1"/>
        <v>12.435118742496998</v>
      </c>
      <c r="K50" s="7">
        <f t="shared" si="1"/>
        <v>13.24634935718532</v>
      </c>
      <c r="L50" s="7">
        <f t="shared" si="1"/>
        <v>13.696907185923989</v>
      </c>
      <c r="M50" s="7">
        <f t="shared" si="1"/>
        <v>13.941050100659245</v>
      </c>
      <c r="N50" s="7">
        <f t="shared" si="1"/>
        <v>13.89651895305774</v>
      </c>
      <c r="O50" s="7"/>
      <c r="P50" s="7"/>
      <c r="Q50" s="7"/>
    </row>
    <row r="51" spans="1:17" x14ac:dyDescent="0.2">
      <c r="A51" s="4" t="s">
        <v>37</v>
      </c>
      <c r="B51" s="7">
        <f t="shared" si="1"/>
        <v>7.0496020032103734</v>
      </c>
      <c r="C51" s="7">
        <f t="shared" si="1"/>
        <v>7.2492150571143892</v>
      </c>
      <c r="D51" s="7">
        <f t="shared" si="1"/>
        <v>8.3010252538384535</v>
      </c>
      <c r="E51" s="7">
        <f t="shared" si="1"/>
        <v>8.6201107254229239</v>
      </c>
      <c r="F51" s="7">
        <f t="shared" si="1"/>
        <v>9.3496674371972812</v>
      </c>
      <c r="G51" s="7">
        <f t="shared" si="1"/>
        <v>9.933094897288786</v>
      </c>
      <c r="H51" s="7">
        <f t="shared" si="1"/>
        <v>10.624881996034176</v>
      </c>
      <c r="I51" s="7">
        <f t="shared" si="1"/>
        <v>11.492824793263226</v>
      </c>
      <c r="J51" s="7">
        <f t="shared" si="1"/>
        <v>12.424404639847161</v>
      </c>
      <c r="K51" s="7">
        <f t="shared" si="1"/>
        <v>13.24213554453744</v>
      </c>
      <c r="L51" s="7">
        <f t="shared" si="1"/>
        <v>13.698751997354078</v>
      </c>
      <c r="M51" s="7">
        <f t="shared" si="1"/>
        <v>13.938931006838068</v>
      </c>
      <c r="N51" s="7">
        <f t="shared" si="1"/>
        <v>13.900641835340393</v>
      </c>
      <c r="O51" s="7"/>
      <c r="P51" s="7"/>
      <c r="Q51" s="7"/>
    </row>
    <row r="52" spans="1:17" x14ac:dyDescent="0.2">
      <c r="A52" s="4" t="s">
        <v>38</v>
      </c>
      <c r="B52" s="7">
        <f t="shared" si="1"/>
        <v>7.0496020032103734</v>
      </c>
      <c r="C52" s="7">
        <f t="shared" si="1"/>
        <v>7.3264656138403224</v>
      </c>
      <c r="D52" s="7">
        <f t="shared" si="1"/>
        <v>8.1408984606078523</v>
      </c>
      <c r="E52" s="7">
        <f t="shared" si="1"/>
        <v>8.6517240843738428</v>
      </c>
      <c r="F52" s="7">
        <f t="shared" si="1"/>
        <v>9.2300449552505182</v>
      </c>
      <c r="G52" s="7">
        <f t="shared" si="1"/>
        <v>10.024066675494513</v>
      </c>
      <c r="H52" s="7">
        <f t="shared" si="1"/>
        <v>10.645353466142934</v>
      </c>
      <c r="I52" s="7">
        <f t="shared" si="1"/>
        <v>11.474319762659004</v>
      </c>
      <c r="J52" s="7">
        <f t="shared" si="1"/>
        <v>12.540113356959971</v>
      </c>
      <c r="K52" s="7">
        <f t="shared" si="1"/>
        <v>13.216618455329833</v>
      </c>
      <c r="L52" s="7">
        <f t="shared" si="1"/>
        <v>13.6280236838581</v>
      </c>
      <c r="M52" s="7">
        <f t="shared" si="1"/>
        <v>13.890877736984159</v>
      </c>
      <c r="N52" s="7">
        <f t="shared" si="1"/>
        <v>13.913671216745062</v>
      </c>
      <c r="O52" s="7"/>
      <c r="P52" s="7"/>
      <c r="Q52" s="7"/>
    </row>
    <row r="53" spans="1:17" x14ac:dyDescent="0.2">
      <c r="A53" s="4" t="s">
        <v>39</v>
      </c>
      <c r="B53" s="7">
        <f t="shared" si="1"/>
        <v>7.0496020032103734</v>
      </c>
      <c r="C53" s="7">
        <f t="shared" si="1"/>
        <v>7.3317149697264661</v>
      </c>
      <c r="D53" s="7">
        <f t="shared" si="1"/>
        <v>8.1585162448068314</v>
      </c>
      <c r="E53" s="7">
        <f t="shared" si="1"/>
        <v>8.6664748941319925</v>
      </c>
      <c r="F53" s="7">
        <f t="shared" si="1"/>
        <v>9.2373717110272135</v>
      </c>
      <c r="G53" s="7">
        <f t="shared" si="1"/>
        <v>9.9861729191547361</v>
      </c>
      <c r="H53" s="7">
        <f t="shared" si="1"/>
        <v>10.630504617603689</v>
      </c>
      <c r="I53" s="7">
        <f t="shared" si="1"/>
        <v>11.476562265233921</v>
      </c>
      <c r="J53" s="7">
        <f t="shared" si="1"/>
        <v>12.533792405013486</v>
      </c>
      <c r="K53" s="7">
        <f t="shared" si="1"/>
        <v>13.198027281325318</v>
      </c>
      <c r="L53" s="7">
        <f t="shared" si="1"/>
        <v>13.614226341002958</v>
      </c>
      <c r="M53" s="7">
        <f t="shared" si="1"/>
        <v>13.864148329570169</v>
      </c>
      <c r="N53" s="7">
        <f t="shared" si="1"/>
        <v>13.911547746161217</v>
      </c>
      <c r="O53" s="7"/>
      <c r="P53" s="7"/>
      <c r="Q53" s="7"/>
    </row>
    <row r="54" spans="1:17" x14ac:dyDescent="0.2">
      <c r="A54" s="4" t="s">
        <v>40</v>
      </c>
      <c r="B54" s="7">
        <f t="shared" si="1"/>
        <v>7.0496020032103734</v>
      </c>
      <c r="C54" s="7">
        <f t="shared" si="1"/>
        <v>7.3185395485679017</v>
      </c>
      <c r="D54" s="7">
        <f t="shared" si="1"/>
        <v>8.1155208815467699</v>
      </c>
      <c r="E54" s="7">
        <f t="shared" si="1"/>
        <v>8.6506745827907192</v>
      </c>
      <c r="F54" s="7">
        <f t="shared" si="1"/>
        <v>9.2228616525298541</v>
      </c>
      <c r="G54" s="7">
        <f t="shared" si="1"/>
        <v>10.01761948658104</v>
      </c>
      <c r="H54" s="7">
        <f t="shared" si="1"/>
        <v>10.611449451234087</v>
      </c>
      <c r="I54" s="7">
        <f t="shared" si="1"/>
        <v>11.461526901884229</v>
      </c>
      <c r="J54" s="7">
        <f t="shared" si="1"/>
        <v>12.55072561424158</v>
      </c>
      <c r="K54" s="7">
        <f t="shared" si="1"/>
        <v>13.198731650295477</v>
      </c>
      <c r="L54" s="7">
        <f t="shared" si="1"/>
        <v>13.599938272146382</v>
      </c>
      <c r="M54" s="7">
        <f t="shared" si="1"/>
        <v>13.87696307227724</v>
      </c>
      <c r="N54" s="7">
        <f t="shared" si="1"/>
        <v>13.899998754409465</v>
      </c>
      <c r="O54" s="7"/>
      <c r="P54" s="7"/>
      <c r="Q54" s="7"/>
    </row>
    <row r="55" spans="1:17" x14ac:dyDescent="0.2">
      <c r="A55" s="4" t="s">
        <v>41</v>
      </c>
      <c r="B55" s="7">
        <f t="shared" si="1"/>
        <v>7.0496020032103734</v>
      </c>
      <c r="C55" s="7">
        <f t="shared" si="1"/>
        <v>7.2930176797727819</v>
      </c>
      <c r="D55" s="7">
        <f t="shared" si="1"/>
        <v>7.7798851150705222</v>
      </c>
      <c r="E55" s="7">
        <f t="shared" si="1"/>
        <v>8.7602962204700514</v>
      </c>
      <c r="F55" s="7">
        <f t="shared" si="1"/>
        <v>9.2439685529561668</v>
      </c>
      <c r="G55" s="7">
        <f t="shared" si="1"/>
        <v>9.9588276475692918</v>
      </c>
      <c r="H55" s="7">
        <f t="shared" si="1"/>
        <v>10.273360024718905</v>
      </c>
      <c r="I55" s="7">
        <f t="shared" si="1"/>
        <v>11.191176309901897</v>
      </c>
      <c r="J55" s="7">
        <f t="shared" si="1"/>
        <v>11.941455846009388</v>
      </c>
      <c r="K55" s="7">
        <f t="shared" si="1"/>
        <v>12.689054196066166</v>
      </c>
      <c r="L55" s="7">
        <f t="shared" si="1"/>
        <v>13.431787371974513</v>
      </c>
      <c r="M55" s="7">
        <f t="shared" ref="C55:Q70" si="2">LN(M17)</f>
        <v>13.822565612437952</v>
      </c>
      <c r="N55" s="7">
        <f t="shared" si="2"/>
        <v>13.943956541788911</v>
      </c>
      <c r="O55" s="7"/>
      <c r="P55" s="7"/>
      <c r="Q55" s="7"/>
    </row>
    <row r="56" spans="1:17" x14ac:dyDescent="0.2">
      <c r="A56" s="4" t="s">
        <v>42</v>
      </c>
      <c r="B56" s="7">
        <f t="shared" si="1"/>
        <v>7.0496020032103734</v>
      </c>
      <c r="C56" s="7">
        <f t="shared" si="2"/>
        <v>7.2861917147023822</v>
      </c>
      <c r="D56" s="7">
        <f t="shared" si="2"/>
        <v>7.824845691026856</v>
      </c>
      <c r="E56" s="7">
        <f t="shared" si="2"/>
        <v>8.7571545276566063</v>
      </c>
      <c r="F56" s="7">
        <f t="shared" si="2"/>
        <v>9.2434849705684847</v>
      </c>
      <c r="G56" s="7">
        <f t="shared" si="2"/>
        <v>9.9381787923260578</v>
      </c>
      <c r="H56" s="7">
        <f t="shared" si="2"/>
        <v>10.15253274137299</v>
      </c>
      <c r="I56" s="7">
        <f t="shared" si="2"/>
        <v>10.956771179117867</v>
      </c>
      <c r="J56" s="7">
        <f t="shared" si="2"/>
        <v>11.852820408868944</v>
      </c>
      <c r="K56" s="7">
        <f t="shared" si="2"/>
        <v>12.675138335047933</v>
      </c>
      <c r="L56" s="7">
        <f t="shared" si="2"/>
        <v>13.39668661665312</v>
      </c>
      <c r="M56" s="7">
        <f t="shared" si="2"/>
        <v>13.826509843422643</v>
      </c>
      <c r="N56" s="7">
        <f t="shared" si="2"/>
        <v>13.922785240435317</v>
      </c>
      <c r="O56" s="7"/>
      <c r="P56" s="7"/>
      <c r="Q56" s="7"/>
    </row>
    <row r="57" spans="1:17" x14ac:dyDescent="0.2">
      <c r="A57" s="4" t="s">
        <v>43</v>
      </c>
      <c r="B57" s="7">
        <f t="shared" si="1"/>
        <v>7.0496020032103734</v>
      </c>
      <c r="C57" s="7">
        <f t="shared" si="2"/>
        <v>7.2730925959995218</v>
      </c>
      <c r="D57" s="7">
        <f t="shared" si="2"/>
        <v>7.7480285244323763</v>
      </c>
      <c r="E57" s="7">
        <f t="shared" si="2"/>
        <v>8.7438505620302429</v>
      </c>
      <c r="F57" s="7">
        <f t="shared" si="2"/>
        <v>9.2205876884277327</v>
      </c>
      <c r="G57" s="7">
        <f t="shared" si="2"/>
        <v>9.9235352478399061</v>
      </c>
      <c r="H57" s="7">
        <f t="shared" si="2"/>
        <v>10.166236358442697</v>
      </c>
      <c r="I57" s="7">
        <f t="shared" si="2"/>
        <v>10.891764006182903</v>
      </c>
      <c r="J57" s="7">
        <f t="shared" si="2"/>
        <v>11.858499015837786</v>
      </c>
      <c r="K57" s="7">
        <f t="shared" si="2"/>
        <v>12.691703530661608</v>
      </c>
      <c r="L57" s="7">
        <f t="shared" si="2"/>
        <v>13.41488372649636</v>
      </c>
      <c r="M57" s="7">
        <f>LN(M19)</f>
        <v>13.828347806765766</v>
      </c>
      <c r="N57" s="7">
        <f t="shared" si="2"/>
        <v>13.925583950550605</v>
      </c>
      <c r="O57" s="7"/>
      <c r="P57" s="7"/>
      <c r="Q57" s="7"/>
    </row>
    <row r="58" spans="1:17" x14ac:dyDescent="0.2">
      <c r="A58" s="4" t="s">
        <v>98</v>
      </c>
      <c r="B58" s="7">
        <f t="shared" si="1"/>
        <v>7.1486732583955108</v>
      </c>
      <c r="C58" s="7">
        <f t="shared" si="2"/>
        <v>7.2108184534722204</v>
      </c>
      <c r="D58" s="7">
        <f t="shared" si="2"/>
        <v>7.5196924041165394</v>
      </c>
      <c r="E58" s="7">
        <f t="shared" si="2"/>
        <v>7.9976631270201004</v>
      </c>
      <c r="F58" s="7">
        <f t="shared" si="2"/>
        <v>8.2571262859974297</v>
      </c>
      <c r="G58" s="7">
        <f t="shared" si="2"/>
        <v>8.9191856100454299</v>
      </c>
      <c r="H58" s="7">
        <f t="shared" si="2"/>
        <v>9.2205876884277327</v>
      </c>
      <c r="I58" s="7">
        <f t="shared" si="2"/>
        <v>9.7403213547819139</v>
      </c>
      <c r="J58" s="7">
        <f t="shared" si="2"/>
        <v>10.201886988329104</v>
      </c>
      <c r="K58" s="7">
        <f t="shared" si="2"/>
        <v>11.029666368922044</v>
      </c>
      <c r="L58" s="7">
        <f t="shared" si="2"/>
        <v>11.962853929784913</v>
      </c>
      <c r="M58" s="7">
        <f t="shared" si="2"/>
        <v>12.957677395661687</v>
      </c>
      <c r="N58" s="7">
        <f t="shared" si="2"/>
        <v>13.220397117675693</v>
      </c>
      <c r="O58" s="7">
        <f t="shared" si="2"/>
        <v>13.483110020713115</v>
      </c>
      <c r="P58" s="7">
        <f t="shared" si="2"/>
        <v>13.779821202222301</v>
      </c>
      <c r="Q58" s="7">
        <f t="shared" si="2"/>
        <v>13.732107209658491</v>
      </c>
    </row>
    <row r="59" spans="1:17" x14ac:dyDescent="0.2">
      <c r="A59" s="4" t="s">
        <v>99</v>
      </c>
      <c r="B59" s="7">
        <f t="shared" si="1"/>
        <v>7.1486732583955108</v>
      </c>
      <c r="C59" s="7">
        <f t="shared" si="2"/>
        <v>7.2327331361776146</v>
      </c>
      <c r="D59" s="7">
        <f t="shared" si="2"/>
        <v>7.5750716995075607</v>
      </c>
      <c r="E59" s="7">
        <f t="shared" si="2"/>
        <v>7.9571773234594749</v>
      </c>
      <c r="F59" s="7">
        <f t="shared" si="2"/>
        <v>8.2687318321177372</v>
      </c>
      <c r="G59" s="7">
        <f t="shared" si="2"/>
        <v>8.89439598980643</v>
      </c>
      <c r="H59" s="7">
        <f t="shared" si="2"/>
        <v>9.2023082002789192</v>
      </c>
      <c r="I59" s="7">
        <f t="shared" si="2"/>
        <v>9.7294912444881643</v>
      </c>
      <c r="J59" s="7">
        <f t="shared" si="2"/>
        <v>10.196455629417146</v>
      </c>
      <c r="K59" s="7">
        <f t="shared" si="2"/>
        <v>11.05986547805438</v>
      </c>
      <c r="L59" s="7">
        <f t="shared" si="2"/>
        <v>11.993869034254299</v>
      </c>
      <c r="M59" s="7">
        <f t="shared" si="2"/>
        <v>12.943571583660619</v>
      </c>
      <c r="N59" s="7">
        <f t="shared" si="2"/>
        <v>13.218255206199895</v>
      </c>
      <c r="O59" s="7">
        <f t="shared" si="2"/>
        <v>13.488754961526356</v>
      </c>
      <c r="P59" s="7">
        <f t="shared" si="2"/>
        <v>13.790787444908768</v>
      </c>
      <c r="Q59" s="7">
        <f t="shared" si="2"/>
        <v>13.736683777418303</v>
      </c>
    </row>
    <row r="60" spans="1:17" x14ac:dyDescent="0.2">
      <c r="A60" s="4" t="s">
        <v>100</v>
      </c>
      <c r="B60" s="7">
        <f t="shared" si="1"/>
        <v>7.1486732583955108</v>
      </c>
      <c r="C60" s="7">
        <f t="shared" si="2"/>
        <v>7.1921820587132457</v>
      </c>
      <c r="D60" s="7">
        <f t="shared" si="2"/>
        <v>7.5443321080536885</v>
      </c>
      <c r="E60" s="7">
        <f t="shared" si="2"/>
        <v>8.0401246644483795</v>
      </c>
      <c r="F60" s="7">
        <f t="shared" si="2"/>
        <v>8.2705250950550706</v>
      </c>
      <c r="G60" s="7">
        <f t="shared" si="2"/>
        <v>8.898092345579153</v>
      </c>
      <c r="H60" s="7">
        <f t="shared" si="2"/>
        <v>9.2288676765900668</v>
      </c>
      <c r="I60" s="7">
        <f t="shared" si="2"/>
        <v>9.7371968128147017</v>
      </c>
      <c r="J60" s="7">
        <f t="shared" si="2"/>
        <v>10.205627110076836</v>
      </c>
      <c r="K60" s="7">
        <f t="shared" si="2"/>
        <v>11.082757744221691</v>
      </c>
      <c r="L60" s="7">
        <f t="shared" si="2"/>
        <v>11.978670037295581</v>
      </c>
      <c r="M60" s="7">
        <f t="shared" si="2"/>
        <v>12.931783816963382</v>
      </c>
      <c r="N60" s="7">
        <f t="shared" si="2"/>
        <v>13.213044678643097</v>
      </c>
      <c r="O60" s="7">
        <f t="shared" si="2"/>
        <v>13.483221559389266</v>
      </c>
      <c r="P60" s="7">
        <f t="shared" si="2"/>
        <v>13.790787444908768</v>
      </c>
      <c r="Q60" s="7">
        <f t="shared" si="2"/>
        <v>13.748815045526007</v>
      </c>
    </row>
    <row r="61" spans="1:17" x14ac:dyDescent="0.2">
      <c r="A61" s="4" t="s">
        <v>101</v>
      </c>
      <c r="B61" s="7">
        <f t="shared" si="1"/>
        <v>7.1486732583955108</v>
      </c>
      <c r="C61" s="7">
        <f t="shared" si="2"/>
        <v>7.3152183897529746</v>
      </c>
      <c r="D61" s="7">
        <f t="shared" si="2"/>
        <v>7.6866213349446202</v>
      </c>
      <c r="E61" s="7">
        <f t="shared" si="2"/>
        <v>7.9437826924586252</v>
      </c>
      <c r="F61" s="7">
        <f t="shared" si="2"/>
        <v>8.4195803625492367</v>
      </c>
      <c r="G61" s="7">
        <f t="shared" si="2"/>
        <v>8.8162602087345814</v>
      </c>
      <c r="H61" s="7">
        <f t="shared" si="2"/>
        <v>9.1847148243372096</v>
      </c>
      <c r="I61" s="7">
        <f t="shared" si="2"/>
        <v>9.6094520061121713</v>
      </c>
      <c r="J61" s="7">
        <f t="shared" si="2"/>
        <v>10.25160599379174</v>
      </c>
      <c r="K61" s="7">
        <f t="shared" si="2"/>
        <v>11.115621960182695</v>
      </c>
      <c r="L61" s="7">
        <f t="shared" si="2"/>
        <v>11.959916319906892</v>
      </c>
      <c r="M61" s="7">
        <f t="shared" si="2"/>
        <v>12.672256488673044</v>
      </c>
      <c r="N61" s="7">
        <f t="shared" si="2"/>
        <v>13.27946968505722</v>
      </c>
      <c r="O61" s="7">
        <f t="shared" si="2"/>
        <v>13.395561055655136</v>
      </c>
      <c r="P61" s="7">
        <f t="shared" si="2"/>
        <v>13.767349196057255</v>
      </c>
      <c r="Q61" s="7">
        <f t="shared" si="2"/>
        <v>13.84110032896327</v>
      </c>
    </row>
    <row r="62" spans="1:17" x14ac:dyDescent="0.2">
      <c r="A62" s="4" t="s">
        <v>102</v>
      </c>
      <c r="B62" s="7">
        <f t="shared" si="1"/>
        <v>7.1486732583955108</v>
      </c>
      <c r="C62" s="7">
        <f t="shared" si="2"/>
        <v>7.3505161718339984</v>
      </c>
      <c r="D62" s="7">
        <f t="shared" si="2"/>
        <v>7.6993894062567367</v>
      </c>
      <c r="E62" s="7">
        <f t="shared" si="2"/>
        <v>7.965545573129992</v>
      </c>
      <c r="F62" s="7">
        <f t="shared" si="2"/>
        <v>8.3870845060692165</v>
      </c>
      <c r="G62" s="7">
        <f t="shared" si="2"/>
        <v>8.7774012868672635</v>
      </c>
      <c r="H62" s="7">
        <f t="shared" si="2"/>
        <v>9.1510149058913672</v>
      </c>
      <c r="I62" s="7">
        <f t="shared" si="2"/>
        <v>9.6093849122814241</v>
      </c>
      <c r="J62" s="7">
        <f t="shared" si="2"/>
        <v>10.264582712908352</v>
      </c>
      <c r="K62" s="7">
        <f t="shared" si="2"/>
        <v>11.114743768308323</v>
      </c>
      <c r="L62" s="7">
        <f t="shared" si="2"/>
        <v>11.8917727751741</v>
      </c>
      <c r="M62" s="7">
        <f t="shared" si="2"/>
        <v>12.767743463301732</v>
      </c>
      <c r="N62" s="7">
        <f t="shared" si="2"/>
        <v>13.386725644534494</v>
      </c>
      <c r="O62" s="7">
        <f t="shared" si="2"/>
        <v>13.393092558203447</v>
      </c>
      <c r="P62" s="7">
        <f t="shared" si="2"/>
        <v>13.770952426100063</v>
      </c>
      <c r="Q62" s="7">
        <f t="shared" si="2"/>
        <v>13.843611988075148</v>
      </c>
    </row>
    <row r="63" spans="1:17" x14ac:dyDescent="0.2">
      <c r="A63" s="4" t="s">
        <v>103</v>
      </c>
      <c r="B63" s="7">
        <f t="shared" si="1"/>
        <v>7.1486732583955108</v>
      </c>
      <c r="C63" s="7">
        <f t="shared" si="2"/>
        <v>7.3395376954076745</v>
      </c>
      <c r="D63" s="7">
        <f t="shared" si="2"/>
        <v>7.6601143191739283</v>
      </c>
      <c r="E63" s="7">
        <f t="shared" si="2"/>
        <v>7.9512071564729716</v>
      </c>
      <c r="F63" s="7">
        <f t="shared" si="2"/>
        <v>8.4008840690158539</v>
      </c>
      <c r="G63" s="7">
        <f t="shared" si="2"/>
        <v>8.76748487464946</v>
      </c>
      <c r="H63" s="7">
        <f t="shared" si="2"/>
        <v>9.1438800052759124</v>
      </c>
      <c r="I63" s="7">
        <f t="shared" si="2"/>
        <v>9.6059571440295333</v>
      </c>
      <c r="J63" s="7">
        <f t="shared" si="2"/>
        <v>10.189681017561449</v>
      </c>
      <c r="K63" s="7">
        <f t="shared" si="2"/>
        <v>11.069337840469915</v>
      </c>
      <c r="L63" s="7">
        <f t="shared" si="2"/>
        <v>11.917456803918302</v>
      </c>
      <c r="M63" s="7">
        <f t="shared" si="2"/>
        <v>12.70696913821828</v>
      </c>
      <c r="N63" s="7">
        <f t="shared" si="2"/>
        <v>13.352871741781557</v>
      </c>
      <c r="O63" s="7">
        <f t="shared" si="2"/>
        <v>13.376819531957482</v>
      </c>
      <c r="P63" s="7">
        <f t="shared" si="2"/>
        <v>13.7577966957738</v>
      </c>
      <c r="Q63" s="7">
        <f t="shared" si="2"/>
        <v>13.839031753005619</v>
      </c>
    </row>
    <row r="64" spans="1:17" x14ac:dyDescent="0.2">
      <c r="A64" s="4" t="s">
        <v>104</v>
      </c>
      <c r="B64" s="7">
        <f t="shared" si="1"/>
        <v>7.1486732583955108</v>
      </c>
      <c r="C64" s="7">
        <f t="shared" si="2"/>
        <v>7.3639135014058192</v>
      </c>
      <c r="D64" s="7">
        <f t="shared" si="2"/>
        <v>7.7164608001763551</v>
      </c>
      <c r="E64" s="7">
        <f t="shared" si="2"/>
        <v>8.0443054069906381</v>
      </c>
      <c r="F64" s="7">
        <f t="shared" si="2"/>
        <v>8.4951520605393576</v>
      </c>
      <c r="G64" s="7">
        <f t="shared" si="2"/>
        <v>8.8089668817712727</v>
      </c>
      <c r="H64" s="7">
        <f t="shared" si="2"/>
        <v>9.192787212728593</v>
      </c>
      <c r="I64" s="7">
        <f t="shared" si="2"/>
        <v>9.7328771516701842</v>
      </c>
      <c r="J64" s="7">
        <f t="shared" si="2"/>
        <v>10.410275033969022</v>
      </c>
      <c r="K64" s="7">
        <f t="shared" si="2"/>
        <v>11.449282542664271</v>
      </c>
      <c r="L64" s="7">
        <f t="shared" si="2"/>
        <v>12.495378399098053</v>
      </c>
      <c r="M64" s="7">
        <f t="shared" si="2"/>
        <v>13.294028354009754</v>
      </c>
      <c r="N64" s="7">
        <f t="shared" si="2"/>
        <v>13.526574366100057</v>
      </c>
      <c r="O64" s="7">
        <f t="shared" si="2"/>
        <v>13.566330992099223</v>
      </c>
      <c r="P64" s="7">
        <f t="shared" si="2"/>
        <v>13.775021841234139</v>
      </c>
      <c r="Q64" s="7">
        <f t="shared" si="2"/>
        <v>13.892490117447455</v>
      </c>
    </row>
    <row r="65" spans="1:17" x14ac:dyDescent="0.2">
      <c r="A65" s="4" t="s">
        <v>105</v>
      </c>
      <c r="B65" s="7">
        <f t="shared" si="1"/>
        <v>7.1486732583955108</v>
      </c>
      <c r="C65" s="7">
        <f t="shared" si="2"/>
        <v>7.4036702900123732</v>
      </c>
      <c r="D65" s="7">
        <f t="shared" si="2"/>
        <v>7.7217917768175353</v>
      </c>
      <c r="E65" s="7">
        <f t="shared" si="2"/>
        <v>8.0215845334551066</v>
      </c>
      <c r="F65" s="7">
        <f t="shared" si="2"/>
        <v>8.4658998970286863</v>
      </c>
      <c r="G65" s="7">
        <f t="shared" si="2"/>
        <v>8.7928532886406927</v>
      </c>
      <c r="H65" s="7">
        <f t="shared" si="2"/>
        <v>9.1767835884473392</v>
      </c>
      <c r="I65" s="7">
        <f t="shared" si="2"/>
        <v>9.7361334228639596</v>
      </c>
      <c r="J65" s="7">
        <f t="shared" si="2"/>
        <v>10.410335274932896</v>
      </c>
      <c r="K65" s="7">
        <f t="shared" si="2"/>
        <v>11.46345156710818</v>
      </c>
      <c r="L65" s="7">
        <f t="shared" si="2"/>
        <v>12.488616540125831</v>
      </c>
      <c r="M65" s="7">
        <f t="shared" si="2"/>
        <v>13.307613973704163</v>
      </c>
      <c r="N65" s="7">
        <f t="shared" si="2"/>
        <v>13.532484297048688</v>
      </c>
      <c r="O65" s="7">
        <f t="shared" si="2"/>
        <v>13.553963959117119</v>
      </c>
      <c r="P65" s="7">
        <f t="shared" si="2"/>
        <v>13.78461826702174</v>
      </c>
      <c r="Q65" s="7">
        <f t="shared" si="2"/>
        <v>13.898508893463443</v>
      </c>
    </row>
    <row r="66" spans="1:17" x14ac:dyDescent="0.2">
      <c r="A66" s="4" t="s">
        <v>106</v>
      </c>
      <c r="B66" s="7">
        <f t="shared" si="1"/>
        <v>7.1486732583955108</v>
      </c>
      <c r="C66" s="7">
        <f t="shared" si="2"/>
        <v>7.3317149697264661</v>
      </c>
      <c r="D66" s="7">
        <f t="shared" si="2"/>
        <v>7.7270944847798413</v>
      </c>
      <c r="E66" s="7">
        <f t="shared" si="2"/>
        <v>8.0000140936780717</v>
      </c>
      <c r="F66" s="7">
        <f t="shared" si="2"/>
        <v>8.3990851029359082</v>
      </c>
      <c r="G66" s="7">
        <f t="shared" si="2"/>
        <v>8.7872203286292976</v>
      </c>
      <c r="H66" s="7">
        <f t="shared" si="2"/>
        <v>9.1943126108989848</v>
      </c>
      <c r="I66" s="7">
        <f t="shared" si="2"/>
        <v>9.7263923147137543</v>
      </c>
      <c r="J66" s="7">
        <f t="shared" si="2"/>
        <v>10.388472154542294</v>
      </c>
      <c r="K66" s="7">
        <f t="shared" si="2"/>
        <v>11.480443594724974</v>
      </c>
      <c r="L66" s="7">
        <f t="shared" si="2"/>
        <v>12.455819178638917</v>
      </c>
      <c r="M66" s="7">
        <f t="shared" si="2"/>
        <v>13.237404880715006</v>
      </c>
      <c r="N66" s="7">
        <f t="shared" si="2"/>
        <v>13.532484297048688</v>
      </c>
      <c r="O66" s="7">
        <f t="shared" si="2"/>
        <v>13.557594386048805</v>
      </c>
      <c r="P66" s="7">
        <f t="shared" si="2"/>
        <v>13.776499422847982</v>
      </c>
      <c r="Q66" s="7">
        <f>LN(Q28)</f>
        <v>13.884719406126584</v>
      </c>
    </row>
    <row r="67" spans="1:17" x14ac:dyDescent="0.2">
      <c r="A67" s="4" t="s">
        <v>152</v>
      </c>
      <c r="B67" s="7">
        <f t="shared" si="1"/>
        <v>7.3142820455536883</v>
      </c>
      <c r="C67" s="7"/>
      <c r="D67" s="7">
        <f t="shared" si="2"/>
        <v>8.6290922839136464</v>
      </c>
      <c r="E67" s="7">
        <f t="shared" si="2"/>
        <v>9.4470711967989089</v>
      </c>
      <c r="F67" s="7">
        <f t="shared" si="2"/>
        <v>9.5042778385904718</v>
      </c>
      <c r="G67" s="7">
        <f t="shared" si="2"/>
        <v>11.351112168807624</v>
      </c>
      <c r="H67" s="7">
        <f t="shared" si="2"/>
        <v>12.426412269511649</v>
      </c>
      <c r="I67" s="7">
        <f t="shared" si="2"/>
        <v>13.251178666675143</v>
      </c>
      <c r="J67" s="7">
        <f t="shared" si="2"/>
        <v>13.928196179407168</v>
      </c>
      <c r="K67" s="7">
        <f t="shared" si="2"/>
        <v>14.263677492600836</v>
      </c>
      <c r="L67" s="7">
        <f t="shared" si="2"/>
        <v>14.523349287267209</v>
      </c>
      <c r="M67" s="7">
        <f t="shared" si="2"/>
        <v>14.581257430938564</v>
      </c>
      <c r="N67" s="7"/>
      <c r="O67" s="7"/>
      <c r="P67" s="7"/>
      <c r="Q67" s="7"/>
    </row>
    <row r="68" spans="1:17" x14ac:dyDescent="0.2">
      <c r="A68" s="4" t="s">
        <v>153</v>
      </c>
      <c r="B68" s="7">
        <f t="shared" si="1"/>
        <v>7.3142820455536883</v>
      </c>
      <c r="C68" s="7"/>
      <c r="D68" s="7">
        <f t="shared" si="2"/>
        <v>8.5781001263197592</v>
      </c>
      <c r="E68" s="7">
        <f t="shared" si="2"/>
        <v>9.4080430308084395</v>
      </c>
      <c r="F68" s="7">
        <f t="shared" si="2"/>
        <v>9.4824264568034078</v>
      </c>
      <c r="G68" s="7">
        <f t="shared" si="2"/>
        <v>11.319097967990071</v>
      </c>
      <c r="H68" s="7">
        <f t="shared" si="2"/>
        <v>12.39603162945334</v>
      </c>
      <c r="I68" s="7">
        <f t="shared" si="2"/>
        <v>13.248925541272042</v>
      </c>
      <c r="J68" s="7">
        <f t="shared" si="2"/>
        <v>13.936134000288012</v>
      </c>
      <c r="K68" s="7">
        <f t="shared" si="2"/>
        <v>14.254474914612842</v>
      </c>
      <c r="L68" s="7">
        <f t="shared" si="2"/>
        <v>14.527597248343614</v>
      </c>
      <c r="M68" s="7">
        <f t="shared" si="2"/>
        <v>14.573977204644862</v>
      </c>
      <c r="N68" s="7"/>
      <c r="O68" s="7"/>
      <c r="P68" s="7"/>
      <c r="Q68" s="7"/>
    </row>
    <row r="69" spans="1:17" x14ac:dyDescent="0.2">
      <c r="A69" s="4" t="s">
        <v>154</v>
      </c>
      <c r="B69" s="7">
        <f t="shared" si="1"/>
        <v>7.3142820455536883</v>
      </c>
      <c r="C69" s="7"/>
      <c r="D69" s="7"/>
      <c r="E69" s="7">
        <f t="shared" si="2"/>
        <v>9.3730542824639294</v>
      </c>
      <c r="F69" s="7">
        <f t="shared" si="2"/>
        <v>9.4958951834117897</v>
      </c>
      <c r="G69" s="7">
        <f t="shared" si="2"/>
        <v>11.337380892455297</v>
      </c>
      <c r="H69" s="7">
        <f t="shared" si="2"/>
        <v>12.402050528771614</v>
      </c>
      <c r="I69" s="7">
        <f t="shared" si="2"/>
        <v>13.237119614702518</v>
      </c>
      <c r="J69" s="7">
        <f t="shared" si="2"/>
        <v>13.940114721188804</v>
      </c>
      <c r="K69" s="7">
        <f t="shared" si="2"/>
        <v>14.264520350705775</v>
      </c>
      <c r="L69" s="7">
        <f t="shared" si="2"/>
        <v>14.529332534390402</v>
      </c>
      <c r="M69" s="7">
        <f t="shared" si="2"/>
        <v>14.586877246717656</v>
      </c>
      <c r="N69" s="7"/>
      <c r="O69" s="7"/>
      <c r="P69" s="7"/>
      <c r="Q69" s="7"/>
    </row>
    <row r="70" spans="1:17" x14ac:dyDescent="0.2">
      <c r="A70" s="4" t="s">
        <v>155</v>
      </c>
      <c r="B70" s="7">
        <f t="shared" si="1"/>
        <v>7.3142820455536883</v>
      </c>
      <c r="C70" s="7"/>
      <c r="D70" s="7">
        <f t="shared" si="2"/>
        <v>8.4516942091835414</v>
      </c>
      <c r="E70" s="7">
        <f t="shared" si="2"/>
        <v>9.3477517277991424</v>
      </c>
      <c r="F70" s="7">
        <f t="shared" si="2"/>
        <v>9.5684343086683299</v>
      </c>
      <c r="G70" s="7">
        <f t="shared" si="2"/>
        <v>11.571760250691121</v>
      </c>
      <c r="H70" s="7">
        <f t="shared" si="2"/>
        <v>12.767458294907865</v>
      </c>
      <c r="I70" s="7">
        <f t="shared" si="2"/>
        <v>13.472963909402283</v>
      </c>
      <c r="J70" s="7">
        <f t="shared" si="2"/>
        <v>14.116163148384441</v>
      </c>
      <c r="K70" s="7">
        <f t="shared" si="2"/>
        <v>14.303636481969255</v>
      </c>
      <c r="L70" s="7">
        <f t="shared" si="2"/>
        <v>14.401695941499419</v>
      </c>
      <c r="M70" s="7">
        <f t="shared" si="2"/>
        <v>14.324458419838381</v>
      </c>
      <c r="N70" s="7"/>
      <c r="O70" s="7"/>
      <c r="P70" s="7"/>
      <c r="Q70" s="7"/>
    </row>
    <row r="71" spans="1:17" x14ac:dyDescent="0.2">
      <c r="A71" s="4" t="s">
        <v>156</v>
      </c>
      <c r="B71" s="7">
        <f t="shared" si="1"/>
        <v>7.3142820455536883</v>
      </c>
      <c r="C71" s="7"/>
      <c r="D71" s="7">
        <f t="shared" ref="D71:M75" si="3">LN(D33)</f>
        <v>8.4377169899144402</v>
      </c>
      <c r="E71" s="7">
        <f t="shared" si="3"/>
        <v>9.2419359335659337</v>
      </c>
      <c r="F71" s="7">
        <f t="shared" si="3"/>
        <v>9.5400037666680646</v>
      </c>
      <c r="G71" s="7">
        <f t="shared" si="3"/>
        <v>11.541124119328908</v>
      </c>
      <c r="H71" s="7">
        <f t="shared" si="3"/>
        <v>12.764144384893029</v>
      </c>
      <c r="I71" s="7">
        <f t="shared" si="3"/>
        <v>13.476142131430962</v>
      </c>
      <c r="J71" s="7">
        <f t="shared" si="3"/>
        <v>14.119120111965428</v>
      </c>
      <c r="K71" s="7">
        <f t="shared" si="3"/>
        <v>14.295303614029709</v>
      </c>
      <c r="L71" s="7">
        <f t="shared" si="3"/>
        <v>14.408129970750197</v>
      </c>
      <c r="M71" s="7">
        <f t="shared" si="3"/>
        <v>14.324193888658231</v>
      </c>
      <c r="N71" s="7"/>
      <c r="O71" s="7"/>
      <c r="P71" s="7"/>
      <c r="Q71" s="7"/>
    </row>
    <row r="72" spans="1:17" x14ac:dyDescent="0.2">
      <c r="A72" s="4" t="s">
        <v>157</v>
      </c>
      <c r="B72" s="7">
        <f t="shared" si="1"/>
        <v>7.3142820455536883</v>
      </c>
      <c r="C72" s="7"/>
      <c r="D72" s="7"/>
      <c r="E72" s="7">
        <f t="shared" si="3"/>
        <v>9.2653019300501569</v>
      </c>
      <c r="F72" s="7">
        <f t="shared" si="3"/>
        <v>9.5520133469965671</v>
      </c>
      <c r="G72" s="7">
        <f t="shared" si="3"/>
        <v>11.510322079100114</v>
      </c>
      <c r="H72" s="7">
        <f t="shared" si="3"/>
        <v>12.758174560608003</v>
      </c>
      <c r="I72" s="7">
        <f t="shared" si="3"/>
        <v>13.459977818604319</v>
      </c>
      <c r="J72" s="7">
        <f t="shared" si="3"/>
        <v>14.117731428037136</v>
      </c>
      <c r="K72" s="7">
        <f t="shared" si="3"/>
        <v>14.295551147974065</v>
      </c>
      <c r="L72" s="7">
        <f t="shared" si="3"/>
        <v>14.404285623126771</v>
      </c>
      <c r="M72" s="7">
        <f t="shared" si="3"/>
        <v>14.318138673785072</v>
      </c>
      <c r="N72" s="7"/>
      <c r="O72" s="7"/>
      <c r="P72" s="7"/>
      <c r="Q72" s="7"/>
    </row>
    <row r="73" spans="1:17" x14ac:dyDescent="0.2">
      <c r="A73" s="4" t="s">
        <v>158</v>
      </c>
      <c r="B73" s="7">
        <f t="shared" si="1"/>
        <v>7.3142820455536883</v>
      </c>
      <c r="C73" s="7"/>
      <c r="D73" s="7">
        <f t="shared" si="3"/>
        <v>8.4828087645544059</v>
      </c>
      <c r="E73" s="7">
        <f t="shared" si="3"/>
        <v>9.3753462065604491</v>
      </c>
      <c r="F73" s="7">
        <f t="shared" si="3"/>
        <v>9.4757001454234722</v>
      </c>
      <c r="G73" s="7">
        <f t="shared" si="3"/>
        <v>11.692075330598549</v>
      </c>
      <c r="H73" s="7">
        <f t="shared" si="3"/>
        <v>12.508544803454591</v>
      </c>
      <c r="I73" s="7">
        <f t="shared" si="3"/>
        <v>13.315954526456514</v>
      </c>
      <c r="J73" s="7">
        <f t="shared" si="3"/>
        <v>14.06696942025853</v>
      </c>
      <c r="K73" s="7">
        <f t="shared" si="3"/>
        <v>14.35043544759357</v>
      </c>
      <c r="L73" s="7">
        <f t="shared" si="3"/>
        <v>14.535202293746332</v>
      </c>
      <c r="M73" s="7">
        <f t="shared" si="3"/>
        <v>14.512968434111304</v>
      </c>
      <c r="N73" s="7"/>
      <c r="O73" s="7"/>
      <c r="P73" s="7"/>
      <c r="Q73" s="7"/>
    </row>
    <row r="74" spans="1:17" x14ac:dyDescent="0.2">
      <c r="A74" s="4" t="s">
        <v>159</v>
      </c>
      <c r="B74" s="7">
        <f t="shared" si="1"/>
        <v>7.3142820455536883</v>
      </c>
      <c r="C74" s="7"/>
      <c r="D74" s="7">
        <f t="shared" si="3"/>
        <v>8.5548742583839257</v>
      </c>
      <c r="E74" s="7">
        <f t="shared" si="3"/>
        <v>9.303648549109834</v>
      </c>
      <c r="F74" s="7">
        <f t="shared" si="3"/>
        <v>9.4211683975677438</v>
      </c>
      <c r="G74" s="7">
        <f t="shared" si="3"/>
        <v>11.704371929541184</v>
      </c>
      <c r="H74" s="7">
        <f t="shared" si="3"/>
        <v>12.509726487491653</v>
      </c>
      <c r="I74" s="7">
        <f t="shared" si="3"/>
        <v>13.31070013985307</v>
      </c>
      <c r="J74" s="7">
        <f t="shared" si="3"/>
        <v>14.070090758910938</v>
      </c>
      <c r="K74" s="7">
        <f t="shared" si="3"/>
        <v>14.352366435864516</v>
      </c>
      <c r="L74" s="7">
        <f t="shared" si="3"/>
        <v>14.536058874872159</v>
      </c>
      <c r="M74" s="7">
        <f t="shared" si="3"/>
        <v>14.513097866550241</v>
      </c>
      <c r="N74" s="7"/>
      <c r="O74" s="7"/>
      <c r="P74" s="7"/>
      <c r="Q74" s="7"/>
    </row>
    <row r="75" spans="1:17" x14ac:dyDescent="0.2">
      <c r="A75" s="4" t="s">
        <v>160</v>
      </c>
      <c r="B75" s="7">
        <f t="shared" si="1"/>
        <v>7.3142820455536883</v>
      </c>
      <c r="C75" s="7"/>
      <c r="D75" s="7"/>
      <c r="E75" s="7">
        <f t="shared" si="3"/>
        <v>9.3110902750763263</v>
      </c>
      <c r="F75" s="7">
        <f t="shared" si="3"/>
        <v>9.447860089234899</v>
      </c>
      <c r="G75" s="7">
        <f t="shared" si="3"/>
        <v>11.696413008404152</v>
      </c>
      <c r="H75" s="7">
        <f t="shared" si="3"/>
        <v>12.484234544597795</v>
      </c>
      <c r="I75" s="7">
        <f t="shared" si="3"/>
        <v>13.302114967995646</v>
      </c>
      <c r="J75" s="7">
        <f t="shared" si="3"/>
        <v>14.071392317866257</v>
      </c>
      <c r="K75" s="7">
        <f t="shared" si="3"/>
        <v>14.351114644293958</v>
      </c>
      <c r="L75" s="7">
        <f t="shared" si="3"/>
        <v>14.531123483239883</v>
      </c>
      <c r="M75" s="7">
        <f t="shared" si="3"/>
        <v>14.509217581782734</v>
      </c>
      <c r="N75" s="7"/>
      <c r="O75" s="7"/>
      <c r="P75" s="7"/>
      <c r="Q75" s="7"/>
    </row>
    <row r="78" spans="1:17" s="25" customFormat="1" x14ac:dyDescent="0.2">
      <c r="A78" s="24" t="s">
        <v>207</v>
      </c>
      <c r="B78" s="25">
        <v>0</v>
      </c>
      <c r="C78" s="25">
        <v>2</v>
      </c>
      <c r="D78" s="25">
        <v>4</v>
      </c>
      <c r="E78" s="25">
        <v>6</v>
      </c>
      <c r="F78" s="25">
        <v>8</v>
      </c>
      <c r="G78" s="25">
        <v>10</v>
      </c>
      <c r="H78" s="25">
        <v>12</v>
      </c>
      <c r="I78" s="25">
        <v>14</v>
      </c>
      <c r="J78" s="25">
        <v>16</v>
      </c>
      <c r="K78" s="25">
        <v>18</v>
      </c>
      <c r="L78" s="25">
        <v>20</v>
      </c>
      <c r="M78" s="25">
        <v>22</v>
      </c>
      <c r="N78" s="25">
        <v>24</v>
      </c>
      <c r="O78" s="25">
        <v>26</v>
      </c>
      <c r="P78" s="25">
        <v>28</v>
      </c>
      <c r="Q78" s="25">
        <v>30</v>
      </c>
    </row>
    <row r="79" spans="1:17" s="10" customFormat="1" x14ac:dyDescent="0.2">
      <c r="A79" s="9" t="s">
        <v>208</v>
      </c>
      <c r="B79" s="11">
        <f>AVERAGE(B40:B42)</f>
        <v>7.0496020032103734</v>
      </c>
      <c r="C79" s="11">
        <f t="shared" ref="C79:L79" si="4">AVERAGE(C40:C42)</f>
        <v>7.1384337729327569</v>
      </c>
      <c r="D79" s="11">
        <f t="shared" si="4"/>
        <v>7.496207431394879</v>
      </c>
      <c r="E79" s="11">
        <f t="shared" si="4"/>
        <v>7.6561787036428939</v>
      </c>
      <c r="F79" s="11">
        <f t="shared" si="4"/>
        <v>7.781385576536195</v>
      </c>
      <c r="G79" s="11">
        <f t="shared" si="4"/>
        <v>7.8487647150165154</v>
      </c>
      <c r="H79" s="11">
        <f t="shared" si="4"/>
        <v>7.8071669470714804</v>
      </c>
      <c r="I79" s="11">
        <f t="shared" si="4"/>
        <v>7.7788932659653147</v>
      </c>
      <c r="J79" s="11">
        <f t="shared" si="4"/>
        <v>7.7589647548633058</v>
      </c>
      <c r="K79" s="11">
        <f t="shared" si="4"/>
        <v>7.6159256002802884</v>
      </c>
      <c r="L79" s="11">
        <f t="shared" si="4"/>
        <v>7.6333428244556609</v>
      </c>
      <c r="M79" s="11"/>
      <c r="N79" s="11"/>
      <c r="O79" s="11"/>
      <c r="P79" s="11"/>
      <c r="Q79" s="11"/>
    </row>
    <row r="80" spans="1:17" s="10" customFormat="1" x14ac:dyDescent="0.2">
      <c r="A80" s="9" t="s">
        <v>209</v>
      </c>
      <c r="B80" s="11">
        <f t="shared" ref="B80:L80" si="5">AVERAGE(B43:B45)</f>
        <v>7.0496020032103734</v>
      </c>
      <c r="C80" s="11">
        <f t="shared" si="5"/>
        <v>7.2237789320793668</v>
      </c>
      <c r="D80" s="11">
        <f t="shared" si="5"/>
        <v>7.5397222703801914</v>
      </c>
      <c r="E80" s="11">
        <f t="shared" si="5"/>
        <v>7.8265257359920204</v>
      </c>
      <c r="F80" s="11">
        <f t="shared" si="5"/>
        <v>7.9689523285037263</v>
      </c>
      <c r="G80" s="11">
        <f t="shared" si="5"/>
        <v>7.9124462009104066</v>
      </c>
      <c r="H80" s="11">
        <f t="shared" si="5"/>
        <v>7.9068809873300614</v>
      </c>
      <c r="I80" s="11">
        <f t="shared" si="5"/>
        <v>7.881330314351092</v>
      </c>
      <c r="J80" s="11">
        <f t="shared" si="5"/>
        <v>7.8275851176582192</v>
      </c>
      <c r="K80" s="11">
        <f t="shared" si="5"/>
        <v>7.7212586711510935</v>
      </c>
      <c r="L80" s="11">
        <f t="shared" si="5"/>
        <v>7.745555879894261</v>
      </c>
      <c r="M80" s="11"/>
      <c r="N80" s="11"/>
      <c r="O80" s="11"/>
      <c r="P80" s="11"/>
      <c r="Q80" s="11"/>
    </row>
    <row r="81" spans="1:26" s="10" customFormat="1" ht="16" x14ac:dyDescent="0.2">
      <c r="A81" s="9" t="s">
        <v>32</v>
      </c>
      <c r="B81" s="11">
        <f t="shared" ref="B81:L81" si="6">AVERAGE(B46:B48)</f>
        <v>7.0496020032103734</v>
      </c>
      <c r="C81" s="11">
        <f t="shared" si="6"/>
        <v>7.3791662521274803</v>
      </c>
      <c r="D81" s="11">
        <f t="shared" si="6"/>
        <v>7.8044831870157347</v>
      </c>
      <c r="E81" s="11">
        <f t="shared" si="6"/>
        <v>7.9387939239608469</v>
      </c>
      <c r="F81" s="11">
        <f t="shared" si="6"/>
        <v>7.9884278881206923</v>
      </c>
      <c r="G81" s="11">
        <f t="shared" si="6"/>
        <v>8.0617800626465179</v>
      </c>
      <c r="H81" s="11">
        <f t="shared" si="6"/>
        <v>8.0442851417751484</v>
      </c>
      <c r="I81" s="11">
        <f t="shared" si="6"/>
        <v>8.0559898023782353</v>
      </c>
      <c r="J81" s="11">
        <f t="shared" si="6"/>
        <v>7.9958356876765508</v>
      </c>
      <c r="K81" s="11">
        <f t="shared" si="6"/>
        <v>7.9505825052091277</v>
      </c>
      <c r="L81" s="11">
        <f t="shared" si="6"/>
        <v>7.9848615876317348</v>
      </c>
      <c r="M81" s="11"/>
      <c r="N81" s="11"/>
      <c r="O81" s="11"/>
      <c r="P81" s="11"/>
      <c r="Q81" s="11"/>
      <c r="W81" s="20" t="s">
        <v>290</v>
      </c>
      <c r="X81" s="21" t="s">
        <v>291</v>
      </c>
      <c r="Y81" s="21" t="s">
        <v>292</v>
      </c>
      <c r="Z81" s="21" t="s">
        <v>293</v>
      </c>
    </row>
    <row r="82" spans="1:26" s="10" customFormat="1" x14ac:dyDescent="0.2">
      <c r="A82" s="9" t="s">
        <v>210</v>
      </c>
      <c r="B82" s="11">
        <f t="shared" ref="B82:N82" si="7">AVERAGE(B49:B51)</f>
        <v>7.0496020032103734</v>
      </c>
      <c r="C82" s="11">
        <f t="shared" si="7"/>
        <v>7.2625545365994197</v>
      </c>
      <c r="D82" s="11">
        <f t="shared" si="7"/>
        <v>8.3036151190629486</v>
      </c>
      <c r="E82" s="11">
        <f t="shared" si="7"/>
        <v>8.7012522112183195</v>
      </c>
      <c r="F82" s="11">
        <f t="shared" si="7"/>
        <v>9.3510327730272635</v>
      </c>
      <c r="G82" s="11">
        <f t="shared" si="7"/>
        <v>9.9286938651964487</v>
      </c>
      <c r="H82" s="11">
        <f t="shared" si="7"/>
        <v>10.637507548164079</v>
      </c>
      <c r="I82" s="11">
        <f t="shared" si="7"/>
        <v>11.51899548100517</v>
      </c>
      <c r="J82" s="11">
        <f t="shared" si="7"/>
        <v>12.42864521728527</v>
      </c>
      <c r="K82" s="11">
        <f t="shared" si="7"/>
        <v>13.252053336762382</v>
      </c>
      <c r="L82" s="11">
        <f t="shared" si="7"/>
        <v>13.697078965467085</v>
      </c>
      <c r="M82" s="11">
        <f t="shared" si="7"/>
        <v>13.940596486191405</v>
      </c>
      <c r="N82" s="11">
        <f t="shared" si="7"/>
        <v>13.901099282525196</v>
      </c>
      <c r="O82" s="11"/>
      <c r="P82" s="12">
        <v>0.35809999999999997</v>
      </c>
      <c r="Q82" s="12"/>
      <c r="R82" s="13"/>
      <c r="W82" s="6">
        <v>4</v>
      </c>
      <c r="X82" s="6">
        <v>20</v>
      </c>
      <c r="Y82" s="6">
        <v>0.35809999999999997</v>
      </c>
      <c r="Z82" s="6">
        <v>0.99104999999999999</v>
      </c>
    </row>
    <row r="83" spans="1:26" s="10" customFormat="1" x14ac:dyDescent="0.2">
      <c r="A83" s="9" t="s">
        <v>211</v>
      </c>
      <c r="B83" s="11">
        <f t="shared" ref="B83:N83" si="8">AVERAGE(B52:B54)</f>
        <v>7.0496020032103734</v>
      </c>
      <c r="C83" s="11">
        <f t="shared" si="8"/>
        <v>7.3255733773782303</v>
      </c>
      <c r="D83" s="11">
        <f t="shared" si="8"/>
        <v>8.1383118623204851</v>
      </c>
      <c r="E83" s="11">
        <f t="shared" si="8"/>
        <v>8.6562911870988515</v>
      </c>
      <c r="F83" s="11">
        <f t="shared" si="8"/>
        <v>9.2300927729358619</v>
      </c>
      <c r="G83" s="11">
        <f t="shared" si="8"/>
        <v>10.009286360410096</v>
      </c>
      <c r="H83" s="11">
        <f t="shared" si="8"/>
        <v>10.629102511660237</v>
      </c>
      <c r="I83" s="11">
        <f t="shared" si="8"/>
        <v>11.470802976592383</v>
      </c>
      <c r="J83" s="11">
        <f t="shared" si="8"/>
        <v>12.541543792071678</v>
      </c>
      <c r="K83" s="11">
        <f t="shared" si="8"/>
        <v>13.204459128983544</v>
      </c>
      <c r="L83" s="11">
        <f t="shared" si="8"/>
        <v>13.614062765669146</v>
      </c>
      <c r="M83" s="11">
        <f t="shared" si="8"/>
        <v>13.877329712943856</v>
      </c>
      <c r="N83" s="11">
        <f t="shared" si="8"/>
        <v>13.908405905771914</v>
      </c>
      <c r="O83" s="11"/>
      <c r="P83" s="12">
        <v>0.37040000000000001</v>
      </c>
      <c r="Q83" s="12">
        <f>AVERAGE(P82:P84)</f>
        <v>0.35583333333333328</v>
      </c>
      <c r="R83" s="12">
        <f>STDEV(P82:P84)</f>
        <v>1.5822241729076602E-2</v>
      </c>
      <c r="W83" s="6">
        <v>4</v>
      </c>
      <c r="X83" s="6">
        <v>20</v>
      </c>
      <c r="Y83" s="6">
        <v>0.36359999999999998</v>
      </c>
      <c r="Z83" s="6">
        <v>0.99238000000000004</v>
      </c>
    </row>
    <row r="84" spans="1:26" s="10" customFormat="1" x14ac:dyDescent="0.2">
      <c r="A84" s="9" t="s">
        <v>212</v>
      </c>
      <c r="B84" s="11">
        <f t="shared" ref="B84:N84" si="9">AVERAGE(B55:B57)</f>
        <v>7.0496020032103734</v>
      </c>
      <c r="C84" s="11">
        <f t="shared" si="9"/>
        <v>7.2841006634915617</v>
      </c>
      <c r="D84" s="11">
        <f t="shared" si="9"/>
        <v>7.7842531101765857</v>
      </c>
      <c r="E84" s="11">
        <f t="shared" si="9"/>
        <v>8.7537671033856324</v>
      </c>
      <c r="F84" s="11">
        <f t="shared" si="9"/>
        <v>9.236013737317462</v>
      </c>
      <c r="G84" s="11">
        <f t="shared" si="9"/>
        <v>9.9401805625784192</v>
      </c>
      <c r="H84" s="11">
        <f t="shared" si="9"/>
        <v>10.197376374844865</v>
      </c>
      <c r="I84" s="11">
        <f t="shared" si="9"/>
        <v>11.013237165067556</v>
      </c>
      <c r="J84" s="11">
        <f t="shared" si="9"/>
        <v>11.884258423572041</v>
      </c>
      <c r="K84" s="11">
        <f t="shared" si="9"/>
        <v>12.685298687258568</v>
      </c>
      <c r="L84" s="11">
        <f t="shared" si="9"/>
        <v>13.414452571707997</v>
      </c>
      <c r="M84" s="11">
        <f t="shared" si="9"/>
        <v>13.825807754208787</v>
      </c>
      <c r="N84" s="11">
        <f t="shared" si="9"/>
        <v>13.930775244258278</v>
      </c>
      <c r="O84" s="11"/>
      <c r="P84" s="12">
        <v>0.33900000000000002</v>
      </c>
      <c r="Q84" s="12"/>
      <c r="R84" s="13"/>
      <c r="W84" s="6">
        <v>4</v>
      </c>
      <c r="X84" s="6">
        <v>20</v>
      </c>
      <c r="Y84" s="6">
        <v>0.33900000000000002</v>
      </c>
      <c r="Z84" s="6">
        <v>0.99029999999999996</v>
      </c>
    </row>
    <row r="85" spans="1:26" s="10" customFormat="1" x14ac:dyDescent="0.2">
      <c r="A85" s="9" t="s">
        <v>213</v>
      </c>
      <c r="B85" s="11">
        <f t="shared" ref="B85:Q85" si="10">AVERAGE(B58:B60)</f>
        <v>7.1486732583955108</v>
      </c>
      <c r="C85" s="11">
        <f t="shared" si="10"/>
        <v>7.2119112161210275</v>
      </c>
      <c r="D85" s="11">
        <f t="shared" si="10"/>
        <v>7.5463654038925965</v>
      </c>
      <c r="E85" s="11">
        <f t="shared" si="10"/>
        <v>7.9983217049759858</v>
      </c>
      <c r="F85" s="11">
        <f t="shared" si="10"/>
        <v>8.2654610710567464</v>
      </c>
      <c r="G85" s="11">
        <f t="shared" si="10"/>
        <v>8.9038913151436692</v>
      </c>
      <c r="H85" s="11">
        <f t="shared" si="10"/>
        <v>9.2172545217655735</v>
      </c>
      <c r="I85" s="11">
        <f t="shared" si="10"/>
        <v>9.7356698040282605</v>
      </c>
      <c r="J85" s="11">
        <f t="shared" si="10"/>
        <v>10.201323242607696</v>
      </c>
      <c r="K85" s="11">
        <f t="shared" si="10"/>
        <v>11.057429863732706</v>
      </c>
      <c r="L85" s="11">
        <f t="shared" si="10"/>
        <v>11.978464333778264</v>
      </c>
      <c r="M85" s="11">
        <f t="shared" si="10"/>
        <v>12.944344265428562</v>
      </c>
      <c r="N85" s="11">
        <f t="shared" si="10"/>
        <v>13.217232334172897</v>
      </c>
      <c r="O85" s="11">
        <f t="shared" si="10"/>
        <v>13.485028847209579</v>
      </c>
      <c r="P85" s="11">
        <f t="shared" si="10"/>
        <v>13.787132030679944</v>
      </c>
      <c r="Q85" s="11">
        <f t="shared" si="10"/>
        <v>13.739202010867601</v>
      </c>
      <c r="S85" s="12">
        <v>0.30630000000000002</v>
      </c>
      <c r="T85" s="13"/>
      <c r="U85" s="13"/>
      <c r="W85" s="6">
        <v>6</v>
      </c>
      <c r="X85" s="6">
        <v>24</v>
      </c>
      <c r="Y85" s="6">
        <v>0.30630000000000002</v>
      </c>
      <c r="Z85" s="6">
        <v>0.97506999999999999</v>
      </c>
    </row>
    <row r="86" spans="1:26" s="10" customFormat="1" x14ac:dyDescent="0.2">
      <c r="A86" s="9" t="s">
        <v>214</v>
      </c>
      <c r="B86" s="11">
        <f t="shared" ref="B86:Q86" si="11">AVERAGE(B61:B63)</f>
        <v>7.1486732583955108</v>
      </c>
      <c r="C86" s="11">
        <f t="shared" si="11"/>
        <v>7.3350907523315492</v>
      </c>
      <c r="D86" s="11">
        <f t="shared" si="11"/>
        <v>7.682041686791762</v>
      </c>
      <c r="E86" s="11">
        <f t="shared" si="11"/>
        <v>7.9535118073538627</v>
      </c>
      <c r="F86" s="11">
        <f t="shared" si="11"/>
        <v>8.4025163125447691</v>
      </c>
      <c r="G86" s="11">
        <f t="shared" si="11"/>
        <v>8.7870487900837677</v>
      </c>
      <c r="H86" s="11">
        <f t="shared" si="11"/>
        <v>9.1598699118348303</v>
      </c>
      <c r="I86" s="11">
        <f t="shared" si="11"/>
        <v>9.6082646874743762</v>
      </c>
      <c r="J86" s="11">
        <f t="shared" si="11"/>
        <v>10.23528990808718</v>
      </c>
      <c r="K86" s="11">
        <f t="shared" si="11"/>
        <v>11.099901189653643</v>
      </c>
      <c r="L86" s="11">
        <f t="shared" si="11"/>
        <v>11.923048632999766</v>
      </c>
      <c r="M86" s="11">
        <f t="shared" si="11"/>
        <v>12.715656363397684</v>
      </c>
      <c r="N86" s="11">
        <f t="shared" si="11"/>
        <v>13.33968902379109</v>
      </c>
      <c r="O86" s="11">
        <f t="shared" si="11"/>
        <v>13.388491048605355</v>
      </c>
      <c r="P86" s="11">
        <f t="shared" si="11"/>
        <v>13.765366105977039</v>
      </c>
      <c r="Q86" s="11">
        <f t="shared" si="11"/>
        <v>13.841248023348014</v>
      </c>
      <c r="S86" s="12">
        <v>0.3054</v>
      </c>
      <c r="T86" s="12">
        <f>AVERAGE(S85:S87)</f>
        <v>0.31430000000000002</v>
      </c>
      <c r="U86" s="12">
        <f>STDEV(S85:S87)</f>
        <v>1.4642745644174789E-2</v>
      </c>
      <c r="W86" s="6">
        <v>6</v>
      </c>
      <c r="X86" s="6">
        <v>24</v>
      </c>
      <c r="Y86" s="6">
        <v>0.3054</v>
      </c>
      <c r="Z86" s="6">
        <v>0.97665999999999997</v>
      </c>
    </row>
    <row r="87" spans="1:26" s="10" customFormat="1" x14ac:dyDescent="0.2">
      <c r="A87" s="9" t="s">
        <v>215</v>
      </c>
      <c r="B87" s="11">
        <f t="shared" ref="B87:Q87" si="12">AVERAGE(B64:B66)</f>
        <v>7.1486732583955108</v>
      </c>
      <c r="C87" s="11">
        <f>AVERAGE(C64:C66)</f>
        <v>7.3664329203815528</v>
      </c>
      <c r="D87" s="11">
        <f t="shared" si="12"/>
        <v>7.7217823539245769</v>
      </c>
      <c r="E87" s="11">
        <f t="shared" si="12"/>
        <v>8.0219680113746055</v>
      </c>
      <c r="F87" s="11">
        <f>AVERAGE(F64:F66)</f>
        <v>8.4533790201679846</v>
      </c>
      <c r="G87" s="11">
        <f t="shared" si="12"/>
        <v>8.7963468330137555</v>
      </c>
      <c r="H87" s="11">
        <f t="shared" si="12"/>
        <v>9.1879611373583057</v>
      </c>
      <c r="I87" s="11">
        <f t="shared" si="12"/>
        <v>9.7318009630826339</v>
      </c>
      <c r="J87" s="11">
        <f t="shared" si="12"/>
        <v>10.403027487814738</v>
      </c>
      <c r="K87" s="11">
        <f t="shared" si="12"/>
        <v>11.464392568165808</v>
      </c>
      <c r="L87" s="11">
        <f t="shared" si="12"/>
        <v>12.479938039287601</v>
      </c>
      <c r="M87" s="11">
        <f t="shared" si="12"/>
        <v>13.279682402809641</v>
      </c>
      <c r="N87" s="11">
        <f t="shared" si="12"/>
        <v>13.530514320065812</v>
      </c>
      <c r="O87" s="11">
        <f t="shared" si="12"/>
        <v>13.55929644575505</v>
      </c>
      <c r="P87" s="11">
        <f t="shared" si="12"/>
        <v>13.77871317703462</v>
      </c>
      <c r="Q87" s="11">
        <f t="shared" si="12"/>
        <v>13.891906139012493</v>
      </c>
      <c r="S87" s="12">
        <v>0.33119999999999999</v>
      </c>
      <c r="T87" s="13"/>
      <c r="U87" s="13"/>
      <c r="W87" s="6">
        <v>6</v>
      </c>
      <c r="X87" s="6">
        <v>24</v>
      </c>
      <c r="Y87" s="6">
        <v>0.33119999999999999</v>
      </c>
      <c r="Z87" s="6">
        <v>0.97014999999999996</v>
      </c>
    </row>
    <row r="88" spans="1:26" s="10" customFormat="1" x14ac:dyDescent="0.2">
      <c r="A88" s="9" t="s">
        <v>216</v>
      </c>
      <c r="B88" s="11">
        <f t="shared" ref="B88:M88" si="13">AVERAGE(B67:B69)</f>
        <v>7.3142820455536883</v>
      </c>
      <c r="C88" s="11"/>
      <c r="D88" s="11">
        <f t="shared" si="13"/>
        <v>8.6035962051167019</v>
      </c>
      <c r="E88" s="11">
        <f t="shared" si="13"/>
        <v>9.409389503357092</v>
      </c>
      <c r="F88" s="11"/>
      <c r="G88" s="11">
        <f t="shared" si="13"/>
        <v>11.335863676417665</v>
      </c>
      <c r="H88" s="11">
        <f t="shared" si="13"/>
        <v>12.408164809245534</v>
      </c>
      <c r="I88" s="11">
        <f t="shared" si="13"/>
        <v>13.245741274216568</v>
      </c>
      <c r="J88" s="11">
        <f t="shared" si="13"/>
        <v>13.934814966961328</v>
      </c>
      <c r="K88" s="11">
        <f t="shared" si="13"/>
        <v>14.260890919306483</v>
      </c>
      <c r="L88" s="11">
        <f t="shared" si="13"/>
        <v>14.526759690000409</v>
      </c>
      <c r="M88" s="11">
        <f t="shared" si="13"/>
        <v>14.580703960767027</v>
      </c>
      <c r="N88" s="11"/>
      <c r="O88" s="12">
        <v>0.45810000000000001</v>
      </c>
      <c r="P88" s="12"/>
      <c r="Q88" s="12"/>
      <c r="W88" s="6">
        <v>4</v>
      </c>
      <c r="X88" s="6">
        <v>16</v>
      </c>
      <c r="Y88" s="6">
        <v>0.45810000000000001</v>
      </c>
      <c r="Z88" s="6">
        <v>0.99726000000000004</v>
      </c>
    </row>
    <row r="89" spans="1:26" s="10" customFormat="1" x14ac:dyDescent="0.2">
      <c r="A89" s="9" t="s">
        <v>217</v>
      </c>
      <c r="B89" s="11">
        <f t="shared" ref="B89:M89" si="14">AVERAGE(B70:B72)</f>
        <v>7.3142820455536883</v>
      </c>
      <c r="C89" s="11"/>
      <c r="D89" s="11">
        <f t="shared" si="14"/>
        <v>8.4447055995489908</v>
      </c>
      <c r="E89" s="11">
        <f t="shared" si="14"/>
        <v>9.2849965304717443</v>
      </c>
      <c r="F89" s="11"/>
      <c r="G89" s="11">
        <f t="shared" si="14"/>
        <v>11.541068816373381</v>
      </c>
      <c r="H89" s="11">
        <f t="shared" si="14"/>
        <v>12.763259080136299</v>
      </c>
      <c r="I89" s="11">
        <f t="shared" si="14"/>
        <v>13.46969461981252</v>
      </c>
      <c r="J89" s="11">
        <f t="shared" si="14"/>
        <v>14.117671562795669</v>
      </c>
      <c r="K89" s="11">
        <f t="shared" si="14"/>
        <v>14.29816374799101</v>
      </c>
      <c r="L89" s="11">
        <f t="shared" si="14"/>
        <v>14.404703845125463</v>
      </c>
      <c r="M89" s="11">
        <f t="shared" si="14"/>
        <v>14.32226366076056</v>
      </c>
      <c r="N89" s="11"/>
      <c r="O89" s="12">
        <v>0.49469999999999997</v>
      </c>
      <c r="P89" s="12">
        <f>AVERAGE(O88:O90)</f>
        <v>0.47623333333333334</v>
      </c>
      <c r="Q89" s="12">
        <f>STDEV(O88:O90)</f>
        <v>1.8302276725405849E-2</v>
      </c>
      <c r="W89" s="6">
        <v>4</v>
      </c>
      <c r="X89" s="6">
        <v>16</v>
      </c>
      <c r="Y89" s="6">
        <v>0.49469999999999997</v>
      </c>
      <c r="Z89" s="6">
        <v>0.99092999999999998</v>
      </c>
    </row>
    <row r="90" spans="1:26" s="10" customFormat="1" x14ac:dyDescent="0.2">
      <c r="A90" s="9" t="s">
        <v>218</v>
      </c>
      <c r="B90" s="11">
        <f>AVERAGE(B73:B75)</f>
        <v>7.3142820455536883</v>
      </c>
      <c r="C90" s="11"/>
      <c r="D90" s="11">
        <f t="shared" ref="D90:M90" si="15">AVERAGE(D73:D75)</f>
        <v>8.5188415114691658</v>
      </c>
      <c r="E90" s="11">
        <f t="shared" si="15"/>
        <v>9.3300283435822013</v>
      </c>
      <c r="F90" s="11"/>
      <c r="G90" s="11">
        <f t="shared" si="15"/>
        <v>11.697620089514627</v>
      </c>
      <c r="H90" s="11">
        <f t="shared" si="15"/>
        <v>12.50083527851468</v>
      </c>
      <c r="I90" s="11">
        <f t="shared" si="15"/>
        <v>13.309589878101741</v>
      </c>
      <c r="J90" s="11">
        <f t="shared" si="15"/>
        <v>14.069484165678574</v>
      </c>
      <c r="K90" s="11">
        <f t="shared" si="15"/>
        <v>14.351305509250681</v>
      </c>
      <c r="L90" s="11">
        <f t="shared" si="15"/>
        <v>14.534128217286124</v>
      </c>
      <c r="M90" s="11">
        <f t="shared" si="15"/>
        <v>14.511761294148094</v>
      </c>
      <c r="N90" s="11"/>
      <c r="O90" s="12">
        <v>0.47589999999999999</v>
      </c>
      <c r="P90" s="12"/>
      <c r="Q90" s="12"/>
      <c r="W90" s="6">
        <v>4</v>
      </c>
      <c r="X90" s="6">
        <v>16</v>
      </c>
      <c r="Y90" s="6">
        <v>0.47589999999999999</v>
      </c>
      <c r="Z90" s="6">
        <v>0.99294000000000004</v>
      </c>
    </row>
    <row r="92" spans="1:26" s="16" customFormat="1" x14ac:dyDescent="0.2">
      <c r="A92" s="15" t="s">
        <v>267</v>
      </c>
      <c r="B92" s="16">
        <v>0</v>
      </c>
      <c r="C92" s="16">
        <v>2</v>
      </c>
      <c r="D92" s="16">
        <v>4</v>
      </c>
      <c r="E92" s="17">
        <v>6</v>
      </c>
      <c r="F92" s="17">
        <v>8</v>
      </c>
      <c r="G92" s="17">
        <v>10</v>
      </c>
      <c r="H92" s="17">
        <v>12</v>
      </c>
      <c r="I92" s="17">
        <v>14</v>
      </c>
      <c r="J92" s="17">
        <v>16</v>
      </c>
      <c r="K92" s="17">
        <v>18</v>
      </c>
      <c r="L92" s="17">
        <v>20</v>
      </c>
      <c r="M92" s="17">
        <v>22</v>
      </c>
      <c r="N92" s="17">
        <v>24</v>
      </c>
      <c r="O92" s="17">
        <v>26</v>
      </c>
      <c r="P92" s="17">
        <v>28</v>
      </c>
      <c r="Q92" s="17">
        <v>30</v>
      </c>
    </row>
    <row r="93" spans="1:26" s="16" customFormat="1" x14ac:dyDescent="0.2">
      <c r="A93" s="15" t="s">
        <v>208</v>
      </c>
      <c r="B93" s="18">
        <f>AVERAGE(B2:B4)</f>
        <v>1152.4000000000001</v>
      </c>
      <c r="C93" s="18">
        <f t="shared" ref="C93:L93" si="16">AVERAGE(C2:C4)</f>
        <v>1260</v>
      </c>
      <c r="D93" s="18">
        <f t="shared" si="16"/>
        <v>1801.3333333333333</v>
      </c>
      <c r="E93" s="18">
        <f t="shared" si="16"/>
        <v>2113.6666666666665</v>
      </c>
      <c r="F93" s="18">
        <f t="shared" si="16"/>
        <v>2395.6666666666665</v>
      </c>
      <c r="G93" s="18">
        <f t="shared" si="16"/>
        <v>2562.6666666666665</v>
      </c>
      <c r="H93" s="18">
        <f t="shared" si="16"/>
        <v>2458.3333333333335</v>
      </c>
      <c r="I93" s="18">
        <f t="shared" si="16"/>
        <v>2389.6666666666665</v>
      </c>
      <c r="J93" s="18">
        <f t="shared" si="16"/>
        <v>2342.6666666666665</v>
      </c>
      <c r="K93" s="18">
        <f t="shared" si="16"/>
        <v>2030.3333333333333</v>
      </c>
      <c r="L93" s="18">
        <f t="shared" si="16"/>
        <v>2066.3333333333335</v>
      </c>
    </row>
    <row r="94" spans="1:26" s="16" customFormat="1" x14ac:dyDescent="0.2">
      <c r="A94" s="15" t="s">
        <v>209</v>
      </c>
      <c r="B94" s="18">
        <f>AVERAGE(B5:B7)</f>
        <v>1152.4000000000001</v>
      </c>
      <c r="C94" s="18">
        <f t="shared" ref="C94:L94" si="17">AVERAGE(C5:C7)</f>
        <v>1371.6666666666667</v>
      </c>
      <c r="D94" s="18">
        <f t="shared" si="17"/>
        <v>1881.3333333333333</v>
      </c>
      <c r="E94" s="18">
        <f t="shared" si="17"/>
        <v>2506.3333333333335</v>
      </c>
      <c r="F94" s="18">
        <f t="shared" si="17"/>
        <v>2890.3333333333335</v>
      </c>
      <c r="G94" s="18">
        <f t="shared" si="17"/>
        <v>2731.3333333333335</v>
      </c>
      <c r="H94" s="18">
        <f t="shared" si="17"/>
        <v>2716.3333333333335</v>
      </c>
      <c r="I94" s="18">
        <f t="shared" si="17"/>
        <v>2647.6666666666665</v>
      </c>
      <c r="J94" s="18">
        <f t="shared" si="17"/>
        <v>2509</v>
      </c>
      <c r="K94" s="18">
        <f t="shared" si="17"/>
        <v>2256</v>
      </c>
      <c r="L94" s="18">
        <f t="shared" si="17"/>
        <v>2311.3333333333335</v>
      </c>
    </row>
    <row r="95" spans="1:26" s="16" customFormat="1" x14ac:dyDescent="0.2">
      <c r="A95" s="15" t="s">
        <v>268</v>
      </c>
      <c r="B95" s="18">
        <f>AVERAGE(B8:B10)</f>
        <v>1152.4000000000001</v>
      </c>
      <c r="C95" s="18">
        <f t="shared" ref="C95:L95" si="18">AVERAGE(C8:C10)</f>
        <v>1602.3333333333333</v>
      </c>
      <c r="D95" s="18">
        <f t="shared" si="18"/>
        <v>2451.6666666666665</v>
      </c>
      <c r="E95" s="18">
        <f t="shared" si="18"/>
        <v>2804</v>
      </c>
      <c r="F95" s="18">
        <f t="shared" si="18"/>
        <v>2947</v>
      </c>
      <c r="G95" s="18">
        <f t="shared" si="18"/>
        <v>3171</v>
      </c>
      <c r="H95" s="18">
        <f t="shared" si="18"/>
        <v>3116</v>
      </c>
      <c r="I95" s="18">
        <f t="shared" si="18"/>
        <v>3152.6666666666665</v>
      </c>
      <c r="J95" s="18">
        <f t="shared" si="18"/>
        <v>2968.6666666666665</v>
      </c>
      <c r="K95" s="18">
        <f t="shared" si="18"/>
        <v>2837.3333333333335</v>
      </c>
      <c r="L95" s="18">
        <f t="shared" si="18"/>
        <v>2936.3333333333335</v>
      </c>
    </row>
    <row r="96" spans="1:26" s="16" customFormat="1" x14ac:dyDescent="0.2">
      <c r="A96" s="15" t="s">
        <v>210</v>
      </c>
      <c r="B96" s="18">
        <f>AVERAGE(B11:B13)</f>
        <v>1152.4000000000001</v>
      </c>
      <c r="C96" s="18">
        <f t="shared" ref="C96:L96" si="19">AVERAGE(C11:C13)</f>
        <v>1426</v>
      </c>
      <c r="D96" s="18">
        <f t="shared" si="19"/>
        <v>4038.6666666666665</v>
      </c>
      <c r="E96" s="18">
        <f t="shared" si="19"/>
        <v>6028.666666666667</v>
      </c>
      <c r="F96" s="18">
        <f t="shared" si="19"/>
        <v>11511</v>
      </c>
      <c r="G96" s="18">
        <f t="shared" si="19"/>
        <v>20510.666666666668</v>
      </c>
      <c r="H96" s="18">
        <f t="shared" si="19"/>
        <v>41688.333333333336</v>
      </c>
      <c r="I96" s="18">
        <f t="shared" si="19"/>
        <v>100666.33333333333</v>
      </c>
      <c r="J96" s="18">
        <f t="shared" si="19"/>
        <v>249860</v>
      </c>
      <c r="K96" s="18">
        <f t="shared" si="19"/>
        <v>569273.33333333337</v>
      </c>
      <c r="L96" s="18">
        <f t="shared" si="19"/>
        <v>888313.33333333337</v>
      </c>
      <c r="M96" s="18">
        <f t="shared" ref="M96:N96" si="20">AVERAGE(M11:M13)</f>
        <v>1133246.6666666667</v>
      </c>
      <c r="N96" s="18">
        <f t="shared" si="20"/>
        <v>1089366.6666666667</v>
      </c>
    </row>
    <row r="97" spans="1:17" s="16" customFormat="1" x14ac:dyDescent="0.2">
      <c r="A97" s="15" t="s">
        <v>211</v>
      </c>
      <c r="B97" s="18">
        <f>AVERAGE(B14:B16)</f>
        <v>1152.4000000000001</v>
      </c>
      <c r="C97" s="18">
        <f t="shared" ref="C97:L97" si="21">AVERAGE(C14:C16)</f>
        <v>1518.6666666666667</v>
      </c>
      <c r="D97" s="18">
        <f t="shared" si="21"/>
        <v>3423.6666666666665</v>
      </c>
      <c r="E97" s="18">
        <f t="shared" si="21"/>
        <v>5746.333333333333</v>
      </c>
      <c r="F97" s="18">
        <f t="shared" si="21"/>
        <v>10199.666666666666</v>
      </c>
      <c r="G97" s="18">
        <f t="shared" si="21"/>
        <v>22235</v>
      </c>
      <c r="H97" s="18">
        <f t="shared" si="21"/>
        <v>41324</v>
      </c>
      <c r="I97" s="18">
        <f t="shared" si="21"/>
        <v>95877.333333333328</v>
      </c>
      <c r="J97" s="18">
        <f t="shared" si="21"/>
        <v>279726.66666666669</v>
      </c>
      <c r="K97" s="18">
        <f t="shared" si="21"/>
        <v>542800</v>
      </c>
      <c r="L97" s="18">
        <f t="shared" si="21"/>
        <v>817600</v>
      </c>
      <c r="M97" s="18">
        <f t="shared" ref="M97:N97" si="22">AVERAGE(M14:M16)</f>
        <v>1063833.3333333333</v>
      </c>
      <c r="N97" s="18">
        <f t="shared" si="22"/>
        <v>1097366.6666666667</v>
      </c>
    </row>
    <row r="98" spans="1:17" s="16" customFormat="1" x14ac:dyDescent="0.2">
      <c r="A98" s="15" t="s">
        <v>212</v>
      </c>
      <c r="B98" s="18">
        <f>AVERAGE(B17:B19)</f>
        <v>1152.4000000000001</v>
      </c>
      <c r="C98" s="18">
        <f t="shared" ref="C98:L98" si="23">AVERAGE(C17:C19)</f>
        <v>1457</v>
      </c>
      <c r="D98" s="18">
        <f t="shared" si="23"/>
        <v>2403.6666666666665</v>
      </c>
      <c r="E98" s="18">
        <f t="shared" si="23"/>
        <v>6334.666666666667</v>
      </c>
      <c r="F98" s="18">
        <f t="shared" si="23"/>
        <v>10260.666666666666</v>
      </c>
      <c r="G98" s="18">
        <f t="shared" si="23"/>
        <v>20749.666666666668</v>
      </c>
      <c r="H98" s="18">
        <f t="shared" si="23"/>
        <v>26872.333333333332</v>
      </c>
      <c r="I98" s="18">
        <f t="shared" si="23"/>
        <v>61187</v>
      </c>
      <c r="J98" s="18">
        <f t="shared" si="23"/>
        <v>145086.66666666666</v>
      </c>
      <c r="K98" s="18">
        <f t="shared" si="23"/>
        <v>322973.33333333331</v>
      </c>
      <c r="L98" s="18">
        <f t="shared" si="23"/>
        <v>669680</v>
      </c>
      <c r="M98" s="18">
        <f t="shared" ref="M98:N98" si="24">AVERAGE(M17:M19)</f>
        <v>1010353.3333333334</v>
      </c>
      <c r="N98" s="18">
        <f t="shared" si="24"/>
        <v>1122220</v>
      </c>
    </row>
    <row r="99" spans="1:17" s="16" customFormat="1" x14ac:dyDescent="0.2">
      <c r="A99" s="15" t="s">
        <v>213</v>
      </c>
      <c r="B99" s="18">
        <f>AVERAGE(B20:B22)</f>
        <v>1272.4166666666665</v>
      </c>
      <c r="C99" s="18">
        <f t="shared" ref="C99:L99" si="25">AVERAGE(C20:C22)</f>
        <v>1355.6666666666667</v>
      </c>
      <c r="D99" s="18">
        <f t="shared" si="25"/>
        <v>1894.3333333333333</v>
      </c>
      <c r="E99" s="18">
        <f t="shared" si="25"/>
        <v>2977.6666666666665</v>
      </c>
      <c r="F99" s="18">
        <f t="shared" si="25"/>
        <v>3887.3333333333335</v>
      </c>
      <c r="G99" s="18">
        <f t="shared" si="25"/>
        <v>7361</v>
      </c>
      <c r="H99" s="18">
        <f t="shared" si="25"/>
        <v>10070</v>
      </c>
      <c r="I99" s="18">
        <f t="shared" si="25"/>
        <v>16910.333333333332</v>
      </c>
      <c r="J99" s="18">
        <f t="shared" si="25"/>
        <v>26939</v>
      </c>
      <c r="K99" s="18">
        <f t="shared" si="25"/>
        <v>63428.333333333336</v>
      </c>
      <c r="L99" s="18">
        <f t="shared" si="25"/>
        <v>159300</v>
      </c>
      <c r="M99" s="18">
        <f t="shared" ref="M99:N99" si="26">AVERAGE(M20:M22)</f>
        <v>418486.66666666669</v>
      </c>
      <c r="N99" s="18">
        <f t="shared" si="26"/>
        <v>549760</v>
      </c>
      <c r="O99" s="18">
        <f t="shared" ref="O99:Q99" si="27">AVERAGE(O20:O22)</f>
        <v>718580</v>
      </c>
      <c r="P99" s="18">
        <f t="shared" si="27"/>
        <v>972033.33333333337</v>
      </c>
      <c r="Q99" s="18">
        <f t="shared" si="27"/>
        <v>926553.33333333337</v>
      </c>
    </row>
    <row r="100" spans="1:17" s="16" customFormat="1" x14ac:dyDescent="0.2">
      <c r="A100" s="15" t="s">
        <v>214</v>
      </c>
      <c r="B100" s="18">
        <f>AVERAGE(B23:B25)</f>
        <v>1272.4166666666665</v>
      </c>
      <c r="C100" s="18">
        <f t="shared" ref="C100:L100" si="28">AVERAGE(C23:C25)</f>
        <v>1533.3333333333333</v>
      </c>
      <c r="D100" s="18">
        <f t="shared" si="28"/>
        <v>2169.3333333333335</v>
      </c>
      <c r="E100" s="18">
        <f t="shared" si="28"/>
        <v>2845.6666666666665</v>
      </c>
      <c r="F100" s="18">
        <f t="shared" si="28"/>
        <v>4458.666666666667</v>
      </c>
      <c r="G100" s="18">
        <f t="shared" si="28"/>
        <v>6550.333333333333</v>
      </c>
      <c r="H100" s="18">
        <f t="shared" si="28"/>
        <v>9509.3333333333339</v>
      </c>
      <c r="I100" s="18">
        <f t="shared" si="28"/>
        <v>14887.333333333334</v>
      </c>
      <c r="J100" s="18">
        <f t="shared" si="28"/>
        <v>27884.333333333332</v>
      </c>
      <c r="K100" s="18">
        <f t="shared" si="28"/>
        <v>66180</v>
      </c>
      <c r="L100" s="18">
        <f t="shared" si="28"/>
        <v>150760</v>
      </c>
      <c r="M100" s="18">
        <f t="shared" ref="M100:N100" si="29">AVERAGE(M23:M25)</f>
        <v>333180</v>
      </c>
      <c r="N100" s="18">
        <f t="shared" si="29"/>
        <v>621993.33333333337</v>
      </c>
      <c r="O100" s="18">
        <f t="shared" ref="O100:Q100" si="30">AVERAGE(O23:O25)</f>
        <v>652473.33333333337</v>
      </c>
      <c r="P100" s="18">
        <f t="shared" si="30"/>
        <v>951106.66666666663</v>
      </c>
      <c r="Q100" s="18">
        <f t="shared" si="30"/>
        <v>1026073.3333333334</v>
      </c>
    </row>
    <row r="101" spans="1:17" s="16" customFormat="1" x14ac:dyDescent="0.2">
      <c r="A101" s="15" t="s">
        <v>215</v>
      </c>
      <c r="B101" s="18">
        <f>AVERAGE(B26:B28)</f>
        <v>1272.4166666666665</v>
      </c>
      <c r="C101" s="18">
        <f t="shared" ref="C101:L101" si="31">AVERAGE(C26:C28)</f>
        <v>1582.6666666666667</v>
      </c>
      <c r="D101" s="18">
        <f t="shared" si="31"/>
        <v>2257</v>
      </c>
      <c r="E101" s="18">
        <f t="shared" si="31"/>
        <v>3047.6666666666665</v>
      </c>
      <c r="F101" s="18">
        <f t="shared" si="31"/>
        <v>4694.666666666667</v>
      </c>
      <c r="G101" s="18">
        <f t="shared" si="31"/>
        <v>6610.333333333333</v>
      </c>
      <c r="H101" s="18">
        <f t="shared" si="31"/>
        <v>9779</v>
      </c>
      <c r="I101" s="18">
        <f t="shared" si="31"/>
        <v>16845</v>
      </c>
      <c r="J101" s="18">
        <f t="shared" si="31"/>
        <v>32961</v>
      </c>
      <c r="K101" s="18">
        <f t="shared" si="31"/>
        <v>95270.333333333328</v>
      </c>
      <c r="L101" s="18">
        <f t="shared" si="31"/>
        <v>263046.66666666669</v>
      </c>
      <c r="M101" s="18">
        <f t="shared" ref="M101:N101" si="32">AVERAGE(M26:M28)</f>
        <v>585453.33333333337</v>
      </c>
      <c r="N101" s="18">
        <f t="shared" si="32"/>
        <v>752020</v>
      </c>
      <c r="O101" s="18">
        <f t="shared" ref="O101:Q101" si="33">AVERAGE(O26:O28)</f>
        <v>773986.66666666663</v>
      </c>
      <c r="P101" s="18">
        <f t="shared" si="33"/>
        <v>963880</v>
      </c>
      <c r="Q101" s="18">
        <f t="shared" si="33"/>
        <v>1079406.6666666667</v>
      </c>
    </row>
    <row r="102" spans="1:17" s="16" customFormat="1" x14ac:dyDescent="0.2">
      <c r="A102" s="15" t="s">
        <v>216</v>
      </c>
      <c r="B102" s="18">
        <f>AVERAGE(B29:B31)</f>
        <v>1501.5933333333335</v>
      </c>
      <c r="C102" s="18"/>
      <c r="D102" s="18">
        <f t="shared" ref="D102:L102" si="34">AVERAGE(D29:D31)</f>
        <v>5453</v>
      </c>
      <c r="E102" s="18">
        <f t="shared" si="34"/>
        <v>12208</v>
      </c>
      <c r="F102" s="18">
        <f t="shared" si="34"/>
        <v>13283</v>
      </c>
      <c r="G102" s="18">
        <f t="shared" si="34"/>
        <v>83780</v>
      </c>
      <c r="H102" s="18">
        <f t="shared" si="34"/>
        <v>244813.33333333334</v>
      </c>
      <c r="I102" s="18">
        <f t="shared" si="34"/>
        <v>565666.66666666663</v>
      </c>
      <c r="J102" s="18">
        <f t="shared" si="34"/>
        <v>1126726.6666666667</v>
      </c>
      <c r="K102" s="18">
        <f t="shared" si="34"/>
        <v>1561100</v>
      </c>
      <c r="L102" s="18">
        <f t="shared" si="34"/>
        <v>2036540</v>
      </c>
      <c r="M102" s="18">
        <f>AVERAGE(M29:M31)</f>
        <v>2149440</v>
      </c>
    </row>
    <row r="103" spans="1:17" s="16" customFormat="1" x14ac:dyDescent="0.2">
      <c r="A103" s="15" t="s">
        <v>217</v>
      </c>
      <c r="B103" s="18">
        <f>AVERAGE(B32:B34)</f>
        <v>1501.5933333333335</v>
      </c>
      <c r="C103" s="18"/>
      <c r="D103" s="18">
        <f t="shared" ref="D103:L103" si="35">AVERAGE(D32:D34)</f>
        <v>4650.5</v>
      </c>
      <c r="E103" s="18">
        <f t="shared" si="35"/>
        <v>10786.333333333334</v>
      </c>
      <c r="F103" s="18">
        <f t="shared" si="35"/>
        <v>14094.666666666666</v>
      </c>
      <c r="G103" s="18">
        <f t="shared" si="35"/>
        <v>102886.66666666667</v>
      </c>
      <c r="H103" s="18">
        <f t="shared" si="35"/>
        <v>349153.33333333331</v>
      </c>
      <c r="I103" s="18">
        <f t="shared" si="35"/>
        <v>707660</v>
      </c>
      <c r="J103" s="18">
        <f t="shared" si="35"/>
        <v>1352780</v>
      </c>
      <c r="K103" s="18">
        <f t="shared" si="35"/>
        <v>1620380</v>
      </c>
      <c r="L103" s="18">
        <f t="shared" si="35"/>
        <v>1802540</v>
      </c>
      <c r="M103" s="18">
        <f t="shared" ref="M103" si="36">AVERAGE(M32:M34)</f>
        <v>1659900</v>
      </c>
    </row>
    <row r="104" spans="1:17" s="16" customFormat="1" x14ac:dyDescent="0.2">
      <c r="A104" s="15" t="s">
        <v>218</v>
      </c>
      <c r="B104" s="18">
        <f>AVERAGE(B35:B37)</f>
        <v>1501.5933333333335</v>
      </c>
      <c r="C104" s="18"/>
      <c r="D104" s="18">
        <f t="shared" ref="D104:L104" si="37">AVERAGE(D35:D37)</f>
        <v>5011.5</v>
      </c>
      <c r="E104" s="18">
        <f t="shared" si="37"/>
        <v>11277.333333333334</v>
      </c>
      <c r="F104" s="18">
        <f t="shared" si="37"/>
        <v>12689</v>
      </c>
      <c r="G104" s="18">
        <f t="shared" si="37"/>
        <v>120286.66666666667</v>
      </c>
      <c r="H104" s="18">
        <f t="shared" si="37"/>
        <v>268580</v>
      </c>
      <c r="I104" s="18">
        <f t="shared" si="37"/>
        <v>602960</v>
      </c>
      <c r="J104" s="18">
        <f t="shared" si="37"/>
        <v>1289140</v>
      </c>
      <c r="K104" s="18">
        <f t="shared" si="37"/>
        <v>1708806.6666666667</v>
      </c>
      <c r="L104" s="18">
        <f t="shared" si="37"/>
        <v>2051600</v>
      </c>
      <c r="M104" s="18">
        <f t="shared" ref="M104" si="38">AVERAGE(M35:M37)</f>
        <v>2006220</v>
      </c>
    </row>
    <row r="105" spans="1:17" s="16" customFormat="1" x14ac:dyDescent="0.2">
      <c r="A105" s="15"/>
      <c r="F105" s="19"/>
    </row>
    <row r="106" spans="1:17" s="16" customFormat="1" x14ac:dyDescent="0.2">
      <c r="B106" s="16">
        <v>0</v>
      </c>
      <c r="C106" s="16">
        <v>2</v>
      </c>
      <c r="D106" s="16">
        <v>4</v>
      </c>
      <c r="E106" s="17">
        <v>6</v>
      </c>
      <c r="F106" s="17">
        <v>8</v>
      </c>
      <c r="G106" s="17">
        <v>10</v>
      </c>
      <c r="H106" s="17">
        <v>12</v>
      </c>
      <c r="I106" s="17">
        <v>14</v>
      </c>
      <c r="J106" s="17">
        <v>16</v>
      </c>
      <c r="K106" s="17">
        <v>18</v>
      </c>
      <c r="L106" s="17">
        <v>20</v>
      </c>
      <c r="M106" s="17">
        <v>22</v>
      </c>
      <c r="N106" s="17">
        <v>24</v>
      </c>
      <c r="O106" s="17">
        <v>26</v>
      </c>
      <c r="P106" s="17">
        <v>28</v>
      </c>
      <c r="Q106" s="17">
        <v>30</v>
      </c>
    </row>
    <row r="107" spans="1:17" s="16" customFormat="1" x14ac:dyDescent="0.2">
      <c r="A107" s="15" t="s">
        <v>269</v>
      </c>
      <c r="B107" s="18">
        <f>AVERAGE(B93:B95)</f>
        <v>1152.4000000000001</v>
      </c>
      <c r="C107" s="18">
        <f t="shared" ref="C107:L107" si="39">AVERAGE(C93:C95)</f>
        <v>1411.3333333333333</v>
      </c>
      <c r="D107" s="18">
        <f t="shared" si="39"/>
        <v>2044.7777777777776</v>
      </c>
      <c r="E107" s="18">
        <f t="shared" si="39"/>
        <v>2474.6666666666665</v>
      </c>
      <c r="F107" s="18">
        <f t="shared" si="39"/>
        <v>2744.3333333333335</v>
      </c>
      <c r="G107" s="18">
        <f t="shared" si="39"/>
        <v>2821.6666666666665</v>
      </c>
      <c r="H107" s="18">
        <f t="shared" si="39"/>
        <v>2763.5555555555561</v>
      </c>
      <c r="I107" s="18">
        <f t="shared" si="39"/>
        <v>2730</v>
      </c>
      <c r="J107" s="18">
        <f t="shared" si="39"/>
        <v>2606.7777777777774</v>
      </c>
      <c r="K107" s="18">
        <f t="shared" si="39"/>
        <v>2374.5555555555552</v>
      </c>
      <c r="L107" s="18">
        <f t="shared" si="39"/>
        <v>2438</v>
      </c>
      <c r="M107" s="18"/>
      <c r="N107" s="18"/>
      <c r="O107" s="18"/>
      <c r="P107" s="18"/>
      <c r="Q107" s="18"/>
    </row>
    <row r="108" spans="1:17" s="16" customFormat="1" x14ac:dyDescent="0.2">
      <c r="A108" s="15" t="s">
        <v>270</v>
      </c>
      <c r="B108" s="18">
        <f>STDEV(B93:B95)</f>
        <v>0</v>
      </c>
      <c r="C108" s="18">
        <f t="shared" ref="C108:L108" si="40">STDEV(C93:C95)</f>
        <v>174.57981301144608</v>
      </c>
      <c r="D108" s="18">
        <f t="shared" si="40"/>
        <v>354.63914889070878</v>
      </c>
      <c r="E108" s="18">
        <f t="shared" si="40"/>
        <v>346.25440229852956</v>
      </c>
      <c r="F108" s="18">
        <f t="shared" si="40"/>
        <v>303.28058149362482</v>
      </c>
      <c r="G108" s="18">
        <f t="shared" si="40"/>
        <v>314.0659874046288</v>
      </c>
      <c r="H108" s="18">
        <f t="shared" si="40"/>
        <v>331.36658675070839</v>
      </c>
      <c r="I108" s="18">
        <f t="shared" si="40"/>
        <v>388.10608515370137</v>
      </c>
      <c r="J108" s="18">
        <f t="shared" si="40"/>
        <v>324.25201675606144</v>
      </c>
      <c r="K108" s="18">
        <f t="shared" si="40"/>
        <v>416.35779663027245</v>
      </c>
      <c r="L108" s="18">
        <f t="shared" si="40"/>
        <v>448.61824899722461</v>
      </c>
      <c r="M108" s="18"/>
      <c r="N108" s="18"/>
      <c r="O108" s="18"/>
      <c r="P108" s="18"/>
      <c r="Q108" s="18"/>
    </row>
    <row r="109" spans="1:17" s="16" customFormat="1" x14ac:dyDescent="0.2">
      <c r="A109" s="15" t="s">
        <v>271</v>
      </c>
      <c r="B109" s="18">
        <f>AVERAGE(B99:B101)</f>
        <v>1272.4166666666665</v>
      </c>
      <c r="C109" s="18">
        <f t="shared" ref="C109:M109" si="41">AVERAGE(C99:C101)</f>
        <v>1490.5555555555557</v>
      </c>
      <c r="D109" s="18">
        <f t="shared" si="41"/>
        <v>2106.8888888888891</v>
      </c>
      <c r="E109" s="18">
        <f t="shared" si="41"/>
        <v>2957</v>
      </c>
      <c r="F109" s="18">
        <f t="shared" si="41"/>
        <v>4346.8888888888896</v>
      </c>
      <c r="G109" s="18">
        <f t="shared" si="41"/>
        <v>6840.5555555555547</v>
      </c>
      <c r="H109" s="18">
        <f t="shared" si="41"/>
        <v>9786.1111111111113</v>
      </c>
      <c r="I109" s="18">
        <f t="shared" si="41"/>
        <v>16214.222222222221</v>
      </c>
      <c r="J109" s="18">
        <f t="shared" si="41"/>
        <v>29261.444444444442</v>
      </c>
      <c r="K109" s="18">
        <f t="shared" si="41"/>
        <v>74959.555555555562</v>
      </c>
      <c r="L109" s="18">
        <f t="shared" si="41"/>
        <v>191035.55555555559</v>
      </c>
      <c r="M109" s="18">
        <f t="shared" si="41"/>
        <v>445706.66666666669</v>
      </c>
      <c r="N109" s="18">
        <f>AVERAGE(N99:N101)</f>
        <v>641257.77777777787</v>
      </c>
      <c r="O109" s="18">
        <f>AVERAGE(O99:O101)</f>
        <v>715013.33333333337</v>
      </c>
      <c r="P109" s="18">
        <f>AVERAGE(P99:P101)</f>
        <v>962340</v>
      </c>
      <c r="Q109" s="18">
        <f>AVERAGE(Q99:Q101)</f>
        <v>1010677.7777777779</v>
      </c>
    </row>
    <row r="110" spans="1:17" s="16" customFormat="1" x14ac:dyDescent="0.2">
      <c r="A110" s="15" t="s">
        <v>270</v>
      </c>
      <c r="B110" s="18">
        <f>STDEV(B99:B101)</f>
        <v>0</v>
      </c>
      <c r="C110" s="18">
        <f t="shared" ref="C110:P110" si="42">STDEV(C99:C101)</f>
        <v>119.39306388439698</v>
      </c>
      <c r="D110" s="18">
        <f t="shared" si="42"/>
        <v>189.22541916787841</v>
      </c>
      <c r="E110" s="18">
        <f t="shared" si="42"/>
        <v>102.5735508468598</v>
      </c>
      <c r="F110" s="18">
        <f t="shared" si="42"/>
        <v>415.111408517619</v>
      </c>
      <c r="G110" s="18">
        <f t="shared" si="42"/>
        <v>451.71541352361993</v>
      </c>
      <c r="H110" s="18">
        <f t="shared" si="42"/>
        <v>280.40096951277388</v>
      </c>
      <c r="I110" s="18">
        <f t="shared" si="42"/>
        <v>1149.5837088719124</v>
      </c>
      <c r="J110" s="18">
        <f t="shared" si="42"/>
        <v>3238.5872319978139</v>
      </c>
      <c r="K110" s="18">
        <f t="shared" si="42"/>
        <v>17643.375182056629</v>
      </c>
      <c r="L110" s="18">
        <f t="shared" si="42"/>
        <v>62509.463224319748</v>
      </c>
      <c r="M110" s="18">
        <f t="shared" si="42"/>
        <v>128320.5165894284</v>
      </c>
      <c r="N110" s="18">
        <f>STDEV(N99:N101)</f>
        <v>102496.90734268374</v>
      </c>
      <c r="O110" s="18">
        <f>STDEV(O99:O101)</f>
        <v>60835.132758774947</v>
      </c>
      <c r="P110" s="18">
        <f t="shared" si="42"/>
        <v>10547.987696449274</v>
      </c>
      <c r="Q110" s="18">
        <f>STDEV(Q99:Q101)</f>
        <v>77580.94305901372</v>
      </c>
    </row>
    <row r="111" spans="1:17" s="16" customFormat="1" x14ac:dyDescent="0.2">
      <c r="A111" s="15" t="s">
        <v>272</v>
      </c>
      <c r="B111" s="18">
        <f>AVERAGE(B96:B98)</f>
        <v>1152.4000000000001</v>
      </c>
      <c r="C111" s="18">
        <f t="shared" ref="C111:M111" si="43">AVERAGE(C96:C98)</f>
        <v>1467.2222222222224</v>
      </c>
      <c r="D111" s="18">
        <f t="shared" si="43"/>
        <v>3288.6666666666665</v>
      </c>
      <c r="E111" s="18">
        <f t="shared" si="43"/>
        <v>6036.5555555555557</v>
      </c>
      <c r="F111" s="18">
        <f t="shared" si="43"/>
        <v>10657.111111111109</v>
      </c>
      <c r="G111" s="18">
        <f t="shared" si="43"/>
        <v>21165.111111111113</v>
      </c>
      <c r="H111" s="18">
        <f t="shared" si="43"/>
        <v>36628.222222222226</v>
      </c>
      <c r="I111" s="18">
        <f t="shared" si="43"/>
        <v>85910.222222222219</v>
      </c>
      <c r="J111" s="18">
        <f t="shared" si="43"/>
        <v>224891.11111111112</v>
      </c>
      <c r="K111" s="18">
        <f t="shared" si="43"/>
        <v>478348.88888888893</v>
      </c>
      <c r="L111" s="18">
        <f t="shared" si="43"/>
        <v>791864.4444444445</v>
      </c>
      <c r="M111" s="18">
        <f t="shared" si="43"/>
        <v>1069144.4444444445</v>
      </c>
      <c r="N111" s="18">
        <f>AVERAGE(N96:N98)</f>
        <v>1102984.4444444445</v>
      </c>
      <c r="O111" s="18"/>
      <c r="P111" s="18"/>
      <c r="Q111" s="18"/>
    </row>
    <row r="112" spans="1:17" s="16" customFormat="1" x14ac:dyDescent="0.2">
      <c r="A112" s="15" t="s">
        <v>270</v>
      </c>
      <c r="B112" s="18">
        <f>STDEV(B96:B98)</f>
        <v>0</v>
      </c>
      <c r="C112" s="18">
        <f t="shared" ref="C112:N112" si="44">STDEV(C96:C98)</f>
        <v>47.171476001373456</v>
      </c>
      <c r="D112" s="18">
        <f t="shared" si="44"/>
        <v>825.81777651004711</v>
      </c>
      <c r="E112" s="18">
        <f t="shared" si="44"/>
        <v>294.24599182266508</v>
      </c>
      <c r="F112" s="18">
        <f t="shared" si="44"/>
        <v>740.11818375576104</v>
      </c>
      <c r="G112" s="18">
        <f t="shared" si="44"/>
        <v>934.22530790271605</v>
      </c>
      <c r="H112" s="18">
        <f t="shared" si="44"/>
        <v>8450.8112453008835</v>
      </c>
      <c r="I112" s="18">
        <f t="shared" si="44"/>
        <v>21544.417328789259</v>
      </c>
      <c r="J112" s="18">
        <f t="shared" si="44"/>
        <v>70707.612456221876</v>
      </c>
      <c r="K112" s="18">
        <f t="shared" si="44"/>
        <v>135208.66019820125</v>
      </c>
      <c r="L112" s="18">
        <f t="shared" si="44"/>
        <v>111565.55349177407</v>
      </c>
      <c r="M112" s="18">
        <f t="shared" si="44"/>
        <v>61618.574881040324</v>
      </c>
      <c r="N112" s="18">
        <f t="shared" si="44"/>
        <v>17131.986112186369</v>
      </c>
      <c r="O112" s="18"/>
      <c r="P112" s="18"/>
      <c r="Q112" s="18"/>
    </row>
    <row r="113" spans="1:17" s="16" customFormat="1" x14ac:dyDescent="0.2">
      <c r="A113" s="15" t="s">
        <v>273</v>
      </c>
      <c r="B113" s="18">
        <f>AVERAGE(B102:B104)</f>
        <v>1501.5933333333335</v>
      </c>
      <c r="C113" s="18"/>
      <c r="D113" s="18">
        <f t="shared" ref="D113:M113" si="45">AVERAGE(D102:D104)</f>
        <v>5038.333333333333</v>
      </c>
      <c r="E113" s="18">
        <f t="shared" si="45"/>
        <v>11423.888888888891</v>
      </c>
      <c r="F113" s="18">
        <f t="shared" si="45"/>
        <v>13355.555555555555</v>
      </c>
      <c r="G113" s="18">
        <f t="shared" si="45"/>
        <v>102317.7777777778</v>
      </c>
      <c r="H113" s="18">
        <f t="shared" si="45"/>
        <v>287515.55555555556</v>
      </c>
      <c r="I113" s="18">
        <f t="shared" si="45"/>
        <v>625428.88888888888</v>
      </c>
      <c r="J113" s="18">
        <f t="shared" si="45"/>
        <v>1256215.5555555557</v>
      </c>
      <c r="K113" s="18">
        <f t="shared" si="45"/>
        <v>1630095.5555555557</v>
      </c>
      <c r="L113" s="18">
        <f t="shared" si="45"/>
        <v>1963560</v>
      </c>
      <c r="M113" s="18">
        <f t="shared" si="45"/>
        <v>1938520</v>
      </c>
      <c r="N113" s="18"/>
      <c r="O113" s="18"/>
      <c r="P113" s="18"/>
      <c r="Q113" s="18"/>
    </row>
    <row r="114" spans="1:17" s="16" customFormat="1" x14ac:dyDescent="0.2">
      <c r="A114" s="15" t="s">
        <v>270</v>
      </c>
      <c r="B114" s="18">
        <f>STDEV(B102:B104)</f>
        <v>0</v>
      </c>
      <c r="C114" s="18"/>
      <c r="D114" s="18">
        <f t="shared" ref="D114:M114" si="46">STDEV(D102:D104)</f>
        <v>401.92235983250958</v>
      </c>
      <c r="E114" s="18">
        <f t="shared" si="46"/>
        <v>722.07542952653182</v>
      </c>
      <c r="F114" s="18">
        <f t="shared" si="46"/>
        <v>705.63653953428854</v>
      </c>
      <c r="G114" s="18">
        <f t="shared" si="46"/>
        <v>18259.980933826275</v>
      </c>
      <c r="H114" s="18">
        <f t="shared" si="46"/>
        <v>54686.610318689047</v>
      </c>
      <c r="I114" s="18">
        <f t="shared" si="46"/>
        <v>73614.9774414399</v>
      </c>
      <c r="J114" s="18">
        <f t="shared" si="46"/>
        <v>116567.75565849782</v>
      </c>
      <c r="K114" s="18">
        <f t="shared" si="46"/>
        <v>74331.075999606415</v>
      </c>
      <c r="L114" s="18">
        <f t="shared" si="46"/>
        <v>139650.56820507391</v>
      </c>
      <c r="M114" s="18">
        <f t="shared" si="46"/>
        <v>251693.90219073644</v>
      </c>
      <c r="N114" s="18"/>
      <c r="O114" s="18"/>
      <c r="P114" s="18"/>
      <c r="Q114" s="18"/>
    </row>
    <row r="115" spans="1:17" x14ac:dyDescent="0.2">
      <c r="B115" s="5"/>
    </row>
    <row r="116" spans="1:17" x14ac:dyDescent="0.2">
      <c r="B116" s="5"/>
    </row>
    <row r="117" spans="1:17" x14ac:dyDescent="0.2">
      <c r="B117" s="4"/>
      <c r="C117" s="4" t="s">
        <v>269</v>
      </c>
      <c r="D117" s="4" t="s">
        <v>270</v>
      </c>
      <c r="E117" s="4" t="s">
        <v>271</v>
      </c>
      <c r="F117" s="4" t="s">
        <v>270</v>
      </c>
      <c r="G117" s="4" t="s">
        <v>272</v>
      </c>
      <c r="H117" s="4" t="s">
        <v>270</v>
      </c>
      <c r="I117" s="4" t="s">
        <v>273</v>
      </c>
      <c r="J117" s="4" t="s">
        <v>270</v>
      </c>
    </row>
    <row r="118" spans="1:17" x14ac:dyDescent="0.2">
      <c r="B118" s="5">
        <v>0</v>
      </c>
      <c r="C118" s="5">
        <v>1152.4000000000001</v>
      </c>
      <c r="D118" s="5">
        <v>0</v>
      </c>
      <c r="E118" s="5">
        <v>1272.4166666666665</v>
      </c>
      <c r="F118" s="5">
        <v>0</v>
      </c>
      <c r="G118" s="5">
        <v>1152.4000000000001</v>
      </c>
      <c r="H118" s="5">
        <v>0</v>
      </c>
      <c r="I118" s="5">
        <v>1501.5933333333335</v>
      </c>
      <c r="J118" s="5">
        <v>0</v>
      </c>
    </row>
    <row r="119" spans="1:17" x14ac:dyDescent="0.2">
      <c r="B119" s="6">
        <v>2</v>
      </c>
      <c r="C119" s="5">
        <v>1411.3333333333333</v>
      </c>
      <c r="D119" s="5">
        <v>174.57981301144608</v>
      </c>
      <c r="E119" s="5">
        <v>1490.5555555555557</v>
      </c>
      <c r="F119" s="5">
        <v>119.39306388439698</v>
      </c>
      <c r="G119" s="5">
        <v>1467.2222222222224</v>
      </c>
      <c r="H119" s="5">
        <v>47.171476001373456</v>
      </c>
      <c r="I119" s="5"/>
      <c r="J119" s="5"/>
    </row>
    <row r="120" spans="1:17" x14ac:dyDescent="0.2">
      <c r="B120" s="6">
        <v>4</v>
      </c>
      <c r="C120" s="5">
        <v>2044.7777777777776</v>
      </c>
      <c r="D120" s="5">
        <v>354.63914889070878</v>
      </c>
      <c r="E120" s="5">
        <v>2106.8888888888891</v>
      </c>
      <c r="F120" s="5">
        <v>189.22541916787841</v>
      </c>
      <c r="G120" s="5">
        <v>3288.6666666666665</v>
      </c>
      <c r="H120" s="5">
        <v>825.81777651004711</v>
      </c>
      <c r="I120" s="5">
        <v>5038.333333333333</v>
      </c>
      <c r="J120" s="5">
        <v>401.92235983250958</v>
      </c>
    </row>
    <row r="121" spans="1:17" x14ac:dyDescent="0.2">
      <c r="B121" s="6">
        <v>6</v>
      </c>
      <c r="C121" s="5">
        <v>2474.6666666666665</v>
      </c>
      <c r="D121" s="5">
        <v>346.25440229852956</v>
      </c>
      <c r="E121" s="5">
        <v>2957</v>
      </c>
      <c r="F121" s="5">
        <v>102.5735508468598</v>
      </c>
      <c r="G121" s="5">
        <v>6036.5555555555557</v>
      </c>
      <c r="H121" s="5">
        <v>294.24599182266508</v>
      </c>
      <c r="I121" s="5">
        <v>11423.888888888891</v>
      </c>
      <c r="J121" s="5">
        <v>722.07542952653182</v>
      </c>
    </row>
    <row r="122" spans="1:17" x14ac:dyDescent="0.2">
      <c r="B122" s="5">
        <v>8</v>
      </c>
      <c r="C122" s="5">
        <v>2744.3333333333335</v>
      </c>
      <c r="D122" s="5">
        <v>303.28058149362482</v>
      </c>
      <c r="E122" s="5">
        <v>4346.8888888888896</v>
      </c>
      <c r="F122" s="5">
        <v>415.111408517619</v>
      </c>
      <c r="G122" s="5">
        <v>10657.111111111109</v>
      </c>
      <c r="H122" s="5">
        <v>740.11818375576104</v>
      </c>
      <c r="I122" s="5">
        <v>13355.555555555555</v>
      </c>
      <c r="J122" s="5">
        <v>705.63653953428854</v>
      </c>
    </row>
    <row r="123" spans="1:17" x14ac:dyDescent="0.2">
      <c r="B123" s="6">
        <v>10</v>
      </c>
      <c r="C123" s="5">
        <v>2821.6666666666665</v>
      </c>
      <c r="D123" s="5">
        <v>314.0659874046288</v>
      </c>
      <c r="E123" s="5">
        <v>6840.5555555555547</v>
      </c>
      <c r="F123" s="5">
        <v>451.71541352361993</v>
      </c>
      <c r="G123" s="5">
        <v>21165.111111111113</v>
      </c>
      <c r="H123" s="5">
        <v>934.22530790271605</v>
      </c>
      <c r="I123" s="5">
        <v>102317.7777777778</v>
      </c>
      <c r="J123" s="5">
        <v>18259.980933826275</v>
      </c>
    </row>
    <row r="124" spans="1:17" x14ac:dyDescent="0.2">
      <c r="B124" s="6">
        <v>12</v>
      </c>
      <c r="C124" s="5">
        <v>2763.5555555555561</v>
      </c>
      <c r="D124" s="5">
        <v>331.36658675070839</v>
      </c>
      <c r="E124" s="5">
        <v>9786.1111111111113</v>
      </c>
      <c r="F124" s="5">
        <v>280.40096951277388</v>
      </c>
      <c r="G124" s="5">
        <v>36628.222222222226</v>
      </c>
      <c r="H124" s="5">
        <v>8450.8112453008835</v>
      </c>
      <c r="I124" s="5">
        <v>287515.55555555556</v>
      </c>
      <c r="J124" s="5">
        <v>54686.610318689047</v>
      </c>
    </row>
    <row r="125" spans="1:17" x14ac:dyDescent="0.2">
      <c r="B125" s="6">
        <v>14</v>
      </c>
      <c r="C125" s="5">
        <v>2730</v>
      </c>
      <c r="D125" s="5">
        <v>388.10608515370137</v>
      </c>
      <c r="E125" s="5">
        <v>16214.222222222221</v>
      </c>
      <c r="F125" s="5">
        <v>1149.5837088719124</v>
      </c>
      <c r="G125" s="5">
        <v>85910.222222222219</v>
      </c>
      <c r="H125" s="5">
        <v>21544.417328789259</v>
      </c>
      <c r="I125" s="5">
        <v>625428.88888888888</v>
      </c>
      <c r="J125" s="5">
        <v>73614.9774414399</v>
      </c>
    </row>
    <row r="126" spans="1:17" x14ac:dyDescent="0.2">
      <c r="B126" s="6">
        <v>16</v>
      </c>
      <c r="C126" s="5">
        <v>2606.7777777777774</v>
      </c>
      <c r="D126" s="5">
        <v>324.25201675606144</v>
      </c>
      <c r="E126" s="5">
        <v>29261.444444444442</v>
      </c>
      <c r="F126" s="5">
        <v>3238.5872319978139</v>
      </c>
      <c r="G126" s="5">
        <v>224891.11111111112</v>
      </c>
      <c r="H126" s="5">
        <v>70707.612456221876</v>
      </c>
      <c r="I126" s="5">
        <v>1256215.5555555557</v>
      </c>
      <c r="J126" s="5">
        <v>116567.75565849782</v>
      </c>
    </row>
    <row r="127" spans="1:17" x14ac:dyDescent="0.2">
      <c r="B127" s="6">
        <v>18</v>
      </c>
      <c r="C127" s="5">
        <v>2374.5555555555552</v>
      </c>
      <c r="D127" s="5">
        <v>416.35779663027245</v>
      </c>
      <c r="E127" s="5">
        <v>74959.555555555562</v>
      </c>
      <c r="F127" s="5">
        <v>17643.375182056629</v>
      </c>
      <c r="G127" s="5">
        <v>478348.88888888893</v>
      </c>
      <c r="H127" s="5">
        <v>135208.66019820125</v>
      </c>
      <c r="I127" s="5">
        <v>1630095.5555555557</v>
      </c>
      <c r="J127" s="5">
        <v>74331.075999606415</v>
      </c>
    </row>
    <row r="128" spans="1:17" x14ac:dyDescent="0.2">
      <c r="B128" s="6">
        <v>20</v>
      </c>
      <c r="C128" s="5">
        <v>2438</v>
      </c>
      <c r="D128" s="5">
        <v>448.61824899722461</v>
      </c>
      <c r="E128" s="5">
        <v>191035.55555555559</v>
      </c>
      <c r="F128" s="5">
        <v>62509.463224319748</v>
      </c>
      <c r="G128" s="5">
        <v>791864.4444444445</v>
      </c>
      <c r="H128" s="5">
        <v>111565.55349177407</v>
      </c>
      <c r="I128" s="5">
        <v>1963560</v>
      </c>
      <c r="J128" s="5">
        <v>139650.56820507391</v>
      </c>
    </row>
    <row r="129" spans="2:10" x14ac:dyDescent="0.2">
      <c r="B129" s="6">
        <v>22</v>
      </c>
      <c r="C129" s="5"/>
      <c r="D129" s="5"/>
      <c r="E129" s="5">
        <v>445706.66666666669</v>
      </c>
      <c r="F129" s="5">
        <v>128320.5165894284</v>
      </c>
      <c r="G129" s="5">
        <v>1069144.4444444445</v>
      </c>
      <c r="H129" s="5">
        <v>61618.574881040324</v>
      </c>
      <c r="I129" s="5">
        <v>1938520</v>
      </c>
      <c r="J129" s="5">
        <v>251693.90219073644</v>
      </c>
    </row>
    <row r="130" spans="2:10" x14ac:dyDescent="0.2">
      <c r="B130" s="6">
        <v>24</v>
      </c>
      <c r="C130" s="5"/>
      <c r="D130" s="5"/>
      <c r="E130" s="5">
        <v>641257.77777777787</v>
      </c>
      <c r="F130" s="5">
        <v>102496.90734268374</v>
      </c>
      <c r="G130" s="5">
        <v>1102984.4444444445</v>
      </c>
      <c r="H130" s="5">
        <v>17131.986112186369</v>
      </c>
      <c r="I130" s="5"/>
      <c r="J130" s="5"/>
    </row>
    <row r="131" spans="2:10" x14ac:dyDescent="0.2">
      <c r="B131" s="6">
        <v>26</v>
      </c>
      <c r="C131" s="5"/>
      <c r="D131" s="5"/>
      <c r="E131" s="5">
        <v>715013.33333333337</v>
      </c>
      <c r="F131" s="5">
        <v>60835.132758774947</v>
      </c>
      <c r="G131" s="5"/>
      <c r="H131" s="5"/>
      <c r="I131" s="5"/>
      <c r="J131" s="5"/>
    </row>
    <row r="132" spans="2:10" x14ac:dyDescent="0.2">
      <c r="B132" s="6">
        <v>28</v>
      </c>
      <c r="C132" s="5"/>
      <c r="D132" s="5"/>
      <c r="E132" s="5">
        <v>962340</v>
      </c>
      <c r="F132" s="5">
        <v>10547.987696449274</v>
      </c>
      <c r="G132" s="5"/>
      <c r="H132" s="5"/>
      <c r="I132" s="5"/>
      <c r="J132" s="5"/>
    </row>
    <row r="133" spans="2:10" x14ac:dyDescent="0.2">
      <c r="B133" s="6">
        <v>30</v>
      </c>
      <c r="C133" s="5"/>
      <c r="D133" s="5"/>
      <c r="E133" s="5">
        <v>1010677.7777777779</v>
      </c>
      <c r="F133" s="5">
        <v>77580.94305901372</v>
      </c>
      <c r="G133" s="5"/>
      <c r="H133" s="5"/>
      <c r="I133" s="5"/>
      <c r="J133" s="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D137"/>
  <sheetViews>
    <sheetView topLeftCell="M66" zoomScale="80" zoomScaleNormal="80" zoomScalePageLayoutView="80" workbookViewId="0">
      <selection activeCell="AA78" sqref="AA78:AD78"/>
    </sheetView>
  </sheetViews>
  <sheetFormatPr baseColWidth="10" defaultColWidth="12.5" defaultRowHeight="15" x14ac:dyDescent="0.2"/>
  <cols>
    <col min="1" max="1" width="18.5" style="4" customWidth="1"/>
    <col min="2" max="2" width="18.5" style="6" customWidth="1"/>
    <col min="3" max="3" width="18.6640625" style="6" customWidth="1"/>
    <col min="4" max="4" width="15.5" style="6" customWidth="1"/>
    <col min="5" max="5" width="16.6640625" style="6" customWidth="1"/>
    <col min="6" max="6" width="15.33203125" style="7" customWidth="1"/>
    <col min="7" max="7" width="14.83203125" style="6" bestFit="1" customWidth="1"/>
    <col min="8" max="8" width="13.5" style="6" bestFit="1" customWidth="1"/>
    <col min="9" max="9" width="14.83203125" style="6" bestFit="1" customWidth="1"/>
    <col min="10" max="10" width="13.5" style="6" bestFit="1" customWidth="1"/>
    <col min="11" max="16384" width="12.5" style="6"/>
  </cols>
  <sheetData>
    <row r="1" spans="1:26" s="2" customFormat="1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x14ac:dyDescent="0.2">
      <c r="A2" s="4" t="s">
        <v>44</v>
      </c>
      <c r="B2" s="5">
        <f>([1]innoculationdensity!$D$5*2.5)/1000</f>
        <v>1242.4833333333336</v>
      </c>
      <c r="C2" s="6">
        <v>1338</v>
      </c>
      <c r="D2" s="6">
        <v>1589</v>
      </c>
      <c r="E2" s="6">
        <v>2264</v>
      </c>
      <c r="F2" s="7">
        <v>2144</v>
      </c>
      <c r="G2" s="6">
        <v>2678</v>
      </c>
      <c r="H2" s="6">
        <v>2707</v>
      </c>
      <c r="I2" s="6">
        <v>2969</v>
      </c>
      <c r="J2" s="6">
        <v>2981</v>
      </c>
      <c r="K2" s="6">
        <v>3005</v>
      </c>
      <c r="L2" s="6">
        <v>2898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">
      <c r="A3" s="4" t="s">
        <v>45</v>
      </c>
      <c r="B3" s="5">
        <f>([1]innoculationdensity!$D$5*2.5)/1000</f>
        <v>1242.4833333333336</v>
      </c>
      <c r="C3" s="6">
        <v>1272</v>
      </c>
      <c r="D3" s="6">
        <v>1519</v>
      </c>
      <c r="E3" s="6">
        <v>2260</v>
      </c>
      <c r="F3" s="7">
        <v>2183</v>
      </c>
      <c r="G3" s="6">
        <v>2569</v>
      </c>
      <c r="H3" s="6">
        <v>2604</v>
      </c>
      <c r="I3" s="6">
        <v>2801</v>
      </c>
      <c r="J3" s="6">
        <v>2853</v>
      </c>
      <c r="K3" s="6">
        <v>2934</v>
      </c>
      <c r="L3" s="6">
        <v>3164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">
      <c r="A4" s="4" t="s">
        <v>46</v>
      </c>
      <c r="B4" s="5">
        <f>([1]innoculationdensity!$D$5*2.5)/1000</f>
        <v>1242.4833333333336</v>
      </c>
      <c r="C4" s="6">
        <v>1216</v>
      </c>
      <c r="D4" s="6">
        <v>1541</v>
      </c>
      <c r="E4" s="6">
        <v>2168</v>
      </c>
      <c r="F4" s="7">
        <v>2142</v>
      </c>
      <c r="G4" s="6">
        <v>2663</v>
      </c>
      <c r="H4" s="6">
        <v>2636</v>
      </c>
      <c r="I4" s="6">
        <v>2737</v>
      </c>
      <c r="J4" s="6">
        <v>2951</v>
      </c>
      <c r="K4" s="6">
        <v>2880</v>
      </c>
      <c r="L4" s="6">
        <v>3143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">
      <c r="A5" s="4" t="s">
        <v>47</v>
      </c>
      <c r="B5" s="5">
        <f>([1]innoculationdensity!$D$5*2.5)/1000</f>
        <v>1242.4833333333336</v>
      </c>
      <c r="C5" s="6">
        <v>1235</v>
      </c>
      <c r="D5" s="6">
        <v>1517</v>
      </c>
      <c r="E5" s="6">
        <v>2049</v>
      </c>
      <c r="F5" s="7">
        <v>2053</v>
      </c>
      <c r="G5" s="6">
        <v>2610</v>
      </c>
      <c r="H5" s="6">
        <v>2526</v>
      </c>
      <c r="I5" s="6">
        <v>2492</v>
      </c>
      <c r="J5" s="6">
        <v>2622</v>
      </c>
      <c r="K5" s="6">
        <v>2542</v>
      </c>
      <c r="L5" s="6">
        <v>2425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">
      <c r="A6" s="4" t="s">
        <v>48</v>
      </c>
      <c r="B6" s="5">
        <f>([1]innoculationdensity!$D$5*2.5)/1000</f>
        <v>1242.4833333333336</v>
      </c>
      <c r="C6" s="6">
        <v>1175</v>
      </c>
      <c r="D6" s="6">
        <v>1514</v>
      </c>
      <c r="E6" s="6">
        <v>1997</v>
      </c>
      <c r="F6" s="7">
        <v>2061</v>
      </c>
      <c r="G6" s="6">
        <v>2599</v>
      </c>
      <c r="H6" s="6">
        <v>2508</v>
      </c>
      <c r="I6" s="6">
        <v>2563</v>
      </c>
      <c r="J6" s="6">
        <v>2631</v>
      </c>
      <c r="K6" s="6">
        <v>2536</v>
      </c>
      <c r="L6" s="6">
        <v>2455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">
      <c r="A7" s="4" t="s">
        <v>49</v>
      </c>
      <c r="B7" s="5">
        <f>([1]innoculationdensity!$D$5*2.5)/1000</f>
        <v>1242.4833333333336</v>
      </c>
      <c r="C7" s="6">
        <v>1180</v>
      </c>
      <c r="D7" s="6">
        <v>1505</v>
      </c>
      <c r="E7" s="6">
        <v>2005</v>
      </c>
      <c r="F7" s="7">
        <v>2063</v>
      </c>
      <c r="G7" s="6">
        <v>2500</v>
      </c>
      <c r="H7" s="6">
        <v>2511</v>
      </c>
      <c r="I7" s="6">
        <v>2597</v>
      </c>
      <c r="J7" s="6">
        <v>2650</v>
      </c>
      <c r="K7" s="6">
        <v>2450</v>
      </c>
      <c r="L7" s="6">
        <v>2411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">
      <c r="A8" s="4" t="s">
        <v>50</v>
      </c>
      <c r="B8" s="5">
        <f>([1]innoculationdensity!$D$5*2.5)/1000</f>
        <v>1242.4833333333336</v>
      </c>
      <c r="C8" s="6">
        <v>1180</v>
      </c>
      <c r="D8" s="6">
        <v>1555</v>
      </c>
      <c r="E8" s="6">
        <v>2161</v>
      </c>
      <c r="F8" s="7">
        <v>1965</v>
      </c>
      <c r="G8" s="6">
        <v>2462</v>
      </c>
      <c r="H8" s="6">
        <v>2454</v>
      </c>
      <c r="I8" s="6">
        <v>2434</v>
      </c>
      <c r="J8" s="6">
        <v>2480</v>
      </c>
      <c r="K8" s="6">
        <v>2318</v>
      </c>
      <c r="L8" s="6">
        <v>2311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">
      <c r="A9" s="4" t="s">
        <v>51</v>
      </c>
      <c r="B9" s="5">
        <f>([1]innoculationdensity!$D$5*2.5)/1000</f>
        <v>1242.4833333333336</v>
      </c>
      <c r="C9" s="6">
        <v>1168</v>
      </c>
      <c r="D9" s="6">
        <v>1427</v>
      </c>
      <c r="E9" s="6">
        <v>2155</v>
      </c>
      <c r="F9" s="7">
        <v>2067</v>
      </c>
      <c r="G9" s="6">
        <v>2420</v>
      </c>
      <c r="H9" s="6">
        <v>2366</v>
      </c>
      <c r="I9" s="6">
        <v>2473</v>
      </c>
      <c r="J9" s="6">
        <v>2507</v>
      </c>
      <c r="K9" s="6">
        <v>2435</v>
      </c>
      <c r="L9" s="6">
        <v>2366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">
      <c r="A10" s="4" t="s">
        <v>52</v>
      </c>
      <c r="B10" s="5">
        <f>([1]innoculationdensity!$D$5*2.5)/1000</f>
        <v>1242.4833333333336</v>
      </c>
      <c r="C10" s="6">
        <v>1209</v>
      </c>
      <c r="D10" s="6">
        <v>1511</v>
      </c>
      <c r="E10" s="6">
        <v>2203</v>
      </c>
      <c r="F10" s="7">
        <v>1932</v>
      </c>
      <c r="G10" s="6">
        <v>2462</v>
      </c>
      <c r="H10" s="6">
        <v>2316</v>
      </c>
      <c r="I10" s="6">
        <v>2484</v>
      </c>
      <c r="J10" s="6">
        <v>2509</v>
      </c>
      <c r="K10" s="6">
        <v>2297</v>
      </c>
      <c r="L10" s="6">
        <v>2291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">
      <c r="A11" s="4" t="s">
        <v>53</v>
      </c>
      <c r="B11" s="5">
        <f>([1]innoculationdensity!$D$5*2.5)/1000</f>
        <v>1242.4833333333336</v>
      </c>
      <c r="C11" s="6">
        <v>1269</v>
      </c>
      <c r="D11" s="6">
        <v>2043</v>
      </c>
      <c r="E11" s="6">
        <v>3955</v>
      </c>
      <c r="F11" s="7">
        <v>5829</v>
      </c>
      <c r="G11" s="6">
        <v>12341</v>
      </c>
      <c r="H11" s="6">
        <v>18207</v>
      </c>
      <c r="I11" s="6">
        <v>30077</v>
      </c>
      <c r="J11" s="6">
        <f>2747*20</f>
        <v>54940</v>
      </c>
      <c r="K11" s="6">
        <f>4998*20</f>
        <v>99960</v>
      </c>
      <c r="L11" s="6">
        <f>20*11343</f>
        <v>226860</v>
      </c>
      <c r="M11" s="6">
        <f>20*18091</f>
        <v>361820</v>
      </c>
      <c r="N11" s="6">
        <f>20*18953</f>
        <v>379060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">
      <c r="A12" s="4" t="s">
        <v>54</v>
      </c>
      <c r="B12" s="5">
        <f>([1]innoculationdensity!$D$5*2.5)/1000</f>
        <v>1242.4833333333336</v>
      </c>
      <c r="C12" s="6">
        <v>1233</v>
      </c>
      <c r="D12" s="6">
        <v>2128</v>
      </c>
      <c r="E12" s="6">
        <v>3946</v>
      </c>
      <c r="F12" s="7">
        <v>5854</v>
      </c>
      <c r="G12" s="6">
        <v>11990</v>
      </c>
      <c r="H12" s="6">
        <v>18138</v>
      </c>
      <c r="I12" s="6">
        <v>30165</v>
      </c>
      <c r="J12" s="6">
        <f>2762*20</f>
        <v>55240</v>
      </c>
      <c r="K12" s="6">
        <f>4764*20</f>
        <v>95280</v>
      </c>
      <c r="L12" s="6">
        <f>20*10990</f>
        <v>219800</v>
      </c>
      <c r="M12" s="6">
        <f>20*19015</f>
        <v>380300</v>
      </c>
      <c r="N12" s="6">
        <f>20*19025</f>
        <v>380500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">
      <c r="A13" s="4" t="s">
        <v>55</v>
      </c>
      <c r="B13" s="5">
        <f>([1]innoculationdensity!$D$5*2.5)/1000</f>
        <v>1242.4833333333336</v>
      </c>
      <c r="C13" s="6">
        <v>1227</v>
      </c>
      <c r="D13" s="6">
        <v>2177</v>
      </c>
      <c r="E13" s="6">
        <v>3982</v>
      </c>
      <c r="F13" s="7">
        <v>5913</v>
      </c>
      <c r="G13" s="6">
        <v>12344</v>
      </c>
      <c r="H13" s="6">
        <v>18028</v>
      </c>
      <c r="I13" s="6">
        <v>29565</v>
      </c>
      <c r="J13" s="6">
        <f>2727*20</f>
        <v>54540</v>
      </c>
      <c r="K13" s="6">
        <f>4812*20</f>
        <v>96240</v>
      </c>
      <c r="L13" s="6">
        <f>20*10940</f>
        <v>218800</v>
      </c>
      <c r="M13" s="6">
        <f>20*19016</f>
        <v>380320</v>
      </c>
      <c r="N13" s="6">
        <f>20*19117</f>
        <v>382340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">
      <c r="A14" s="4" t="s">
        <v>56</v>
      </c>
      <c r="B14" s="5">
        <f>([1]innoculationdensity!$D$5*2.5)/1000</f>
        <v>1242.4833333333336</v>
      </c>
      <c r="C14" s="6">
        <v>1149</v>
      </c>
      <c r="D14" s="6">
        <v>2341</v>
      </c>
      <c r="E14" s="6">
        <v>3505</v>
      </c>
      <c r="F14" s="7">
        <v>5615</v>
      </c>
      <c r="G14" s="6">
        <v>12806</v>
      </c>
      <c r="H14" s="6">
        <v>16192</v>
      </c>
      <c r="I14" s="6">
        <v>27657</v>
      </c>
      <c r="J14" s="6">
        <f>2676*20</f>
        <v>53520</v>
      </c>
      <c r="K14" s="6">
        <f>5272*20</f>
        <v>105440</v>
      </c>
      <c r="L14" s="6">
        <f>13188*20</f>
        <v>263760</v>
      </c>
      <c r="M14" s="6">
        <f>20*20631</f>
        <v>412620</v>
      </c>
      <c r="N14" s="6">
        <f>20*21527</f>
        <v>430540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">
      <c r="A15" s="4" t="s">
        <v>57</v>
      </c>
      <c r="B15" s="5">
        <f>([1]innoculationdensity!$D$5*2.5)/1000</f>
        <v>1242.4833333333336</v>
      </c>
      <c r="C15" s="6">
        <v>1062</v>
      </c>
      <c r="D15" s="6">
        <v>2365</v>
      </c>
      <c r="E15" s="6">
        <v>3504</v>
      </c>
      <c r="F15" s="7">
        <v>5717</v>
      </c>
      <c r="G15" s="6">
        <v>12181</v>
      </c>
      <c r="H15" s="6">
        <v>15957</v>
      </c>
      <c r="I15" s="6">
        <v>28065</v>
      </c>
      <c r="J15" s="6">
        <f>2703*20</f>
        <v>54060</v>
      </c>
      <c r="K15" s="6">
        <f>5078*20</f>
        <v>101560</v>
      </c>
      <c r="L15" s="6">
        <f>13223*20</f>
        <v>264460</v>
      </c>
      <c r="M15" s="6">
        <f>20*20655</f>
        <v>413100</v>
      </c>
      <c r="N15" s="6">
        <f>20*20854</f>
        <v>417080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">
      <c r="A16" s="4" t="s">
        <v>58</v>
      </c>
      <c r="B16" s="5">
        <f>([1]innoculationdensity!$D$5*2.5)/1000</f>
        <v>1242.4833333333336</v>
      </c>
      <c r="C16" s="6">
        <v>1140</v>
      </c>
      <c r="D16" s="6">
        <v>2322</v>
      </c>
      <c r="E16" s="6">
        <v>3488</v>
      </c>
      <c r="F16" s="7">
        <v>5633</v>
      </c>
      <c r="G16" s="6">
        <v>11772</v>
      </c>
      <c r="H16" s="6">
        <v>15953</v>
      </c>
      <c r="I16" s="6">
        <v>28103</v>
      </c>
      <c r="J16" s="6">
        <f>2687*20</f>
        <v>53740</v>
      </c>
      <c r="K16" s="6">
        <f>5087*20</f>
        <v>101740</v>
      </c>
      <c r="L16" s="6">
        <f>12989*20</f>
        <v>259780</v>
      </c>
      <c r="M16" s="6">
        <f>20*20055</f>
        <v>401100</v>
      </c>
      <c r="N16" s="6">
        <f>20*21134</f>
        <v>422680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">
      <c r="A17" s="4" t="s">
        <v>59</v>
      </c>
      <c r="B17" s="5">
        <f>([1]innoculationdensity!$D$5*2.5)/1000</f>
        <v>1242.4833333333336</v>
      </c>
      <c r="C17" s="6">
        <v>1113</v>
      </c>
      <c r="D17" s="6">
        <v>2444</v>
      </c>
      <c r="E17" s="6">
        <v>4717</v>
      </c>
      <c r="F17" s="7">
        <v>5883</v>
      </c>
      <c r="G17" s="6">
        <v>12526</v>
      </c>
      <c r="H17" s="6">
        <v>17788</v>
      </c>
      <c r="I17" s="6">
        <v>31683</v>
      </c>
      <c r="J17" s="6">
        <f>3476*20</f>
        <v>69520</v>
      </c>
      <c r="K17" s="6">
        <f>7487*20</f>
        <v>149740</v>
      </c>
      <c r="L17" s="6">
        <f>15930*20</f>
        <v>318600</v>
      </c>
      <c r="M17" s="6">
        <f>20*20151</f>
        <v>403020</v>
      </c>
      <c r="N17" s="6">
        <f>20*22293</f>
        <v>445860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">
      <c r="A18" s="4" t="s">
        <v>60</v>
      </c>
      <c r="B18" s="5">
        <f>([1]innoculationdensity!$D$5*2.5)/1000</f>
        <v>1242.4833333333336</v>
      </c>
      <c r="C18" s="6">
        <v>1124</v>
      </c>
      <c r="D18" s="6">
        <v>2364</v>
      </c>
      <c r="E18" s="6">
        <v>4785</v>
      </c>
      <c r="F18" s="7">
        <v>5809</v>
      </c>
      <c r="G18" s="6">
        <v>12005</v>
      </c>
      <c r="H18" s="6">
        <v>17780</v>
      </c>
      <c r="I18" s="6">
        <v>30918</v>
      </c>
      <c r="J18" s="6">
        <f>3441*20</f>
        <v>68820</v>
      </c>
      <c r="K18" s="6">
        <f>7478*20</f>
        <v>149560</v>
      </c>
      <c r="L18" s="6">
        <f>15512*20</f>
        <v>310240</v>
      </c>
      <c r="M18" s="6">
        <f>20*19983</f>
        <v>399660</v>
      </c>
      <c r="N18" s="6">
        <f>20*22003</f>
        <v>440060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">
      <c r="A19" s="4" t="s">
        <v>61</v>
      </c>
      <c r="B19" s="5">
        <f>([1]innoculationdensity!$D$5*2.5)/1000</f>
        <v>1242.4833333333336</v>
      </c>
      <c r="C19" s="6">
        <v>1131</v>
      </c>
      <c r="D19" s="6">
        <v>2257</v>
      </c>
      <c r="E19" s="6">
        <v>4702</v>
      </c>
      <c r="F19" s="7">
        <v>5907</v>
      </c>
      <c r="G19" s="6">
        <v>11568</v>
      </c>
      <c r="H19" s="6">
        <v>17571</v>
      </c>
      <c r="I19" s="6">
        <v>31083</v>
      </c>
      <c r="J19" s="6">
        <f>3465*20</f>
        <v>69300</v>
      </c>
      <c r="K19" s="6">
        <f>7499*20</f>
        <v>149980</v>
      </c>
      <c r="L19" s="6">
        <f>16613*20</f>
        <v>332260</v>
      </c>
      <c r="M19" s="6">
        <f>20*19899</f>
        <v>397980</v>
      </c>
      <c r="N19" s="6">
        <f>20*21335</f>
        <v>426700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">
      <c r="A20" s="4" t="s">
        <v>125</v>
      </c>
      <c r="B20" s="5">
        <f>([1]innoculationdensity!$D$32*3)/1000</f>
        <v>1235.76</v>
      </c>
      <c r="C20" s="6">
        <v>1422</v>
      </c>
      <c r="D20" s="6">
        <v>2305</v>
      </c>
      <c r="E20" s="6">
        <v>3080</v>
      </c>
      <c r="F20" s="7">
        <v>5290</v>
      </c>
      <c r="G20" s="6">
        <v>6243</v>
      </c>
      <c r="H20" s="6">
        <v>6176</v>
      </c>
      <c r="J20" s="6">
        <f>15891-833</f>
        <v>15058</v>
      </c>
      <c r="K20" s="6">
        <f>23986-251</f>
        <v>23735</v>
      </c>
      <c r="L20" s="6">
        <v>29883</v>
      </c>
      <c r="M20" s="6">
        <v>45374</v>
      </c>
      <c r="N20" s="6">
        <v>88289</v>
      </c>
      <c r="O20" s="6">
        <f>7063*20</f>
        <v>141260</v>
      </c>
      <c r="P20" s="6">
        <f>20*12321</f>
        <v>246420</v>
      </c>
      <c r="Q20" s="6">
        <f>20*15344</f>
        <v>306880</v>
      </c>
      <c r="R20" s="6">
        <f>17327*20</f>
        <v>346540</v>
      </c>
      <c r="S20" s="6">
        <f>20517*20</f>
        <v>410340</v>
      </c>
      <c r="T20" s="6">
        <f>19894*20</f>
        <v>397880</v>
      </c>
      <c r="U20" s="6">
        <f>20154*20</f>
        <v>403080</v>
      </c>
      <c r="V20" s="8"/>
      <c r="W20" s="8"/>
      <c r="X20" s="8"/>
      <c r="Y20" s="8"/>
      <c r="Z20" s="8"/>
    </row>
    <row r="21" spans="1:26" x14ac:dyDescent="0.2">
      <c r="A21" s="4" t="s">
        <v>126</v>
      </c>
      <c r="B21" s="5">
        <f>([1]innoculationdensity!$D$32*3)/1000</f>
        <v>1235.76</v>
      </c>
      <c r="C21" s="6">
        <v>1408</v>
      </c>
      <c r="D21" s="6">
        <v>2183</v>
      </c>
      <c r="E21" s="6">
        <v>2976</v>
      </c>
      <c r="F21" s="7">
        <v>5231</v>
      </c>
      <c r="G21" s="6">
        <v>5800</v>
      </c>
      <c r="H21" s="6">
        <v>5957</v>
      </c>
      <c r="J21" s="6">
        <f>15467-833</f>
        <v>14634</v>
      </c>
      <c r="K21" s="6">
        <f>22974-251</f>
        <v>22723</v>
      </c>
      <c r="L21" s="6">
        <v>29380</v>
      </c>
      <c r="M21" s="6">
        <v>45902</v>
      </c>
      <c r="N21" s="6">
        <v>88389</v>
      </c>
      <c r="O21" s="6">
        <f>7452*20</f>
        <v>149040</v>
      </c>
      <c r="P21" s="6">
        <f>20*12374</f>
        <v>247480</v>
      </c>
      <c r="Q21" s="6">
        <f>20*14893</f>
        <v>297860</v>
      </c>
      <c r="R21" s="6">
        <f>16952*20</f>
        <v>339040</v>
      </c>
      <c r="S21" s="6">
        <f>20136*20</f>
        <v>402720</v>
      </c>
      <c r="T21" s="6">
        <f>19985*20</f>
        <v>399700</v>
      </c>
      <c r="U21" s="6">
        <f>20036*20</f>
        <v>400720</v>
      </c>
      <c r="V21" s="8"/>
      <c r="W21" s="8"/>
      <c r="X21" s="8"/>
      <c r="Y21" s="8"/>
      <c r="Z21" s="8"/>
    </row>
    <row r="22" spans="1:26" x14ac:dyDescent="0.2">
      <c r="A22" s="4" t="s">
        <v>127</v>
      </c>
      <c r="B22" s="5">
        <f>([1]innoculationdensity!$D$32*3)/1000</f>
        <v>1235.76</v>
      </c>
      <c r="C22" s="6">
        <v>1374</v>
      </c>
      <c r="D22" s="6">
        <v>2225</v>
      </c>
      <c r="E22" s="6">
        <v>3028</v>
      </c>
      <c r="F22" s="7">
        <v>5199</v>
      </c>
      <c r="G22" s="6">
        <v>5781</v>
      </c>
      <c r="H22" s="6">
        <v>6083</v>
      </c>
      <c r="K22" s="6">
        <f>23486-251</f>
        <v>23235</v>
      </c>
      <c r="L22" s="6">
        <v>29455</v>
      </c>
      <c r="M22" s="6">
        <v>45882</v>
      </c>
      <c r="N22" s="6">
        <v>86416</v>
      </c>
      <c r="O22" s="6">
        <f>7619*20</f>
        <v>152380</v>
      </c>
      <c r="P22" s="6">
        <f>20*12387</f>
        <v>247740</v>
      </c>
      <c r="Q22" s="6">
        <f>20*15239</f>
        <v>304780</v>
      </c>
      <c r="R22" s="6">
        <f>17183*20</f>
        <v>343660</v>
      </c>
      <c r="S22" s="6">
        <f>20159*20</f>
        <v>403180</v>
      </c>
      <c r="T22" s="6">
        <f>19956*20</f>
        <v>399120</v>
      </c>
      <c r="U22" s="6">
        <f>20466*20</f>
        <v>409320</v>
      </c>
      <c r="V22" s="8"/>
      <c r="W22" s="8"/>
      <c r="X22" s="8"/>
      <c r="Y22" s="8"/>
      <c r="Z22" s="8"/>
    </row>
    <row r="23" spans="1:26" x14ac:dyDescent="0.2">
      <c r="A23" s="4" t="s">
        <v>128</v>
      </c>
      <c r="B23" s="5">
        <f>([1]innoculationdensity!$D$32*3)/1000</f>
        <v>1235.76</v>
      </c>
      <c r="C23" s="6">
        <v>1757</v>
      </c>
      <c r="D23" s="6">
        <v>2128</v>
      </c>
      <c r="E23" s="6">
        <v>3045</v>
      </c>
      <c r="F23" s="7">
        <v>4755</v>
      </c>
      <c r="G23" s="6">
        <v>6999</v>
      </c>
      <c r="H23" s="6">
        <v>9075</v>
      </c>
      <c r="J23" s="6">
        <f>21555-833</f>
        <v>20722</v>
      </c>
      <c r="K23" s="6">
        <f>28954-251</f>
        <v>28703</v>
      </c>
      <c r="L23" s="6">
        <v>29682</v>
      </c>
      <c r="M23" s="6">
        <v>39976</v>
      </c>
      <c r="N23" s="6">
        <v>57830</v>
      </c>
      <c r="O23" s="6">
        <f>4969*20</f>
        <v>99380</v>
      </c>
      <c r="P23" s="6">
        <f>7094*20</f>
        <v>141880</v>
      </c>
      <c r="Q23" s="6">
        <f>20*10491</f>
        <v>209820</v>
      </c>
      <c r="R23" s="6">
        <f>13872*20</f>
        <v>277440</v>
      </c>
      <c r="S23" s="6">
        <f>18146*20</f>
        <v>362920</v>
      </c>
      <c r="T23" s="6">
        <f>19866*20</f>
        <v>397320</v>
      </c>
      <c r="U23" s="6">
        <f>20593*20</f>
        <v>411860</v>
      </c>
      <c r="V23" s="8"/>
      <c r="W23" s="8"/>
      <c r="X23" s="8"/>
      <c r="Y23" s="8"/>
      <c r="Z23" s="8"/>
    </row>
    <row r="24" spans="1:26" x14ac:dyDescent="0.2">
      <c r="A24" s="4" t="s">
        <v>129</v>
      </c>
      <c r="B24" s="5">
        <f>([1]innoculationdensity!$D$32*3)/1000</f>
        <v>1235.76</v>
      </c>
      <c r="C24" s="6">
        <v>1664</v>
      </c>
      <c r="D24" s="6">
        <v>2162</v>
      </c>
      <c r="E24" s="6">
        <v>3114</v>
      </c>
      <c r="F24" s="7">
        <v>4713</v>
      </c>
      <c r="G24" s="6">
        <v>6974</v>
      </c>
      <c r="H24" s="6">
        <v>9193</v>
      </c>
      <c r="J24" s="6">
        <f>20794-833</f>
        <v>19961</v>
      </c>
      <c r="K24" s="6">
        <f>28761-251</f>
        <v>28510</v>
      </c>
      <c r="L24" s="6">
        <v>29885</v>
      </c>
      <c r="M24" s="6">
        <v>40201</v>
      </c>
      <c r="N24" s="6">
        <v>57200</v>
      </c>
      <c r="O24" s="6">
        <f>4918*20</f>
        <v>98360</v>
      </c>
      <c r="P24" s="6">
        <f>7199*20</f>
        <v>143980</v>
      </c>
      <c r="Q24" s="6">
        <f>20*10151</f>
        <v>203020</v>
      </c>
      <c r="R24" s="6">
        <f>13646*20</f>
        <v>272920</v>
      </c>
      <c r="S24" s="6">
        <f>17967*20</f>
        <v>359340</v>
      </c>
      <c r="T24" s="6">
        <f>20088*20</f>
        <v>401760</v>
      </c>
      <c r="U24" s="6">
        <f>20510*20</f>
        <v>410200</v>
      </c>
      <c r="V24" s="8"/>
      <c r="W24" s="8"/>
      <c r="X24" s="8"/>
      <c r="Y24" s="8"/>
      <c r="Z24" s="8"/>
    </row>
    <row r="25" spans="1:26" x14ac:dyDescent="0.2">
      <c r="A25" s="4" t="s">
        <v>130</v>
      </c>
      <c r="B25" s="5">
        <f>([1]innoculationdensity!$D$32*3)/1000</f>
        <v>1235.76</v>
      </c>
      <c r="C25" s="6">
        <v>1758</v>
      </c>
      <c r="D25" s="6">
        <v>2088</v>
      </c>
      <c r="E25" s="6">
        <v>2937</v>
      </c>
      <c r="F25" s="7">
        <v>4728</v>
      </c>
      <c r="G25" s="6">
        <v>6642</v>
      </c>
      <c r="H25" s="6">
        <v>9153</v>
      </c>
      <c r="J25" s="6">
        <f>20888-833</f>
        <v>20055</v>
      </c>
      <c r="K25" s="6">
        <f>28478-251</f>
        <v>28227</v>
      </c>
      <c r="L25" s="6">
        <v>30261</v>
      </c>
      <c r="M25" s="6">
        <v>39855</v>
      </c>
      <c r="N25" s="6">
        <v>57886</v>
      </c>
      <c r="O25" s="6">
        <f>4811*20</f>
        <v>96220</v>
      </c>
      <c r="P25" s="6">
        <f>7066*20</f>
        <v>141320</v>
      </c>
      <c r="Q25" s="6">
        <f>20*10237</f>
        <v>204740</v>
      </c>
      <c r="R25" s="6">
        <f>13440*20</f>
        <v>268800</v>
      </c>
      <c r="S25" s="6">
        <f>17748*20</f>
        <v>354960</v>
      </c>
      <c r="T25" s="6">
        <f>19622*20</f>
        <v>392440</v>
      </c>
      <c r="U25" s="6">
        <f>20665*20</f>
        <v>413300</v>
      </c>
      <c r="V25" s="8"/>
      <c r="W25" s="8"/>
      <c r="X25" s="8"/>
      <c r="Y25" s="8"/>
      <c r="Z25" s="8"/>
    </row>
    <row r="26" spans="1:26" x14ac:dyDescent="0.2">
      <c r="A26" s="4" t="s">
        <v>131</v>
      </c>
      <c r="B26" s="5">
        <f>([1]innoculationdensity!$D$32*3)/1000</f>
        <v>1235.76</v>
      </c>
      <c r="C26" s="6">
        <v>1249</v>
      </c>
      <c r="D26" s="6">
        <v>1484</v>
      </c>
      <c r="E26" s="6">
        <v>2081</v>
      </c>
      <c r="F26" s="7">
        <v>3191</v>
      </c>
      <c r="G26" s="6">
        <v>4572</v>
      </c>
      <c r="H26" s="6">
        <v>5968</v>
      </c>
      <c r="J26" s="6">
        <f>15760-833</f>
        <v>14927</v>
      </c>
      <c r="K26" s="6">
        <f>20920-251</f>
        <v>20669</v>
      </c>
      <c r="L26" s="6">
        <v>23271</v>
      </c>
      <c r="M26" s="6">
        <v>27800</v>
      </c>
      <c r="N26" s="6">
        <v>34411</v>
      </c>
      <c r="O26" s="6">
        <f>2679*20</f>
        <v>53580</v>
      </c>
      <c r="P26" s="6">
        <f>3909*20</f>
        <v>78180</v>
      </c>
      <c r="Q26" s="6">
        <f>20*5315</f>
        <v>106300</v>
      </c>
      <c r="R26" s="6">
        <f>8740*20</f>
        <v>174800</v>
      </c>
      <c r="S26" s="6">
        <f>13712*20</f>
        <v>274240</v>
      </c>
      <c r="T26" s="6">
        <f>13290*20</f>
        <v>265800</v>
      </c>
      <c r="U26" s="6">
        <f>14480*20</f>
        <v>289600</v>
      </c>
      <c r="V26" s="8"/>
      <c r="W26" s="8"/>
      <c r="X26" s="8"/>
      <c r="Y26" s="8"/>
      <c r="Z26" s="8"/>
    </row>
    <row r="27" spans="1:26" x14ac:dyDescent="0.2">
      <c r="A27" s="4" t="s">
        <v>132</v>
      </c>
      <c r="B27" s="5">
        <f>([1]innoculationdensity!$D$32*3)/1000</f>
        <v>1235.76</v>
      </c>
      <c r="C27" s="6">
        <v>1221</v>
      </c>
      <c r="D27" s="6">
        <v>1528</v>
      </c>
      <c r="E27" s="6">
        <v>2089</v>
      </c>
      <c r="F27" s="7">
        <v>3125</v>
      </c>
      <c r="G27" s="6">
        <v>4575</v>
      </c>
      <c r="H27" s="6">
        <v>5637</v>
      </c>
      <c r="J27" s="6">
        <f>15130-833</f>
        <v>14297</v>
      </c>
      <c r="K27" s="6">
        <f>20567-251</f>
        <v>20316</v>
      </c>
      <c r="L27" s="6">
        <v>22800</v>
      </c>
      <c r="M27" s="6">
        <v>28039</v>
      </c>
      <c r="N27" s="6">
        <v>35567</v>
      </c>
      <c r="O27" s="6">
        <f>2937*20</f>
        <v>58740</v>
      </c>
      <c r="P27" s="6">
        <f>3896*20</f>
        <v>77920</v>
      </c>
      <c r="Q27" s="6">
        <f>20*5158</f>
        <v>103160</v>
      </c>
      <c r="R27" s="6">
        <f>8571*20</f>
        <v>171420</v>
      </c>
      <c r="S27" s="6">
        <f>13362*20</f>
        <v>267240</v>
      </c>
      <c r="T27" s="6">
        <f>13365*20</f>
        <v>267300</v>
      </c>
      <c r="U27" s="6">
        <f>14394*20</f>
        <v>287880</v>
      </c>
      <c r="V27" s="8"/>
      <c r="W27" s="8"/>
      <c r="X27" s="8"/>
      <c r="Y27" s="8"/>
      <c r="Z27" s="8"/>
    </row>
    <row r="28" spans="1:26" x14ac:dyDescent="0.2">
      <c r="A28" s="4" t="s">
        <v>133</v>
      </c>
      <c r="B28" s="5">
        <f>([1]innoculationdensity!$D$32*3)/1000</f>
        <v>1235.76</v>
      </c>
      <c r="C28" s="6">
        <v>1300</v>
      </c>
      <c r="D28" s="6">
        <v>1547</v>
      </c>
      <c r="E28" s="6">
        <v>2050</v>
      </c>
      <c r="F28" s="7">
        <v>3099</v>
      </c>
      <c r="G28" s="6">
        <v>4349</v>
      </c>
      <c r="H28" s="6">
        <v>5743</v>
      </c>
      <c r="K28" s="6">
        <f>20928-251</f>
        <v>20677</v>
      </c>
      <c r="L28" s="6">
        <v>22965</v>
      </c>
      <c r="M28" s="6">
        <v>27899</v>
      </c>
      <c r="N28" s="6">
        <v>35335</v>
      </c>
      <c r="O28" s="6">
        <f>2551*20</f>
        <v>51020</v>
      </c>
      <c r="P28" s="6">
        <f>3854*20</f>
        <v>77080</v>
      </c>
      <c r="Q28" s="6">
        <f>20*5192</f>
        <v>103840</v>
      </c>
      <c r="R28" s="6">
        <f>8618*20</f>
        <v>172360</v>
      </c>
      <c r="S28" s="6">
        <f>13122*20</f>
        <v>262440</v>
      </c>
      <c r="T28" s="6">
        <f>13140*20</f>
        <v>262800</v>
      </c>
      <c r="U28" s="6">
        <f>14385*20</f>
        <v>287700</v>
      </c>
      <c r="V28" s="8"/>
      <c r="W28" s="8"/>
      <c r="X28" s="8"/>
      <c r="Y28" s="8"/>
      <c r="Z28" s="8"/>
    </row>
    <row r="29" spans="1:26" x14ac:dyDescent="0.2">
      <c r="A29" s="4" t="s">
        <v>197</v>
      </c>
      <c r="B29" s="5">
        <f>[1]innoculationdensity!$D$58</f>
        <v>1492.26</v>
      </c>
      <c r="C29" s="6">
        <v>1107</v>
      </c>
      <c r="D29" s="6">
        <v>2629</v>
      </c>
      <c r="E29" s="6">
        <v>6053</v>
      </c>
      <c r="F29" s="7">
        <v>15034</v>
      </c>
      <c r="G29" s="6">
        <v>32169</v>
      </c>
      <c r="H29" s="6">
        <v>72059</v>
      </c>
      <c r="I29" s="6">
        <f>11297*20</f>
        <v>225940</v>
      </c>
      <c r="J29" s="6">
        <f>24092*20</f>
        <v>481840</v>
      </c>
      <c r="K29" s="6">
        <f>36109*20</f>
        <v>722180</v>
      </c>
      <c r="L29" s="6">
        <f>41863*20</f>
        <v>837260</v>
      </c>
      <c r="M29" s="6">
        <f>48477*20</f>
        <v>969540</v>
      </c>
      <c r="N29" s="6">
        <f>47088*20</f>
        <v>941760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">
      <c r="A30" s="4" t="s">
        <v>198</v>
      </c>
      <c r="B30" s="5">
        <f>[1]innoculationdensity!$D$58</f>
        <v>1492.26</v>
      </c>
      <c r="C30" s="6">
        <v>1112</v>
      </c>
      <c r="D30" s="6">
        <v>2675</v>
      </c>
      <c r="E30" s="6">
        <v>6379</v>
      </c>
      <c r="F30" s="7">
        <v>14792</v>
      </c>
      <c r="G30" s="6">
        <v>32511</v>
      </c>
      <c r="H30" s="6">
        <v>70785</v>
      </c>
      <c r="I30" s="6">
        <f>11368*20</f>
        <v>227360</v>
      </c>
      <c r="J30" s="6">
        <f>24372*20</f>
        <v>487440</v>
      </c>
      <c r="K30" s="6">
        <f>35773*20</f>
        <v>715460</v>
      </c>
      <c r="L30" s="6">
        <f>41420*20</f>
        <v>828400</v>
      </c>
      <c r="M30" s="6">
        <f>48431*20</f>
        <v>968620</v>
      </c>
      <c r="N30" s="6">
        <f>47272*20</f>
        <v>945440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">
      <c r="A31" s="4" t="s">
        <v>199</v>
      </c>
      <c r="B31" s="5">
        <f>[1]innoculationdensity!$D$58</f>
        <v>1492.26</v>
      </c>
      <c r="D31" s="6">
        <v>2492</v>
      </c>
      <c r="E31" s="6">
        <v>6157</v>
      </c>
      <c r="F31" s="7">
        <v>14577</v>
      </c>
      <c r="G31" s="6">
        <v>31728</v>
      </c>
      <c r="H31" s="6">
        <v>70022</v>
      </c>
      <c r="I31" s="6">
        <f>11190*20</f>
        <v>223800</v>
      </c>
      <c r="J31" s="6">
        <f>24931*20</f>
        <v>498620</v>
      </c>
      <c r="K31" s="6">
        <f>35361*20</f>
        <v>707220</v>
      </c>
      <c r="L31" s="6">
        <f>41720*20</f>
        <v>834400</v>
      </c>
      <c r="M31" s="6">
        <f>48406*20</f>
        <v>968120</v>
      </c>
      <c r="N31" s="6">
        <f>47325*20</f>
        <v>946500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">
      <c r="A32" s="4" t="s">
        <v>200</v>
      </c>
      <c r="B32" s="5">
        <f>[1]innoculationdensity!$D$58</f>
        <v>1492.26</v>
      </c>
      <c r="C32" s="6">
        <v>1439</v>
      </c>
      <c r="D32" s="6">
        <v>2623</v>
      </c>
      <c r="E32" s="6">
        <v>6623</v>
      </c>
      <c r="F32" s="7">
        <v>12724</v>
      </c>
      <c r="G32" s="6">
        <v>28722</v>
      </c>
      <c r="H32" s="6">
        <v>66685</v>
      </c>
      <c r="I32" s="6">
        <f>11021*20</f>
        <v>220420</v>
      </c>
      <c r="J32" s="6">
        <f>23383*20</f>
        <v>467660</v>
      </c>
      <c r="K32" s="6">
        <f>32801*20</f>
        <v>656020</v>
      </c>
      <c r="L32" s="6">
        <f>38991*20</f>
        <v>779820</v>
      </c>
      <c r="M32" s="6">
        <f>44103*20</f>
        <v>882060</v>
      </c>
      <c r="N32" s="6">
        <f>39950*20</f>
        <v>799000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">
      <c r="A33" s="4" t="s">
        <v>201</v>
      </c>
      <c r="B33" s="5">
        <f>[1]innoculationdensity!$D$58</f>
        <v>1492.26</v>
      </c>
      <c r="C33" s="6">
        <v>1331</v>
      </c>
      <c r="D33" s="6">
        <v>2592</v>
      </c>
      <c r="E33" s="6">
        <v>6377</v>
      </c>
      <c r="F33" s="7">
        <v>12322</v>
      </c>
      <c r="G33" s="6">
        <v>28463</v>
      </c>
      <c r="H33" s="6">
        <v>65016</v>
      </c>
      <c r="I33" s="6">
        <f>10830*20</f>
        <v>216600</v>
      </c>
      <c r="J33" s="6">
        <f>23246*20</f>
        <v>464920</v>
      </c>
      <c r="K33" s="6">
        <f>32873*20</f>
        <v>657460</v>
      </c>
      <c r="L33" s="6">
        <f>38686*20</f>
        <v>773720</v>
      </c>
      <c r="M33" s="6">
        <f>43878*20</f>
        <v>877560</v>
      </c>
      <c r="N33" s="6">
        <f>40425*20</f>
        <v>808500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">
      <c r="A34" s="4" t="s">
        <v>202</v>
      </c>
      <c r="B34" s="5">
        <f>[1]innoculationdensity!$D$58</f>
        <v>1492.26</v>
      </c>
      <c r="D34" s="6">
        <v>2594</v>
      </c>
      <c r="E34" s="6">
        <v>6505</v>
      </c>
      <c r="F34" s="7">
        <v>11683</v>
      </c>
      <c r="G34" s="6">
        <v>27878</v>
      </c>
      <c r="H34" s="6">
        <v>67316</v>
      </c>
      <c r="I34" s="6">
        <f>10442*20</f>
        <v>208840</v>
      </c>
      <c r="J34" s="6">
        <f>22901*20</f>
        <v>458020</v>
      </c>
      <c r="K34" s="6">
        <f>32360*20</f>
        <v>647200</v>
      </c>
      <c r="L34" s="6">
        <f>38351*20</f>
        <v>767020</v>
      </c>
      <c r="M34" s="6">
        <f>44102*20</f>
        <v>882040</v>
      </c>
      <c r="N34" s="6">
        <f>40095*20</f>
        <v>801900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2">
      <c r="A35" s="4" t="s">
        <v>203</v>
      </c>
      <c r="B35" s="5">
        <f>[1]innoculationdensity!$D$58</f>
        <v>1492.26</v>
      </c>
      <c r="C35" s="6">
        <v>1267</v>
      </c>
      <c r="D35" s="6">
        <v>2811</v>
      </c>
      <c r="E35" s="6">
        <v>6991</v>
      </c>
      <c r="F35" s="7">
        <v>15788</v>
      </c>
      <c r="G35" s="6">
        <v>33152</v>
      </c>
      <c r="H35" s="6">
        <v>77814</v>
      </c>
      <c r="I35" s="6">
        <f>12278*20</f>
        <v>245560</v>
      </c>
      <c r="J35" s="6">
        <f>26897*20</f>
        <v>537940</v>
      </c>
      <c r="K35" s="6">
        <f>39064*20</f>
        <v>781280</v>
      </c>
      <c r="L35" s="6">
        <f>43125*20</f>
        <v>862500</v>
      </c>
      <c r="M35" s="6">
        <f>49804*20</f>
        <v>996080</v>
      </c>
      <c r="N35" s="6">
        <f>48818*20</f>
        <v>976360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">
      <c r="A36" s="4" t="s">
        <v>204</v>
      </c>
      <c r="B36" s="5">
        <f>[1]innoculationdensity!$D$58</f>
        <v>1492.26</v>
      </c>
      <c r="C36" s="6">
        <v>1196</v>
      </c>
      <c r="D36" s="6">
        <v>2858</v>
      </c>
      <c r="E36" s="6">
        <v>6868</v>
      </c>
      <c r="F36" s="7">
        <v>15400</v>
      </c>
      <c r="G36" s="6">
        <v>32768</v>
      </c>
      <c r="H36" s="6">
        <v>77981</v>
      </c>
      <c r="I36" s="6">
        <f>12269*20</f>
        <v>245380</v>
      </c>
      <c r="J36" s="6">
        <f>26782*20</f>
        <v>535640</v>
      </c>
      <c r="K36" s="6">
        <f>38970*20</f>
        <v>779400</v>
      </c>
      <c r="L36" s="6">
        <f>43313*20</f>
        <v>866260</v>
      </c>
      <c r="M36" s="6">
        <f>49723*20</f>
        <v>994460</v>
      </c>
      <c r="N36" s="6">
        <f>48453*20</f>
        <v>969060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">
      <c r="A37" s="4" t="s">
        <v>205</v>
      </c>
      <c r="B37" s="5">
        <f>[1]innoculationdensity!$D$58</f>
        <v>1492.26</v>
      </c>
      <c r="D37" s="6">
        <v>2890</v>
      </c>
      <c r="E37" s="6">
        <v>6511</v>
      </c>
      <c r="F37" s="7">
        <v>14894</v>
      </c>
      <c r="G37" s="6">
        <v>32530</v>
      </c>
      <c r="H37" s="6">
        <v>77245</v>
      </c>
      <c r="I37" s="6">
        <f>12116*20</f>
        <v>242320</v>
      </c>
      <c r="J37" s="6">
        <f>26642*20</f>
        <v>532840</v>
      </c>
      <c r="K37" s="6">
        <f>38721*20</f>
        <v>774420</v>
      </c>
      <c r="L37" s="6">
        <f>42792*20</f>
        <v>855840</v>
      </c>
      <c r="M37" s="6">
        <f>49442*20</f>
        <v>988840</v>
      </c>
      <c r="N37" s="6">
        <f>49176*20</f>
        <v>983520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9" spans="1:26" x14ac:dyDescent="0.2">
      <c r="A39" s="4" t="s">
        <v>206</v>
      </c>
    </row>
    <row r="40" spans="1:26" x14ac:dyDescent="0.2">
      <c r="A40" s="4" t="s">
        <v>44</v>
      </c>
      <c r="B40" s="7">
        <f>LN(B2)</f>
        <v>7.1248673440645875</v>
      </c>
      <c r="C40" s="7">
        <f t="shared" ref="C40:L40" si="0">LN(C2)</f>
        <v>7.1989312406881734</v>
      </c>
      <c r="D40" s="7">
        <f t="shared" si="0"/>
        <v>7.3708601665367164</v>
      </c>
      <c r="E40" s="7">
        <f t="shared" si="0"/>
        <v>7.7248884393230739</v>
      </c>
      <c r="F40" s="7">
        <f t="shared" si="0"/>
        <v>7.6704285221906927</v>
      </c>
      <c r="G40" s="7">
        <f t="shared" si="0"/>
        <v>7.8928255262511176</v>
      </c>
      <c r="H40" s="7">
        <f t="shared" si="0"/>
        <v>7.9035962896143008</v>
      </c>
      <c r="I40" s="7">
        <f t="shared" si="0"/>
        <v>7.9959804747637602</v>
      </c>
      <c r="J40" s="7">
        <f t="shared" si="0"/>
        <v>8.0000140936780717</v>
      </c>
      <c r="K40" s="7">
        <f t="shared" si="0"/>
        <v>8.0080328469693072</v>
      </c>
      <c r="L40" s="7">
        <f t="shared" si="0"/>
        <v>7.9717761228806276</v>
      </c>
    </row>
    <row r="41" spans="1:26" x14ac:dyDescent="0.2">
      <c r="A41" s="4" t="s">
        <v>45</v>
      </c>
      <c r="B41" s="7">
        <f t="shared" ref="B41:L41" si="1">LN(B3)</f>
        <v>7.1248673440645875</v>
      </c>
      <c r="C41" s="7">
        <f t="shared" si="1"/>
        <v>7.1483457439000677</v>
      </c>
      <c r="D41" s="7">
        <f t="shared" si="1"/>
        <v>7.3258075025957732</v>
      </c>
      <c r="E41" s="7">
        <f t="shared" si="1"/>
        <v>7.7231200922663312</v>
      </c>
      <c r="F41" s="7">
        <f t="shared" si="1"/>
        <v>7.6884553565499436</v>
      </c>
      <c r="G41" s="7">
        <f t="shared" si="1"/>
        <v>7.8512719971098832</v>
      </c>
      <c r="H41" s="7">
        <f t="shared" si="1"/>
        <v>7.8648040033284596</v>
      </c>
      <c r="I41" s="7">
        <f t="shared" si="1"/>
        <v>7.9377317752601089</v>
      </c>
      <c r="J41" s="7">
        <f t="shared" si="1"/>
        <v>7.9561263512135003</v>
      </c>
      <c r="K41" s="7">
        <f t="shared" si="1"/>
        <v>7.9841219587029268</v>
      </c>
      <c r="L41" s="7">
        <f t="shared" si="1"/>
        <v>8.0595923288875451</v>
      </c>
    </row>
    <row r="42" spans="1:26" x14ac:dyDescent="0.2">
      <c r="A42" s="4" t="s">
        <v>46</v>
      </c>
      <c r="B42" s="7">
        <f t="shared" ref="B42:L42" si="2">LN(B4)</f>
        <v>7.1248673440645875</v>
      </c>
      <c r="C42" s="7">
        <f t="shared" si="2"/>
        <v>7.1033220625261126</v>
      </c>
      <c r="D42" s="7">
        <f t="shared" si="2"/>
        <v>7.3401868353201154</v>
      </c>
      <c r="E42" s="7">
        <f t="shared" si="2"/>
        <v>7.6815603625595372</v>
      </c>
      <c r="F42" s="7">
        <f t="shared" si="2"/>
        <v>7.6694952510076941</v>
      </c>
      <c r="G42" s="7">
        <f t="shared" si="2"/>
        <v>7.8872085858139318</v>
      </c>
      <c r="H42" s="7">
        <f t="shared" si="2"/>
        <v>7.877017895622398</v>
      </c>
      <c r="I42" s="7">
        <f t="shared" si="2"/>
        <v>7.9146177090406793</v>
      </c>
      <c r="J42" s="7">
        <f t="shared" si="2"/>
        <v>7.9898993749429392</v>
      </c>
      <c r="K42" s="7">
        <f t="shared" si="2"/>
        <v>7.965545573129992</v>
      </c>
      <c r="L42" s="7">
        <f t="shared" si="2"/>
        <v>8.0529330367975671</v>
      </c>
    </row>
    <row r="43" spans="1:26" x14ac:dyDescent="0.2">
      <c r="A43" s="4" t="s">
        <v>47</v>
      </c>
      <c r="B43" s="7">
        <f t="shared" ref="B43:L43" si="3">LN(B5)</f>
        <v>7.1248673440645875</v>
      </c>
      <c r="C43" s="7">
        <f t="shared" si="3"/>
        <v>7.1188262490620779</v>
      </c>
      <c r="D43" s="7">
        <f t="shared" si="3"/>
        <v>7.3244899793485319</v>
      </c>
      <c r="E43" s="7">
        <f t="shared" si="3"/>
        <v>7.6251071482389001</v>
      </c>
      <c r="F43" s="7">
        <f t="shared" si="3"/>
        <v>7.6270574170189338</v>
      </c>
      <c r="G43" s="7">
        <f t="shared" si="3"/>
        <v>7.8671055003167387</v>
      </c>
      <c r="H43" s="7">
        <f t="shared" si="3"/>
        <v>7.8343923029104365</v>
      </c>
      <c r="I43" s="7">
        <f t="shared" si="3"/>
        <v>7.8208408799073439</v>
      </c>
      <c r="J43" s="7">
        <f t="shared" si="3"/>
        <v>7.8716926643236453</v>
      </c>
      <c r="K43" s="7">
        <f t="shared" si="3"/>
        <v>7.8407064517493996</v>
      </c>
      <c r="L43" s="7">
        <f t="shared" si="3"/>
        <v>7.7935868033715838</v>
      </c>
    </row>
    <row r="44" spans="1:26" x14ac:dyDescent="0.2">
      <c r="A44" s="4" t="s">
        <v>48</v>
      </c>
      <c r="B44" s="7">
        <f t="shared" ref="B44:L44" si="4">LN(B6)</f>
        <v>7.1248673440645875</v>
      </c>
      <c r="C44" s="7">
        <f t="shared" si="4"/>
        <v>7.0690234265782594</v>
      </c>
      <c r="D44" s="7">
        <f t="shared" si="4"/>
        <v>7.3225104339973939</v>
      </c>
      <c r="E44" s="7">
        <f t="shared" si="4"/>
        <v>7.5994013334158153</v>
      </c>
      <c r="F44" s="7">
        <f t="shared" si="4"/>
        <v>7.6309465808904591</v>
      </c>
      <c r="G44" s="7">
        <f t="shared" si="4"/>
        <v>7.8628820346414905</v>
      </c>
      <c r="H44" s="7">
        <f t="shared" si="4"/>
        <v>7.8272409017528117</v>
      </c>
      <c r="I44" s="7">
        <f t="shared" si="4"/>
        <v>7.8489337263640708</v>
      </c>
      <c r="J44" s="7">
        <f t="shared" si="4"/>
        <v>7.875119281040293</v>
      </c>
      <c r="K44" s="7">
        <f t="shared" si="4"/>
        <v>7.8383433155571165</v>
      </c>
      <c r="L44" s="7">
        <f t="shared" si="4"/>
        <v>7.8058820402286209</v>
      </c>
    </row>
    <row r="45" spans="1:26" x14ac:dyDescent="0.2">
      <c r="A45" s="4" t="s">
        <v>49</v>
      </c>
      <c r="B45" s="7">
        <f t="shared" ref="B45:L45" si="5">LN(B7)</f>
        <v>7.1248673440645875</v>
      </c>
      <c r="C45" s="7">
        <f t="shared" si="5"/>
        <v>7.0732697174597101</v>
      </c>
      <c r="D45" s="7">
        <f t="shared" si="5"/>
        <v>7.3165481771829759</v>
      </c>
      <c r="E45" s="7">
        <f t="shared" si="5"/>
        <v>7.6033993397406698</v>
      </c>
      <c r="F45" s="7">
        <f t="shared" si="5"/>
        <v>7.6319165130712516</v>
      </c>
      <c r="G45" s="7">
        <f t="shared" si="5"/>
        <v>7.8240460108562919</v>
      </c>
      <c r="H45" s="7">
        <f t="shared" si="5"/>
        <v>7.8284363591575854</v>
      </c>
      <c r="I45" s="7">
        <f t="shared" si="5"/>
        <v>7.8621122116627484</v>
      </c>
      <c r="J45" s="7">
        <f t="shared" si="5"/>
        <v>7.8823149189802679</v>
      </c>
      <c r="K45" s="7">
        <f t="shared" si="5"/>
        <v>7.8038433035387724</v>
      </c>
      <c r="L45" s="7">
        <f t="shared" si="5"/>
        <v>7.7877968781811706</v>
      </c>
    </row>
    <row r="46" spans="1:26" x14ac:dyDescent="0.2">
      <c r="A46" s="4" t="s">
        <v>50</v>
      </c>
      <c r="B46" s="7">
        <f t="shared" ref="B46:L46" si="6">LN(B8)</f>
        <v>7.1248673440645875</v>
      </c>
      <c r="C46" s="7">
        <f t="shared" si="6"/>
        <v>7.0732697174597101</v>
      </c>
      <c r="D46" s="7">
        <f t="shared" si="6"/>
        <v>7.3492308246133344</v>
      </c>
      <c r="E46" s="7">
        <f t="shared" si="6"/>
        <v>7.6783263565068856</v>
      </c>
      <c r="F46" s="7">
        <f t="shared" si="6"/>
        <v>7.5832475243033617</v>
      </c>
      <c r="G46" s="7">
        <f t="shared" si="6"/>
        <v>7.8087293067443992</v>
      </c>
      <c r="H46" s="7">
        <f t="shared" si="6"/>
        <v>7.8054746252708567</v>
      </c>
      <c r="I46" s="7">
        <f t="shared" si="6"/>
        <v>7.7972912735474722</v>
      </c>
      <c r="J46" s="7">
        <f t="shared" si="6"/>
        <v>7.8160138391590275</v>
      </c>
      <c r="K46" s="7">
        <f t="shared" si="6"/>
        <v>7.748460023899697</v>
      </c>
      <c r="L46" s="7">
        <f t="shared" si="6"/>
        <v>7.7454356102743809</v>
      </c>
    </row>
    <row r="47" spans="1:26" x14ac:dyDescent="0.2">
      <c r="A47" s="4" t="s">
        <v>51</v>
      </c>
      <c r="B47" s="7">
        <f t="shared" ref="B47:L47" si="7">LN(B9)</f>
        <v>7.1248673440645875</v>
      </c>
      <c r="C47" s="7">
        <f t="shared" si="7"/>
        <v>7.0630481633881725</v>
      </c>
      <c r="D47" s="7">
        <f t="shared" si="7"/>
        <v>7.2633296174768365</v>
      </c>
      <c r="E47" s="7">
        <f t="shared" si="7"/>
        <v>7.6755460025378479</v>
      </c>
      <c r="F47" s="7">
        <f t="shared" si="7"/>
        <v>7.6338535596817678</v>
      </c>
      <c r="G47" s="7">
        <f t="shared" si="7"/>
        <v>7.7915228191507317</v>
      </c>
      <c r="H47" s="7">
        <f t="shared" si="7"/>
        <v>7.7689560445383323</v>
      </c>
      <c r="I47" s="7">
        <f t="shared" si="7"/>
        <v>7.8131872675214158</v>
      </c>
      <c r="J47" s="7">
        <f t="shared" si="7"/>
        <v>7.8268420981582931</v>
      </c>
      <c r="K47" s="7">
        <f t="shared" si="7"/>
        <v>7.7977020355166902</v>
      </c>
      <c r="L47" s="7">
        <f t="shared" si="7"/>
        <v>7.7689560445383323</v>
      </c>
    </row>
    <row r="48" spans="1:26" x14ac:dyDescent="0.2">
      <c r="A48" s="4" t="s">
        <v>52</v>
      </c>
      <c r="B48" s="7">
        <f t="shared" ref="B48:L48" si="8">LN(B10)</f>
        <v>7.1248673440645875</v>
      </c>
      <c r="C48" s="7">
        <f t="shared" si="8"/>
        <v>7.0975488506147926</v>
      </c>
      <c r="D48" s="7">
        <f t="shared" si="8"/>
        <v>7.3205269622727398</v>
      </c>
      <c r="E48" s="7">
        <f t="shared" si="8"/>
        <v>7.6975753468023429</v>
      </c>
      <c r="F48" s="7">
        <f t="shared" si="8"/>
        <v>7.566311014772463</v>
      </c>
      <c r="G48" s="7">
        <f t="shared" si="8"/>
        <v>7.8087293067443992</v>
      </c>
      <c r="H48" s="7">
        <f t="shared" si="8"/>
        <v>7.7475968386928855</v>
      </c>
      <c r="I48" s="7">
        <f t="shared" si="8"/>
        <v>7.8176254430533696</v>
      </c>
      <c r="J48" s="7">
        <f t="shared" si="8"/>
        <v>7.8276395463664219</v>
      </c>
      <c r="K48" s="7">
        <f t="shared" si="8"/>
        <v>7.7393592026890978</v>
      </c>
      <c r="L48" s="7">
        <f t="shared" si="8"/>
        <v>7.7367436824534952</v>
      </c>
    </row>
    <row r="49" spans="1:21" x14ac:dyDescent="0.2">
      <c r="A49" s="4" t="s">
        <v>53</v>
      </c>
      <c r="B49" s="7">
        <f t="shared" ref="B49:N49" si="9">LN(B11)</f>
        <v>7.1248673440645875</v>
      </c>
      <c r="C49" s="7">
        <f t="shared" si="9"/>
        <v>7.1459844677143876</v>
      </c>
      <c r="D49" s="7">
        <f t="shared" si="9"/>
        <v>7.6221745948176221</v>
      </c>
      <c r="E49" s="7">
        <f t="shared" si="9"/>
        <v>8.2827358802017539</v>
      </c>
      <c r="F49" s="7">
        <f t="shared" si="9"/>
        <v>8.6706007380455503</v>
      </c>
      <c r="G49" s="7">
        <f t="shared" si="9"/>
        <v>9.4206823314531842</v>
      </c>
      <c r="H49" s="7">
        <f t="shared" si="9"/>
        <v>9.809561414503964</v>
      </c>
      <c r="I49" s="7">
        <f t="shared" si="9"/>
        <v>10.311516039047453</v>
      </c>
      <c r="J49" s="7">
        <f t="shared" si="9"/>
        <v>10.913996959649264</v>
      </c>
      <c r="K49" s="7">
        <f t="shared" si="9"/>
        <v>11.512525384948889</v>
      </c>
      <c r="L49" s="7">
        <f t="shared" si="9"/>
        <v>12.332088366113034</v>
      </c>
      <c r="M49" s="7">
        <f t="shared" si="9"/>
        <v>12.798902129575252</v>
      </c>
      <c r="N49" s="7">
        <f t="shared" si="9"/>
        <v>12.845449782880291</v>
      </c>
    </row>
    <row r="50" spans="1:21" x14ac:dyDescent="0.2">
      <c r="A50" s="4" t="s">
        <v>54</v>
      </c>
      <c r="B50" s="7">
        <f t="shared" ref="B50:N50" si="10">LN(B12)</f>
        <v>7.1248673440645875</v>
      </c>
      <c r="C50" s="7">
        <f t="shared" si="10"/>
        <v>7.1172055031643442</v>
      </c>
      <c r="D50" s="7">
        <f t="shared" si="10"/>
        <v>7.6629378504615353</v>
      </c>
      <c r="E50" s="7">
        <f t="shared" si="10"/>
        <v>8.2804576865825599</v>
      </c>
      <c r="F50" s="7">
        <f t="shared" si="10"/>
        <v>8.6748804672518318</v>
      </c>
      <c r="G50" s="7">
        <f t="shared" si="10"/>
        <v>9.3918282480215591</v>
      </c>
      <c r="H50" s="7">
        <f t="shared" si="10"/>
        <v>9.8057644640075132</v>
      </c>
      <c r="I50" s="7">
        <f t="shared" si="10"/>
        <v>10.314437590874862</v>
      </c>
      <c r="J50" s="7">
        <f t="shared" si="10"/>
        <v>10.919442607523228</v>
      </c>
      <c r="K50" s="7">
        <f t="shared" si="10"/>
        <v>11.464575204029181</v>
      </c>
      <c r="L50" s="7">
        <f t="shared" si="10"/>
        <v>12.300473320951658</v>
      </c>
      <c r="M50" s="7">
        <f t="shared" si="10"/>
        <v>12.84871569391635</v>
      </c>
      <c r="N50" s="7">
        <f t="shared" si="10"/>
        <v>12.849241456283877</v>
      </c>
    </row>
    <row r="51" spans="1:21" x14ac:dyDescent="0.2">
      <c r="A51" s="4" t="s">
        <v>55</v>
      </c>
      <c r="B51" s="7">
        <f t="shared" ref="B51:N51" si="11">LN(B13)</f>
        <v>7.1248673440645875</v>
      </c>
      <c r="C51" s="7">
        <f t="shared" si="11"/>
        <v>7.1123274447109113</v>
      </c>
      <c r="D51" s="7">
        <f t="shared" si="11"/>
        <v>7.6857030612345474</v>
      </c>
      <c r="E51" s="7">
        <f t="shared" si="11"/>
        <v>8.2895394846241413</v>
      </c>
      <c r="F51" s="7">
        <f t="shared" si="11"/>
        <v>8.6849085958208292</v>
      </c>
      <c r="G51" s="7">
        <f t="shared" si="11"/>
        <v>9.420925394042996</v>
      </c>
      <c r="H51" s="7">
        <f t="shared" si="11"/>
        <v>9.7996813838105385</v>
      </c>
      <c r="I51" s="7">
        <f t="shared" si="11"/>
        <v>10.294346508254931</v>
      </c>
      <c r="J51" s="7">
        <f t="shared" si="11"/>
        <v>10.90668965639958</v>
      </c>
      <c r="K51" s="7">
        <f t="shared" si="11"/>
        <v>11.47460035064856</v>
      </c>
      <c r="L51" s="7">
        <f t="shared" si="11"/>
        <v>12.295913349529963</v>
      </c>
      <c r="M51" s="7">
        <f t="shared" si="11"/>
        <v>12.848768282594021</v>
      </c>
      <c r="N51" s="7">
        <f t="shared" si="11"/>
        <v>12.85406554408301</v>
      </c>
    </row>
    <row r="52" spans="1:21" x14ac:dyDescent="0.2">
      <c r="A52" s="4" t="s">
        <v>56</v>
      </c>
      <c r="B52" s="7">
        <f t="shared" ref="B52:N52" si="12">LN(B14)</f>
        <v>7.1248673440645875</v>
      </c>
      <c r="C52" s="7">
        <f t="shared" si="12"/>
        <v>7.0466472778487557</v>
      </c>
      <c r="D52" s="7">
        <f t="shared" si="12"/>
        <v>7.7583334674909104</v>
      </c>
      <c r="E52" s="7">
        <f t="shared" si="12"/>
        <v>8.1619457994686897</v>
      </c>
      <c r="F52" s="7">
        <f t="shared" si="12"/>
        <v>8.6331968671725434</v>
      </c>
      <c r="G52" s="7">
        <f t="shared" si="12"/>
        <v>9.4576690900787472</v>
      </c>
      <c r="H52" s="7">
        <f t="shared" si="12"/>
        <v>9.6922725720871927</v>
      </c>
      <c r="I52" s="7">
        <f t="shared" si="12"/>
        <v>10.227634139466703</v>
      </c>
      <c r="J52" s="7">
        <f t="shared" si="12"/>
        <v>10.887810694802111</v>
      </c>
      <c r="K52" s="7">
        <f t="shared" si="12"/>
        <v>11.565897349736334</v>
      </c>
      <c r="L52" s="7">
        <f t="shared" si="12"/>
        <v>12.482794877745613</v>
      </c>
      <c r="M52" s="7">
        <f t="shared" si="12"/>
        <v>12.930282351541937</v>
      </c>
      <c r="N52" s="7">
        <f t="shared" si="12"/>
        <v>12.972795513748437</v>
      </c>
    </row>
    <row r="53" spans="1:21" x14ac:dyDescent="0.2">
      <c r="A53" s="4" t="s">
        <v>57</v>
      </c>
      <c r="B53" s="7">
        <f t="shared" ref="B53:N53" si="13">LN(B15)</f>
        <v>7.1248673440645875</v>
      </c>
      <c r="C53" s="7">
        <f t="shared" si="13"/>
        <v>6.9679092018018842</v>
      </c>
      <c r="D53" s="7">
        <f t="shared" si="13"/>
        <v>7.7685333009260331</v>
      </c>
      <c r="E53" s="7">
        <f t="shared" si="13"/>
        <v>8.1616604520562817</v>
      </c>
      <c r="F53" s="7">
        <f t="shared" si="13"/>
        <v>8.6511994712639719</v>
      </c>
      <c r="G53" s="7">
        <f t="shared" si="13"/>
        <v>9.4076326396999583</v>
      </c>
      <c r="H53" s="7">
        <f t="shared" si="13"/>
        <v>9.6776528834104276</v>
      </c>
      <c r="I53" s="7">
        <f t="shared" si="13"/>
        <v>10.2422785273763</v>
      </c>
      <c r="J53" s="7">
        <f t="shared" si="13"/>
        <v>10.897849819830439</v>
      </c>
      <c r="K53" s="7">
        <f t="shared" si="13"/>
        <v>11.528405035818615</v>
      </c>
      <c r="L53" s="7">
        <f t="shared" si="13"/>
        <v>12.485445290110814</v>
      </c>
      <c r="M53" s="7">
        <f t="shared" si="13"/>
        <v>12.931444973384856</v>
      </c>
      <c r="N53" s="7">
        <f t="shared" si="13"/>
        <v>12.941033328903529</v>
      </c>
    </row>
    <row r="54" spans="1:21" x14ac:dyDescent="0.2">
      <c r="A54" s="4" t="s">
        <v>58</v>
      </c>
      <c r="B54" s="7">
        <f t="shared" ref="B54:N54" si="14">LN(B16)</f>
        <v>7.1248673440645875</v>
      </c>
      <c r="C54" s="7">
        <f t="shared" si="14"/>
        <v>7.0387835413885416</v>
      </c>
      <c r="D54" s="7">
        <f t="shared" si="14"/>
        <v>7.7501841622578365</v>
      </c>
      <c r="E54" s="7">
        <f t="shared" si="14"/>
        <v>8.1570837850288704</v>
      </c>
      <c r="F54" s="7">
        <f t="shared" si="14"/>
        <v>8.6363974388947131</v>
      </c>
      <c r="G54" s="7">
        <f t="shared" si="14"/>
        <v>9.3734791093533634</v>
      </c>
      <c r="H54" s="7">
        <f t="shared" si="14"/>
        <v>9.6774021783009978</v>
      </c>
      <c r="I54" s="7">
        <f t="shared" si="14"/>
        <v>10.243631611189063</v>
      </c>
      <c r="J54" s="7">
        <f t="shared" si="14"/>
        <v>10.891912882169482</v>
      </c>
      <c r="K54" s="7">
        <f t="shared" si="14"/>
        <v>11.530175818376756</v>
      </c>
      <c r="L54" s="7">
        <f t="shared" si="14"/>
        <v>12.467590397961274</v>
      </c>
      <c r="M54" s="7">
        <f t="shared" si="14"/>
        <v>12.901966051758144</v>
      </c>
      <c r="N54" s="7">
        <f t="shared" si="14"/>
        <v>12.954370670554967</v>
      </c>
    </row>
    <row r="55" spans="1:21" x14ac:dyDescent="0.2">
      <c r="A55" s="4" t="s">
        <v>59</v>
      </c>
      <c r="B55" s="7">
        <f t="shared" ref="B55:N55" si="15">LN(B17)</f>
        <v>7.1248673440645875</v>
      </c>
      <c r="C55" s="7">
        <f t="shared" si="15"/>
        <v>7.014814351275545</v>
      </c>
      <c r="D55" s="7">
        <f t="shared" si="15"/>
        <v>7.8013913202914855</v>
      </c>
      <c r="E55" s="7">
        <f t="shared" si="15"/>
        <v>8.4589282832842621</v>
      </c>
      <c r="F55" s="7">
        <f t="shared" si="15"/>
        <v>8.6798221148644554</v>
      </c>
      <c r="G55" s="7">
        <f t="shared" si="15"/>
        <v>9.4355617630853583</v>
      </c>
      <c r="H55" s="7">
        <f t="shared" si="15"/>
        <v>9.7862793516305864</v>
      </c>
      <c r="I55" s="7">
        <f t="shared" si="15"/>
        <v>10.363535538414585</v>
      </c>
      <c r="J55" s="7">
        <f t="shared" si="15"/>
        <v>11.149369759939274</v>
      </c>
      <c r="K55" s="7">
        <f t="shared" si="15"/>
        <v>11.916655735784676</v>
      </c>
      <c r="L55" s="7">
        <f t="shared" si="15"/>
        <v>12.671691676458085</v>
      </c>
      <c r="M55" s="7">
        <f t="shared" si="15"/>
        <v>12.906741467488965</v>
      </c>
      <c r="N55" s="7">
        <f t="shared" si="15"/>
        <v>13.00776028037957</v>
      </c>
      <c r="O55" s="7"/>
      <c r="P55" s="7"/>
      <c r="Q55" s="7"/>
      <c r="R55" s="7"/>
      <c r="S55" s="7"/>
      <c r="T55" s="7"/>
      <c r="U55" s="7"/>
    </row>
    <row r="56" spans="1:21" x14ac:dyDescent="0.2">
      <c r="A56" s="4" t="s">
        <v>60</v>
      </c>
      <c r="B56" s="7">
        <f t="shared" ref="B56:N56" si="16">LN(B18)</f>
        <v>7.1248673440645875</v>
      </c>
      <c r="C56" s="7">
        <f t="shared" si="16"/>
        <v>7.0246490304536362</v>
      </c>
      <c r="D56" s="7">
        <f t="shared" si="16"/>
        <v>7.7681103785259884</v>
      </c>
      <c r="E56" s="7">
        <f t="shared" si="16"/>
        <v>8.473241303887054</v>
      </c>
      <c r="F56" s="7">
        <f t="shared" si="16"/>
        <v>8.6671637179925334</v>
      </c>
      <c r="G56" s="7">
        <f t="shared" si="16"/>
        <v>9.3930785086553534</v>
      </c>
      <c r="H56" s="7">
        <f t="shared" si="16"/>
        <v>9.7858295090678951</v>
      </c>
      <c r="I56" s="7">
        <f t="shared" si="16"/>
        <v>10.339093817556279</v>
      </c>
      <c r="J56" s="7">
        <f t="shared" si="16"/>
        <v>11.139249679351471</v>
      </c>
      <c r="K56" s="7">
        <f t="shared" si="16"/>
        <v>11.91545292909105</v>
      </c>
      <c r="L56" s="7">
        <f t="shared" si="16"/>
        <v>12.645101470476479</v>
      </c>
      <c r="M56" s="7">
        <f t="shared" si="16"/>
        <v>12.89836946463528</v>
      </c>
      <c r="N56" s="7">
        <f t="shared" si="16"/>
        <v>12.994666360234133</v>
      </c>
    </row>
    <row r="57" spans="1:21" x14ac:dyDescent="0.2">
      <c r="A57" s="4" t="s">
        <v>61</v>
      </c>
      <c r="B57" s="7">
        <f t="shared" ref="B57:N57" si="17">LN(B19)</f>
        <v>7.1248673440645875</v>
      </c>
      <c r="C57" s="7">
        <f t="shared" si="17"/>
        <v>7.0308574761161209</v>
      </c>
      <c r="D57" s="7">
        <f t="shared" si="17"/>
        <v>7.7217917768175353</v>
      </c>
      <c r="E57" s="7">
        <f t="shared" si="17"/>
        <v>8.4557432291000154</v>
      </c>
      <c r="F57" s="7">
        <f t="shared" si="17"/>
        <v>8.6838933673072347</v>
      </c>
      <c r="G57" s="7">
        <f t="shared" si="17"/>
        <v>9.3559979443985455</v>
      </c>
      <c r="H57" s="7">
        <f t="shared" si="17"/>
        <v>9.7740050947578911</v>
      </c>
      <c r="I57" s="7">
        <f t="shared" si="17"/>
        <v>10.344416324919861</v>
      </c>
      <c r="J57" s="7">
        <f t="shared" si="17"/>
        <v>11.146200185177994</v>
      </c>
      <c r="K57" s="7">
        <f t="shared" si="17"/>
        <v>11.91825723085538</v>
      </c>
      <c r="L57" s="7">
        <f t="shared" si="17"/>
        <v>12.71367307394047</v>
      </c>
      <c r="M57" s="7">
        <f t="shared" si="17"/>
        <v>12.894157031747657</v>
      </c>
      <c r="N57" s="7">
        <f t="shared" si="17"/>
        <v>12.963836469176091</v>
      </c>
    </row>
    <row r="58" spans="1:21" x14ac:dyDescent="0.2">
      <c r="A58" s="4" t="s">
        <v>125</v>
      </c>
      <c r="B58" s="7">
        <f t="shared" ref="B58:U58" si="18">LN(B20)</f>
        <v>7.1194414444059957</v>
      </c>
      <c r="C58" s="7">
        <f t="shared" si="18"/>
        <v>7.259819610363186</v>
      </c>
      <c r="D58" s="7">
        <f t="shared" si="18"/>
        <v>7.7428359554307491</v>
      </c>
      <c r="E58" s="7">
        <f t="shared" si="18"/>
        <v>8.0326848759676199</v>
      </c>
      <c r="F58" s="7">
        <f t="shared" si="18"/>
        <v>8.5735735248523444</v>
      </c>
      <c r="G58" s="7">
        <f t="shared" si="18"/>
        <v>8.739216115061744</v>
      </c>
      <c r="H58" s="7">
        <f t="shared" si="18"/>
        <v>8.7284260917046126</v>
      </c>
      <c r="I58" s="7"/>
      <c r="J58" s="7">
        <f t="shared" si="18"/>
        <v>9.6196646904100671</v>
      </c>
      <c r="K58" s="7">
        <f t="shared" si="18"/>
        <v>10.074706030985418</v>
      </c>
      <c r="L58" s="7">
        <f t="shared" si="18"/>
        <v>10.305045035813276</v>
      </c>
      <c r="M58" s="7">
        <f t="shared" si="18"/>
        <v>10.722694532756806</v>
      </c>
      <c r="N58" s="7">
        <f t="shared" si="18"/>
        <v>11.388370803520464</v>
      </c>
      <c r="O58" s="7">
        <f t="shared" si="18"/>
        <v>11.858357442962912</v>
      </c>
      <c r="P58" s="7">
        <f t="shared" si="18"/>
        <v>12.41479267617866</v>
      </c>
      <c r="Q58" s="7">
        <f t="shared" si="18"/>
        <v>12.63421207067721</v>
      </c>
      <c r="R58" s="7">
        <f t="shared" si="18"/>
        <v>12.755753531064837</v>
      </c>
      <c r="S58" s="7">
        <f t="shared" si="18"/>
        <v>12.924741363320196</v>
      </c>
      <c r="T58" s="7">
        <f t="shared" si="18"/>
        <v>12.893905731266351</v>
      </c>
      <c r="U58" s="7">
        <f t="shared" si="18"/>
        <v>12.906890332394338</v>
      </c>
    </row>
    <row r="59" spans="1:21" x14ac:dyDescent="0.2">
      <c r="A59" s="4" t="s">
        <v>126</v>
      </c>
      <c r="B59" s="7">
        <f t="shared" ref="B59:U59" si="19">LN(B21)</f>
        <v>7.1194414444059957</v>
      </c>
      <c r="C59" s="7">
        <f t="shared" si="19"/>
        <v>7.2499255367179876</v>
      </c>
      <c r="D59" s="7">
        <f t="shared" si="19"/>
        <v>7.6884553565499436</v>
      </c>
      <c r="E59" s="7">
        <f t="shared" si="19"/>
        <v>7.9983353959529824</v>
      </c>
      <c r="F59" s="7">
        <f t="shared" si="19"/>
        <v>8.5623577433706117</v>
      </c>
      <c r="G59" s="7">
        <f t="shared" si="19"/>
        <v>8.66561319653451</v>
      </c>
      <c r="H59" s="7">
        <f t="shared" si="19"/>
        <v>8.692322277628687</v>
      </c>
      <c r="I59" s="7"/>
      <c r="J59" s="7">
        <f t="shared" si="19"/>
        <v>9.5911028674439756</v>
      </c>
      <c r="K59" s="7">
        <f t="shared" si="19"/>
        <v>10.031132906371798</v>
      </c>
      <c r="L59" s="7">
        <f t="shared" si="19"/>
        <v>10.288069449727868</v>
      </c>
      <c r="M59" s="7">
        <f t="shared" si="19"/>
        <v>10.734263968084111</v>
      </c>
      <c r="N59" s="7">
        <f t="shared" si="19"/>
        <v>11.389502806493994</v>
      </c>
      <c r="O59" s="7">
        <f t="shared" si="19"/>
        <v>11.911970005275471</v>
      </c>
      <c r="P59" s="7">
        <f t="shared" si="19"/>
        <v>12.419085049644925</v>
      </c>
      <c r="Q59" s="7">
        <f t="shared" si="19"/>
        <v>12.604378856439858</v>
      </c>
      <c r="R59" s="7">
        <f t="shared" si="19"/>
        <v>12.733873373502126</v>
      </c>
      <c r="S59" s="7">
        <f t="shared" si="19"/>
        <v>12.905996810369142</v>
      </c>
      <c r="T59" s="7">
        <f t="shared" si="19"/>
        <v>12.898469544699415</v>
      </c>
      <c r="U59" s="7">
        <f t="shared" si="19"/>
        <v>12.901018208031498</v>
      </c>
    </row>
    <row r="60" spans="1:21" x14ac:dyDescent="0.2">
      <c r="A60" s="4" t="s">
        <v>127</v>
      </c>
      <c r="B60" s="7">
        <f t="shared" ref="B60:U60" si="20">LN(B22)</f>
        <v>7.1194414444059957</v>
      </c>
      <c r="C60" s="7">
        <f t="shared" si="20"/>
        <v>7.2254814727822945</v>
      </c>
      <c r="D60" s="7">
        <f t="shared" si="20"/>
        <v>7.7075121946003406</v>
      </c>
      <c r="E60" s="7">
        <f t="shared" si="20"/>
        <v>8.0156576145573393</v>
      </c>
      <c r="F60" s="7">
        <f t="shared" si="20"/>
        <v>8.556221578383715</v>
      </c>
      <c r="G60" s="7">
        <f t="shared" si="20"/>
        <v>8.6623319570824755</v>
      </c>
      <c r="H60" s="7">
        <f t="shared" si="20"/>
        <v>8.7132532743207047</v>
      </c>
      <c r="I60" s="7"/>
      <c r="J60" s="7"/>
      <c r="K60" s="7">
        <f t="shared" si="20"/>
        <v>10.053415041519079</v>
      </c>
      <c r="L60" s="7">
        <f t="shared" si="20"/>
        <v>10.290618953955788</v>
      </c>
      <c r="M60" s="7">
        <f t="shared" si="20"/>
        <v>10.73382816227228</v>
      </c>
      <c r="N60" s="7">
        <f t="shared" si="20"/>
        <v>11.366928122832672</v>
      </c>
      <c r="O60" s="7">
        <f t="shared" si="20"/>
        <v>11.934132680027</v>
      </c>
      <c r="P60" s="7">
        <f t="shared" si="20"/>
        <v>12.420135088108191</v>
      </c>
      <c r="Q60" s="7">
        <f t="shared" si="20"/>
        <v>12.627345483843852</v>
      </c>
      <c r="R60" s="7">
        <f t="shared" si="20"/>
        <v>12.747408075500736</v>
      </c>
      <c r="S60" s="7">
        <f t="shared" si="20"/>
        <v>12.907138391334415</v>
      </c>
      <c r="T60" s="7">
        <f t="shared" si="20"/>
        <v>12.897017402534919</v>
      </c>
      <c r="U60" s="7">
        <f t="shared" si="20"/>
        <v>12.922252525200692</v>
      </c>
    </row>
    <row r="61" spans="1:21" x14ac:dyDescent="0.2">
      <c r="A61" s="4" t="s">
        <v>128</v>
      </c>
      <c r="B61" s="7">
        <f t="shared" ref="B61:U61" si="21">LN(B23)</f>
        <v>7.1194414444059957</v>
      </c>
      <c r="C61" s="7">
        <f t="shared" si="21"/>
        <v>7.4713630881870969</v>
      </c>
      <c r="D61" s="7">
        <f t="shared" si="21"/>
        <v>7.6629378504615353</v>
      </c>
      <c r="E61" s="7">
        <f t="shared" si="21"/>
        <v>8.0212561801439968</v>
      </c>
      <c r="F61" s="7">
        <f t="shared" si="21"/>
        <v>8.4669519749794908</v>
      </c>
      <c r="G61" s="7">
        <f t="shared" si="21"/>
        <v>8.8535225606895391</v>
      </c>
      <c r="H61" s="7">
        <f t="shared" si="21"/>
        <v>9.1132786591330515</v>
      </c>
      <c r="I61" s="7"/>
      <c r="J61" s="7">
        <f t="shared" si="21"/>
        <v>9.9389512168116969</v>
      </c>
      <c r="K61" s="7">
        <f t="shared" si="21"/>
        <v>10.264756925901597</v>
      </c>
      <c r="L61" s="7">
        <f t="shared" si="21"/>
        <v>10.298296080455764</v>
      </c>
      <c r="M61" s="7">
        <f t="shared" si="21"/>
        <v>10.59603455302404</v>
      </c>
      <c r="N61" s="7">
        <f t="shared" si="21"/>
        <v>10.965262951152264</v>
      </c>
      <c r="O61" s="7">
        <f t="shared" si="21"/>
        <v>11.506706165156311</v>
      </c>
      <c r="P61" s="7">
        <f t="shared" si="21"/>
        <v>11.862736908887559</v>
      </c>
      <c r="Q61" s="7">
        <f t="shared" si="21"/>
        <v>12.254005299285476</v>
      </c>
      <c r="R61" s="7">
        <f t="shared" si="21"/>
        <v>12.533359972574313</v>
      </c>
      <c r="S61" s="7">
        <f t="shared" si="21"/>
        <v>12.801937703283565</v>
      </c>
      <c r="T61" s="7">
        <f t="shared" si="21"/>
        <v>12.892497280329293</v>
      </c>
      <c r="U61" s="7">
        <f t="shared" si="21"/>
        <v>12.928438764759338</v>
      </c>
    </row>
    <row r="62" spans="1:21" x14ac:dyDescent="0.2">
      <c r="A62" s="4" t="s">
        <v>129</v>
      </c>
      <c r="B62" s="7">
        <f t="shared" ref="B62:U62" si="22">LN(B24)</f>
        <v>7.1194414444059957</v>
      </c>
      <c r="C62" s="7">
        <f t="shared" si="22"/>
        <v>7.4169796213811541</v>
      </c>
      <c r="D62" s="7">
        <f t="shared" si="22"/>
        <v>7.6787889981991535</v>
      </c>
      <c r="E62" s="7">
        <f t="shared" si="22"/>
        <v>8.0436633523939438</v>
      </c>
      <c r="F62" s="7">
        <f t="shared" si="22"/>
        <v>8.4580799269237303</v>
      </c>
      <c r="G62" s="7">
        <f t="shared" si="22"/>
        <v>8.8499442272355964</v>
      </c>
      <c r="H62" s="7">
        <f t="shared" si="22"/>
        <v>9.1261976038637549</v>
      </c>
      <c r="I62" s="7"/>
      <c r="J62" s="7">
        <f t="shared" si="22"/>
        <v>9.9015356488108832</v>
      </c>
      <c r="K62" s="7">
        <f t="shared" si="22"/>
        <v>10.258010181906718</v>
      </c>
      <c r="L62" s="7">
        <f t="shared" si="22"/>
        <v>10.305111961258355</v>
      </c>
      <c r="M62" s="7">
        <f t="shared" si="22"/>
        <v>10.601647149919609</v>
      </c>
      <c r="N62" s="7">
        <f t="shared" si="22"/>
        <v>10.95430917736789</v>
      </c>
      <c r="O62" s="7">
        <f t="shared" si="22"/>
        <v>11.49638949633013</v>
      </c>
      <c r="P62" s="7">
        <f t="shared" si="22"/>
        <v>11.877429680023294</v>
      </c>
      <c r="Q62" s="7">
        <f t="shared" si="22"/>
        <v>12.221059775338421</v>
      </c>
      <c r="R62" s="7">
        <f t="shared" si="22"/>
        <v>12.51693399092936</v>
      </c>
      <c r="S62" s="7">
        <f t="shared" si="22"/>
        <v>12.792024294486563</v>
      </c>
      <c r="T62" s="7">
        <f t="shared" si="22"/>
        <v>12.903610174391412</v>
      </c>
      <c r="U62" s="7">
        <f t="shared" si="22"/>
        <v>12.924400124620417</v>
      </c>
    </row>
    <row r="63" spans="1:21" x14ac:dyDescent="0.2">
      <c r="A63" s="4" t="s">
        <v>130</v>
      </c>
      <c r="B63" s="7">
        <f t="shared" ref="B63:U63" si="23">LN(B25)</f>
        <v>7.1194414444059957</v>
      </c>
      <c r="C63" s="7">
        <f t="shared" si="23"/>
        <v>7.4719320782451222</v>
      </c>
      <c r="D63" s="7">
        <f t="shared" si="23"/>
        <v>7.643961949002529</v>
      </c>
      <c r="E63" s="7">
        <f t="shared" si="23"/>
        <v>7.9851439311986203</v>
      </c>
      <c r="F63" s="7">
        <f t="shared" si="23"/>
        <v>8.4612575590859347</v>
      </c>
      <c r="G63" s="7">
        <f t="shared" si="23"/>
        <v>8.8011684019366925</v>
      </c>
      <c r="H63" s="7">
        <f t="shared" si="23"/>
        <v>9.1218369733847791</v>
      </c>
      <c r="I63" s="7"/>
      <c r="J63" s="7">
        <f t="shared" si="23"/>
        <v>9.9062337782041539</v>
      </c>
      <c r="K63" s="7">
        <f t="shared" si="23"/>
        <v>10.248034245674875</v>
      </c>
      <c r="L63" s="7">
        <f t="shared" si="23"/>
        <v>10.317615033722944</v>
      </c>
      <c r="M63" s="7">
        <f t="shared" si="23"/>
        <v>10.593003146862024</v>
      </c>
      <c r="N63" s="7">
        <f t="shared" si="23"/>
        <v>10.966230838123327</v>
      </c>
      <c r="O63" s="7">
        <f t="shared" si="23"/>
        <v>11.474392515253445</v>
      </c>
      <c r="P63" s="7">
        <f t="shared" si="23"/>
        <v>11.858782101473082</v>
      </c>
      <c r="Q63" s="7">
        <f t="shared" si="23"/>
        <v>12.229496160473762</v>
      </c>
      <c r="R63" s="7">
        <f t="shared" si="23"/>
        <v>12.501722887631132</v>
      </c>
      <c r="S63" s="7">
        <f t="shared" si="23"/>
        <v>12.779760386052791</v>
      </c>
      <c r="T63" s="7">
        <f t="shared" si="23"/>
        <v>12.880138938277327</v>
      </c>
      <c r="U63" s="7">
        <f t="shared" si="23"/>
        <v>12.931929000499824</v>
      </c>
    </row>
    <row r="64" spans="1:21" x14ac:dyDescent="0.2">
      <c r="A64" s="4" t="s">
        <v>131</v>
      </c>
      <c r="B64" s="7">
        <f t="shared" ref="B64:U64" si="24">LN(B26)</f>
        <v>7.1194414444059957</v>
      </c>
      <c r="C64" s="7">
        <f t="shared" si="24"/>
        <v>7.1300985101255776</v>
      </c>
      <c r="D64" s="7">
        <f t="shared" si="24"/>
        <v>7.3024964237273258</v>
      </c>
      <c r="E64" s="7">
        <f t="shared" si="24"/>
        <v>7.640603826393634</v>
      </c>
      <c r="F64" s="7">
        <f t="shared" si="24"/>
        <v>8.068089626278244</v>
      </c>
      <c r="G64" s="7">
        <f t="shared" si="24"/>
        <v>8.427706024914702</v>
      </c>
      <c r="H64" s="7">
        <f t="shared" si="24"/>
        <v>8.6941671418835966</v>
      </c>
      <c r="I64" s="7"/>
      <c r="J64" s="7">
        <f t="shared" si="24"/>
        <v>9.6109269326332392</v>
      </c>
      <c r="K64" s="7">
        <f t="shared" si="24"/>
        <v>9.9363902722118365</v>
      </c>
      <c r="L64" s="7">
        <f t="shared" si="24"/>
        <v>10.054963229158981</v>
      </c>
      <c r="M64" s="7">
        <f t="shared" si="24"/>
        <v>10.232791299678729</v>
      </c>
      <c r="N64" s="7">
        <f t="shared" si="24"/>
        <v>10.446131559688638</v>
      </c>
      <c r="O64" s="7">
        <f t="shared" si="24"/>
        <v>10.888931143098599</v>
      </c>
      <c r="P64" s="7">
        <f t="shared" si="24"/>
        <v>11.266769139346946</v>
      </c>
      <c r="Q64" s="7">
        <f t="shared" si="24"/>
        <v>11.57402056433004</v>
      </c>
      <c r="R64" s="7">
        <f t="shared" si="24"/>
        <v>12.071397742203573</v>
      </c>
      <c r="S64" s="7">
        <f t="shared" si="24"/>
        <v>12.521758914391553</v>
      </c>
      <c r="T64" s="7">
        <f t="shared" si="24"/>
        <v>12.490499425261282</v>
      </c>
      <c r="U64" s="7">
        <f t="shared" si="24"/>
        <v>12.576255939493699</v>
      </c>
    </row>
    <row r="65" spans="1:30" x14ac:dyDescent="0.2">
      <c r="A65" s="4" t="s">
        <v>132</v>
      </c>
      <c r="B65" s="7">
        <f t="shared" ref="B65:U65" si="25">LN(B27)</f>
        <v>7.1194414444059957</v>
      </c>
      <c r="C65" s="7">
        <f t="shared" si="25"/>
        <v>7.1074254741107046</v>
      </c>
      <c r="D65" s="7">
        <f t="shared" si="25"/>
        <v>7.3317149697264661</v>
      </c>
      <c r="E65" s="7">
        <f t="shared" si="25"/>
        <v>7.6444407615565657</v>
      </c>
      <c r="F65" s="7">
        <f t="shared" si="25"/>
        <v>8.0471895621705016</v>
      </c>
      <c r="G65" s="7">
        <f t="shared" si="25"/>
        <v>8.4283619777096224</v>
      </c>
      <c r="H65" s="7">
        <f t="shared" si="25"/>
        <v>8.6371072880815749</v>
      </c>
      <c r="I65" s="7"/>
      <c r="J65" s="7">
        <f t="shared" si="25"/>
        <v>9.5678050040291645</v>
      </c>
      <c r="K65" s="7">
        <f t="shared" si="25"/>
        <v>9.9191640319211363</v>
      </c>
      <c r="L65" s="7">
        <f t="shared" si="25"/>
        <v>10.034515814942532</v>
      </c>
      <c r="M65" s="7">
        <f t="shared" si="25"/>
        <v>10.241351677174485</v>
      </c>
      <c r="N65" s="7">
        <f t="shared" si="25"/>
        <v>10.479173520649045</v>
      </c>
      <c r="O65" s="7">
        <f t="shared" si="25"/>
        <v>10.980876204752612</v>
      </c>
      <c r="P65" s="7">
        <f t="shared" si="25"/>
        <v>11.263437938316416</v>
      </c>
      <c r="Q65" s="7">
        <f t="shared" si="25"/>
        <v>11.544036459995281</v>
      </c>
      <c r="R65" s="7">
        <f t="shared" si="25"/>
        <v>12.051871964452873</v>
      </c>
      <c r="S65" s="7">
        <f t="shared" si="25"/>
        <v>12.495902410039413</v>
      </c>
      <c r="T65" s="7">
        <f t="shared" si="25"/>
        <v>12.49612690212701</v>
      </c>
      <c r="U65" s="7">
        <f t="shared" si="25"/>
        <v>12.57029900562174</v>
      </c>
    </row>
    <row r="66" spans="1:30" x14ac:dyDescent="0.2">
      <c r="A66" s="4" t="s">
        <v>133</v>
      </c>
      <c r="B66" s="7">
        <f t="shared" ref="B66:N66" si="26">LN(B28)</f>
        <v>7.1194414444059957</v>
      </c>
      <c r="C66" s="7">
        <f t="shared" si="26"/>
        <v>7.1701195434496281</v>
      </c>
      <c r="D66" s="7">
        <f t="shared" si="26"/>
        <v>7.3440728505730659</v>
      </c>
      <c r="E66" s="7">
        <f t="shared" si="26"/>
        <v>7.6255950721324535</v>
      </c>
      <c r="F66" s="7">
        <f t="shared" si="26"/>
        <v>8.0388347577877486</v>
      </c>
      <c r="G66" s="7">
        <f t="shared" si="26"/>
        <v>8.3777012125976391</v>
      </c>
      <c r="H66" s="7">
        <f t="shared" si="26"/>
        <v>8.6557370008642973</v>
      </c>
      <c r="I66" s="7"/>
      <c r="J66" s="7"/>
      <c r="K66" s="7">
        <f t="shared" si="26"/>
        <v>9.9367772504007696</v>
      </c>
      <c r="L66" s="7">
        <f t="shared" si="26"/>
        <v>10.041726596759894</v>
      </c>
      <c r="M66" s="7">
        <f t="shared" si="26"/>
        <v>10.236346124873199</v>
      </c>
      <c r="N66" s="7">
        <f t="shared" si="26"/>
        <v>10.472629253124955</v>
      </c>
    </row>
    <row r="67" spans="1:30" x14ac:dyDescent="0.2">
      <c r="A67" s="4" t="s">
        <v>197</v>
      </c>
      <c r="B67" s="7">
        <f t="shared" ref="B67:N67" si="27">LN(B29)</f>
        <v>7.3080470283163042</v>
      </c>
      <c r="C67" s="7">
        <f t="shared" si="27"/>
        <v>7.0094089327086371</v>
      </c>
      <c r="D67" s="7">
        <f t="shared" si="27"/>
        <v>7.8743588247298808</v>
      </c>
      <c r="E67" s="7">
        <f t="shared" si="27"/>
        <v>8.7083092958916879</v>
      </c>
      <c r="F67" s="7">
        <f t="shared" si="27"/>
        <v>9.618069581737414</v>
      </c>
      <c r="G67" s="7">
        <f t="shared" si="27"/>
        <v>10.378758534888256</v>
      </c>
      <c r="H67" s="7">
        <f t="shared" si="27"/>
        <v>11.185240506881341</v>
      </c>
      <c r="I67" s="7">
        <f t="shared" si="27"/>
        <v>12.32802475628092</v>
      </c>
      <c r="J67" s="7">
        <f t="shared" si="27"/>
        <v>13.085367387717604</v>
      </c>
      <c r="K67" s="7">
        <f t="shared" si="27"/>
        <v>13.490029694282242</v>
      </c>
      <c r="L67" s="7">
        <f t="shared" si="27"/>
        <v>13.637889934448964</v>
      </c>
      <c r="M67" s="7">
        <f t="shared" si="27"/>
        <v>13.784577011194349</v>
      </c>
      <c r="N67" s="7">
        <f t="shared" si="27"/>
        <v>13.755505744027245</v>
      </c>
    </row>
    <row r="68" spans="1:30" x14ac:dyDescent="0.2">
      <c r="A68" s="4" t="s">
        <v>198</v>
      </c>
      <c r="B68" s="7">
        <f t="shared" ref="B68:N68" si="28">LN(B30)</f>
        <v>7.3080470283163042</v>
      </c>
      <c r="C68" s="7">
        <f t="shared" si="28"/>
        <v>7.0139154748105277</v>
      </c>
      <c r="D68" s="7">
        <f t="shared" si="28"/>
        <v>7.8917046593301068</v>
      </c>
      <c r="E68" s="7">
        <f t="shared" si="28"/>
        <v>8.7607666242419562</v>
      </c>
      <c r="F68" s="7">
        <f t="shared" si="28"/>
        <v>9.6018417730669601</v>
      </c>
      <c r="G68" s="7">
        <f t="shared" si="28"/>
        <v>10.389333772591105</v>
      </c>
      <c r="H68" s="7">
        <f t="shared" si="28"/>
        <v>11.167402392828597</v>
      </c>
      <c r="I68" s="7">
        <f t="shared" si="28"/>
        <v>12.334289943330928</v>
      </c>
      <c r="J68" s="7">
        <f t="shared" si="28"/>
        <v>13.096922484922375</v>
      </c>
      <c r="K68" s="7">
        <f t="shared" si="28"/>
        <v>13.480680971454337</v>
      </c>
      <c r="L68" s="7">
        <f t="shared" si="28"/>
        <v>13.627251408503566</v>
      </c>
      <c r="M68" s="7">
        <f t="shared" si="28"/>
        <v>13.783627657096547</v>
      </c>
      <c r="N68" s="7">
        <f t="shared" si="28"/>
        <v>13.759405706579502</v>
      </c>
    </row>
    <row r="69" spans="1:30" x14ac:dyDescent="0.2">
      <c r="A69" s="4" t="s">
        <v>199</v>
      </c>
      <c r="B69" s="7">
        <f t="shared" ref="B69:N69" si="29">LN(B31)</f>
        <v>7.3080470283163042</v>
      </c>
      <c r="C69" s="7"/>
      <c r="D69" s="7">
        <f t="shared" si="29"/>
        <v>7.8208408799073439</v>
      </c>
      <c r="E69" s="7">
        <f t="shared" si="29"/>
        <v>8.7253449249112105</v>
      </c>
      <c r="F69" s="7">
        <f t="shared" si="29"/>
        <v>9.5872002230740119</v>
      </c>
      <c r="G69" s="7">
        <f t="shared" si="29"/>
        <v>10.364954850759577</v>
      </c>
      <c r="H69" s="7">
        <f t="shared" si="29"/>
        <v>11.156564757368372</v>
      </c>
      <c r="I69" s="7">
        <f t="shared" si="29"/>
        <v>12.318508074859961</v>
      </c>
      <c r="J69" s="7">
        <f t="shared" si="29"/>
        <v>13.119599561581598</v>
      </c>
      <c r="K69" s="7">
        <f t="shared" si="29"/>
        <v>13.469097070448671</v>
      </c>
      <c r="L69" s="7">
        <f t="shared" si="29"/>
        <v>13.6344681826687</v>
      </c>
      <c r="M69" s="7">
        <f t="shared" si="29"/>
        <v>13.783111325517597</v>
      </c>
      <c r="N69" s="7">
        <f t="shared" si="29"/>
        <v>13.760526249631514</v>
      </c>
    </row>
    <row r="70" spans="1:30" x14ac:dyDescent="0.2">
      <c r="A70" s="4" t="s">
        <v>200</v>
      </c>
      <c r="B70" s="7">
        <f t="shared" ref="B70:N70" si="30">LN(B32)</f>
        <v>7.3080470283163042</v>
      </c>
      <c r="C70" s="7">
        <f t="shared" si="30"/>
        <v>7.2717037068873678</v>
      </c>
      <c r="D70" s="7">
        <f t="shared" si="30"/>
        <v>7.8720739798668733</v>
      </c>
      <c r="E70" s="7">
        <f t="shared" si="30"/>
        <v>8.7983037184849788</v>
      </c>
      <c r="F70" s="7">
        <f t="shared" si="30"/>
        <v>9.4512452528690343</v>
      </c>
      <c r="G70" s="7">
        <f t="shared" si="30"/>
        <v>10.265418658620565</v>
      </c>
      <c r="H70" s="7">
        <f t="shared" si="30"/>
        <v>11.107735319056495</v>
      </c>
      <c r="I70" s="7">
        <f t="shared" si="30"/>
        <v>12.303290096245533</v>
      </c>
      <c r="J70" s="7">
        <f t="shared" si="30"/>
        <v>13.055496815147384</v>
      </c>
      <c r="K70" s="7">
        <f t="shared" si="30"/>
        <v>13.393946555266361</v>
      </c>
      <c r="L70" s="7">
        <f t="shared" si="30"/>
        <v>13.566818402803689</v>
      </c>
      <c r="M70" s="7">
        <f t="shared" si="30"/>
        <v>13.690015359886067</v>
      </c>
      <c r="N70" s="7">
        <f t="shared" si="30"/>
        <v>13.591116224748411</v>
      </c>
    </row>
    <row r="71" spans="1:30" x14ac:dyDescent="0.2">
      <c r="A71" s="4" t="s">
        <v>201</v>
      </c>
      <c r="B71" s="7">
        <f t="shared" ref="B71:N71" si="31">LN(B33)</f>
        <v>7.3080470283163042</v>
      </c>
      <c r="C71" s="7">
        <f t="shared" si="31"/>
        <v>7.193685818395112</v>
      </c>
      <c r="D71" s="7">
        <f t="shared" si="31"/>
        <v>7.8601850574721652</v>
      </c>
      <c r="E71" s="7">
        <f t="shared" si="31"/>
        <v>8.7604530463152717</v>
      </c>
      <c r="F71" s="7">
        <f t="shared" si="31"/>
        <v>9.4191415615745164</v>
      </c>
      <c r="G71" s="7">
        <f t="shared" si="31"/>
        <v>10.256360277191787</v>
      </c>
      <c r="H71" s="7">
        <f t="shared" si="31"/>
        <v>11.082388672433041</v>
      </c>
      <c r="I71" s="7">
        <f t="shared" si="31"/>
        <v>12.285807613549027</v>
      </c>
      <c r="J71" s="7">
        <f t="shared" si="31"/>
        <v>13.049620626757644</v>
      </c>
      <c r="K71" s="7">
        <f t="shared" si="31"/>
        <v>13.396139204681541</v>
      </c>
      <c r="L71" s="7">
        <f t="shared" si="31"/>
        <v>13.558965330016035</v>
      </c>
      <c r="M71" s="7">
        <f t="shared" si="31"/>
        <v>13.684900608052997</v>
      </c>
      <c r="N71" s="7">
        <f t="shared" si="31"/>
        <v>13.602935957999298</v>
      </c>
    </row>
    <row r="72" spans="1:30" x14ac:dyDescent="0.2">
      <c r="A72" s="4" t="s">
        <v>202</v>
      </c>
      <c r="B72" s="7">
        <f t="shared" ref="B72:N72" si="32">LN(B34)</f>
        <v>7.3080470283163042</v>
      </c>
      <c r="C72" s="7"/>
      <c r="D72" s="7">
        <f t="shared" si="32"/>
        <v>7.8609563648763894</v>
      </c>
      <c r="E72" s="7">
        <f t="shared" si="32"/>
        <v>8.7803263909466054</v>
      </c>
      <c r="F72" s="7">
        <f t="shared" si="32"/>
        <v>9.3658900727171481</v>
      </c>
      <c r="G72" s="7">
        <f t="shared" si="32"/>
        <v>10.235593126289832</v>
      </c>
      <c r="H72" s="7">
        <f t="shared" si="32"/>
        <v>11.117153228832963</v>
      </c>
      <c r="I72" s="7">
        <f t="shared" si="32"/>
        <v>12.249323687524489</v>
      </c>
      <c r="J72" s="7">
        <f t="shared" si="32"/>
        <v>13.034668130265167</v>
      </c>
      <c r="K72" s="7">
        <f t="shared" si="32"/>
        <v>13.380410644726419</v>
      </c>
      <c r="L72" s="7">
        <f t="shared" si="32"/>
        <v>13.550268155628727</v>
      </c>
      <c r="M72" s="7">
        <f t="shared" si="32"/>
        <v>13.689992685434504</v>
      </c>
      <c r="N72" s="7">
        <f t="shared" si="32"/>
        <v>13.594739190795121</v>
      </c>
    </row>
    <row r="73" spans="1:30" x14ac:dyDescent="0.2">
      <c r="A73" s="4" t="s">
        <v>203</v>
      </c>
      <c r="B73" s="7">
        <f t="shared" ref="B73:N73" si="33">LN(B35)</f>
        <v>7.3080470283163042</v>
      </c>
      <c r="C73" s="7">
        <f t="shared" si="33"/>
        <v>7.1444071803211386</v>
      </c>
      <c r="D73" s="7">
        <f t="shared" si="33"/>
        <v>7.941295570906532</v>
      </c>
      <c r="E73" s="7">
        <f t="shared" si="33"/>
        <v>8.8523788865119855</v>
      </c>
      <c r="F73" s="7">
        <f t="shared" si="33"/>
        <v>9.6670054367827376</v>
      </c>
      <c r="G73" s="7">
        <f t="shared" si="33"/>
        <v>10.408858325619155</v>
      </c>
      <c r="H73" s="7">
        <f t="shared" si="33"/>
        <v>11.262076642563796</v>
      </c>
      <c r="I73" s="7">
        <f t="shared" si="33"/>
        <v>12.411296595541433</v>
      </c>
      <c r="J73" s="7">
        <f t="shared" si="33"/>
        <v>13.195502308761071</v>
      </c>
      <c r="K73" s="7">
        <f t="shared" si="33"/>
        <v>13.568688879295488</v>
      </c>
      <c r="L73" s="7">
        <f t="shared" si="33"/>
        <v>13.667590427887651</v>
      </c>
      <c r="M73" s="7">
        <f t="shared" si="33"/>
        <v>13.811582854626295</v>
      </c>
      <c r="N73" s="7">
        <f t="shared" si="33"/>
        <v>13.7915866498449</v>
      </c>
    </row>
    <row r="74" spans="1:30" x14ac:dyDescent="0.2">
      <c r="A74" s="4" t="s">
        <v>204</v>
      </c>
      <c r="B74" s="7">
        <f t="shared" ref="B74:N74" si="34">LN(B36)</f>
        <v>7.3080470283163042</v>
      </c>
      <c r="C74" s="7">
        <f t="shared" si="34"/>
        <v>7.0867379345105768</v>
      </c>
      <c r="D74" s="7">
        <f t="shared" si="34"/>
        <v>7.9578773584898128</v>
      </c>
      <c r="E74" s="7">
        <f t="shared" si="34"/>
        <v>8.8346282220173666</v>
      </c>
      <c r="F74" s="7">
        <f t="shared" si="34"/>
        <v>9.6421227884017213</v>
      </c>
      <c r="G74" s="7">
        <f t="shared" si="34"/>
        <v>10.397207708399179</v>
      </c>
      <c r="H74" s="7">
        <f t="shared" si="34"/>
        <v>11.264220486255338</v>
      </c>
      <c r="I74" s="7">
        <f t="shared" si="34"/>
        <v>12.410563308345173</v>
      </c>
      <c r="J74" s="7">
        <f t="shared" si="34"/>
        <v>13.191217572609503</v>
      </c>
      <c r="K74" s="7">
        <f t="shared" si="34"/>
        <v>13.566279671886745</v>
      </c>
      <c r="L74" s="7">
        <f t="shared" si="34"/>
        <v>13.671940373431163</v>
      </c>
      <c r="M74" s="7">
        <f t="shared" si="34"/>
        <v>13.809955155250577</v>
      </c>
      <c r="N74" s="7">
        <f t="shared" si="34"/>
        <v>13.784081808460614</v>
      </c>
    </row>
    <row r="75" spans="1:30" x14ac:dyDescent="0.2">
      <c r="A75" s="4" t="s">
        <v>205</v>
      </c>
      <c r="B75" s="7">
        <f t="shared" ref="B75:N75" si="35">LN(B37)</f>
        <v>7.3080470283163042</v>
      </c>
      <c r="C75" s="7"/>
      <c r="D75" s="7">
        <f t="shared" si="35"/>
        <v>7.9690117811064782</v>
      </c>
      <c r="E75" s="7">
        <f t="shared" si="35"/>
        <v>8.7812483332368618</v>
      </c>
      <c r="F75" s="7">
        <f t="shared" si="35"/>
        <v>9.6087137262705902</v>
      </c>
      <c r="G75" s="7">
        <f t="shared" si="35"/>
        <v>10.389918019467396</v>
      </c>
      <c r="H75" s="7">
        <f t="shared" si="35"/>
        <v>11.25473746774615</v>
      </c>
      <c r="I75" s="7">
        <f t="shared" si="35"/>
        <v>12.398014445701119</v>
      </c>
      <c r="J75" s="7">
        <f t="shared" si="35"/>
        <v>13.185976470465398</v>
      </c>
      <c r="K75" s="7">
        <f t="shared" si="35"/>
        <v>13.559869641057288</v>
      </c>
      <c r="L75" s="7">
        <f t="shared" si="35"/>
        <v>13.659838721765077</v>
      </c>
      <c r="M75" s="7">
        <f t="shared" si="35"/>
        <v>13.804287817941793</v>
      </c>
      <c r="N75" s="7">
        <f t="shared" si="35"/>
        <v>13.798893252140836</v>
      </c>
    </row>
    <row r="78" spans="1:30" s="25" customFormat="1" ht="16" x14ac:dyDescent="0.2">
      <c r="A78" s="24" t="s">
        <v>219</v>
      </c>
      <c r="B78" s="25">
        <v>0</v>
      </c>
      <c r="C78" s="25">
        <v>2</v>
      </c>
      <c r="D78" s="25">
        <v>4</v>
      </c>
      <c r="E78" s="25">
        <v>6</v>
      </c>
      <c r="F78" s="25">
        <v>8</v>
      </c>
      <c r="G78" s="25">
        <v>10</v>
      </c>
      <c r="H78" s="25">
        <v>12</v>
      </c>
      <c r="I78" s="25">
        <v>14</v>
      </c>
      <c r="J78" s="25">
        <v>16</v>
      </c>
      <c r="K78" s="25">
        <v>18</v>
      </c>
      <c r="L78" s="25">
        <v>20</v>
      </c>
      <c r="M78" s="25">
        <v>22</v>
      </c>
      <c r="N78" s="25">
        <v>24</v>
      </c>
      <c r="O78" s="25">
        <v>26</v>
      </c>
      <c r="P78" s="25">
        <v>28</v>
      </c>
      <c r="Q78" s="25">
        <v>30</v>
      </c>
      <c r="R78" s="25">
        <v>32</v>
      </c>
      <c r="S78" s="25">
        <v>34</v>
      </c>
      <c r="T78" s="25">
        <v>36</v>
      </c>
      <c r="U78" s="25">
        <v>38</v>
      </c>
      <c r="AA78" s="20" t="s">
        <v>290</v>
      </c>
      <c r="AB78" s="21" t="s">
        <v>291</v>
      </c>
      <c r="AC78" s="21" t="s">
        <v>292</v>
      </c>
      <c r="AD78" s="21" t="s">
        <v>293</v>
      </c>
    </row>
    <row r="79" spans="1:30" s="10" customFormat="1" x14ac:dyDescent="0.2">
      <c r="A79" s="9" t="s">
        <v>220</v>
      </c>
      <c r="B79" s="11">
        <f>AVERAGE(B40:B42)</f>
        <v>7.1248673440645875</v>
      </c>
      <c r="C79" s="11">
        <f t="shared" ref="C79:L79" si="36">AVERAGE(C40:C42)</f>
        <v>7.1501996823714506</v>
      </c>
      <c r="D79" s="11">
        <f t="shared" si="36"/>
        <v>7.3456181681508683</v>
      </c>
      <c r="E79" s="11">
        <f t="shared" si="36"/>
        <v>7.7098562980496474</v>
      </c>
      <c r="F79" s="11">
        <f t="shared" si="36"/>
        <v>7.6761263765827765</v>
      </c>
      <c r="G79" s="11">
        <f t="shared" si="36"/>
        <v>7.8771020363916442</v>
      </c>
      <c r="H79" s="11">
        <f t="shared" si="36"/>
        <v>7.8818060628550528</v>
      </c>
      <c r="I79" s="11">
        <f t="shared" si="36"/>
        <v>7.9494433196881831</v>
      </c>
      <c r="J79" s="11">
        <f t="shared" si="36"/>
        <v>7.9820132732781701</v>
      </c>
      <c r="K79" s="11">
        <f t="shared" si="36"/>
        <v>7.985900126267409</v>
      </c>
      <c r="L79" s="11">
        <f t="shared" si="36"/>
        <v>8.0281004961885802</v>
      </c>
      <c r="M79" s="11"/>
      <c r="N79" s="11"/>
      <c r="AA79" s="6"/>
      <c r="AB79" s="6"/>
      <c r="AC79" s="6"/>
      <c r="AD79" s="6"/>
    </row>
    <row r="80" spans="1:30" s="10" customFormat="1" x14ac:dyDescent="0.2">
      <c r="A80" s="9" t="s">
        <v>221</v>
      </c>
      <c r="B80" s="11">
        <f t="shared" ref="B80:L80" si="37">AVERAGE(B43:B45)</f>
        <v>7.1248673440645875</v>
      </c>
      <c r="C80" s="11">
        <f t="shared" si="37"/>
        <v>7.0870397977000152</v>
      </c>
      <c r="D80" s="11">
        <f t="shared" si="37"/>
        <v>7.3211828635096339</v>
      </c>
      <c r="E80" s="11">
        <f t="shared" si="37"/>
        <v>7.6093026071317951</v>
      </c>
      <c r="F80" s="11">
        <f t="shared" si="37"/>
        <v>7.6299735036602145</v>
      </c>
      <c r="G80" s="11">
        <f t="shared" si="37"/>
        <v>7.8513445152715073</v>
      </c>
      <c r="H80" s="11">
        <f t="shared" si="37"/>
        <v>7.8300231879402773</v>
      </c>
      <c r="I80" s="11">
        <f t="shared" si="37"/>
        <v>7.8439622726447205</v>
      </c>
      <c r="J80" s="11">
        <f t="shared" si="37"/>
        <v>7.8763756214480685</v>
      </c>
      <c r="K80" s="11">
        <f t="shared" si="37"/>
        <v>7.8276310236150968</v>
      </c>
      <c r="L80" s="11">
        <f t="shared" si="37"/>
        <v>7.7957552405937918</v>
      </c>
      <c r="AA80" s="6"/>
      <c r="AB80" s="6"/>
      <c r="AC80" s="6"/>
      <c r="AD80" s="6"/>
    </row>
    <row r="81" spans="1:30" s="10" customFormat="1" x14ac:dyDescent="0.2">
      <c r="A81" s="9" t="s">
        <v>50</v>
      </c>
      <c r="B81" s="11">
        <f t="shared" ref="B81:L81" si="38">AVERAGE(B46:B48)</f>
        <v>7.1248673440645875</v>
      </c>
      <c r="C81" s="11">
        <f t="shared" si="38"/>
        <v>7.0779555771542251</v>
      </c>
      <c r="D81" s="11">
        <f t="shared" si="38"/>
        <v>7.3110291347876375</v>
      </c>
      <c r="E81" s="11">
        <f t="shared" si="38"/>
        <v>7.6838159019490249</v>
      </c>
      <c r="F81" s="11">
        <f t="shared" si="38"/>
        <v>7.5944706995858651</v>
      </c>
      <c r="G81" s="11">
        <f t="shared" si="38"/>
        <v>7.802993810879844</v>
      </c>
      <c r="H81" s="11">
        <f t="shared" si="38"/>
        <v>7.7740091695006912</v>
      </c>
      <c r="I81" s="11">
        <f t="shared" si="38"/>
        <v>7.8093679947074195</v>
      </c>
      <c r="J81" s="11">
        <f t="shared" si="38"/>
        <v>7.8234984945612469</v>
      </c>
      <c r="K81" s="11">
        <f t="shared" si="38"/>
        <v>7.7618404207018274</v>
      </c>
      <c r="L81" s="11">
        <f t="shared" si="38"/>
        <v>7.7503784457554019</v>
      </c>
      <c r="AA81" s="6"/>
      <c r="AB81" s="6"/>
      <c r="AC81" s="6"/>
      <c r="AD81" s="6"/>
    </row>
    <row r="82" spans="1:30" s="10" customFormat="1" x14ac:dyDescent="0.2">
      <c r="A82" s="9" t="s">
        <v>222</v>
      </c>
      <c r="B82" s="11">
        <f>AVERAGE(B49:B51)</f>
        <v>7.1248673440645875</v>
      </c>
      <c r="C82" s="11">
        <f t="shared" ref="C82:L82" si="39">AVERAGE(C49:C51)</f>
        <v>7.1251724718632135</v>
      </c>
      <c r="D82" s="11">
        <f t="shared" si="39"/>
        <v>7.6569385021712355</v>
      </c>
      <c r="E82" s="11">
        <f t="shared" si="39"/>
        <v>8.2842443504694856</v>
      </c>
      <c r="F82" s="11">
        <f t="shared" si="39"/>
        <v>8.6767966003727377</v>
      </c>
      <c r="G82" s="11">
        <f t="shared" si="39"/>
        <v>9.4111453245059131</v>
      </c>
      <c r="H82" s="11">
        <f t="shared" si="39"/>
        <v>9.8050024207740041</v>
      </c>
      <c r="I82" s="11">
        <f t="shared" si="39"/>
        <v>10.306766712725748</v>
      </c>
      <c r="J82" s="11">
        <f t="shared" si="39"/>
        <v>10.913376407857356</v>
      </c>
      <c r="K82" s="11">
        <f t="shared" si="39"/>
        <v>11.483900313208876</v>
      </c>
      <c r="L82" s="11">
        <f t="shared" si="39"/>
        <v>12.309491678864886</v>
      </c>
      <c r="M82" s="11">
        <f t="shared" ref="M82:N82" si="40">AVERAGE(M49:M51)</f>
        <v>12.832128702028541</v>
      </c>
      <c r="N82" s="11">
        <f t="shared" si="40"/>
        <v>12.849585594415727</v>
      </c>
      <c r="P82" s="12">
        <v>0.26919999999999999</v>
      </c>
      <c r="AA82" s="6">
        <v>4</v>
      </c>
      <c r="AB82" s="6">
        <v>18</v>
      </c>
      <c r="AC82" s="6">
        <v>0.26919999999999999</v>
      </c>
      <c r="AD82" s="27">
        <v>0.99746000000000001</v>
      </c>
    </row>
    <row r="83" spans="1:30" s="10" customFormat="1" x14ac:dyDescent="0.2">
      <c r="A83" s="9" t="s">
        <v>223</v>
      </c>
      <c r="B83" s="11">
        <f t="shared" ref="B83:L83" si="41">AVERAGE(B52:B54)</f>
        <v>7.1248673440645875</v>
      </c>
      <c r="C83" s="11">
        <f t="shared" si="41"/>
        <v>7.0177800070130614</v>
      </c>
      <c r="D83" s="11">
        <f t="shared" si="41"/>
        <v>7.7590169768915942</v>
      </c>
      <c r="E83" s="11">
        <f t="shared" si="41"/>
        <v>8.1602300121846145</v>
      </c>
      <c r="F83" s="11">
        <f t="shared" si="41"/>
        <v>8.6402645924437422</v>
      </c>
      <c r="G83" s="11">
        <f t="shared" si="41"/>
        <v>9.4129269463773557</v>
      </c>
      <c r="H83" s="11">
        <f t="shared" si="41"/>
        <v>9.6824425445995406</v>
      </c>
      <c r="I83" s="11">
        <f t="shared" si="41"/>
        <v>10.237848092677355</v>
      </c>
      <c r="J83" s="11">
        <f t="shared" si="41"/>
        <v>10.892524465600678</v>
      </c>
      <c r="K83" s="11">
        <f t="shared" si="41"/>
        <v>11.541492734643901</v>
      </c>
      <c r="L83" s="11">
        <f t="shared" si="41"/>
        <v>12.4786101886059</v>
      </c>
      <c r="M83" s="11">
        <f t="shared" ref="M83:N83" si="42">AVERAGE(M52:M54)</f>
        <v>12.921231125561647</v>
      </c>
      <c r="N83" s="11">
        <f t="shared" si="42"/>
        <v>12.95606650440231</v>
      </c>
      <c r="P83" s="12">
        <v>0.26910000000000001</v>
      </c>
      <c r="Q83" s="12">
        <f>AVERAGE(P82:P84)</f>
        <v>0.27443333333333331</v>
      </c>
      <c r="R83" s="12">
        <f>STDEV(P82:P84)</f>
        <v>9.1511383627029194E-3</v>
      </c>
      <c r="AA83" s="6">
        <v>4</v>
      </c>
      <c r="AB83" s="6">
        <v>18</v>
      </c>
      <c r="AC83" s="6">
        <v>0.26910000000000001</v>
      </c>
      <c r="AD83" s="6">
        <v>0.99326999999999999</v>
      </c>
    </row>
    <row r="84" spans="1:30" s="10" customFormat="1" x14ac:dyDescent="0.2">
      <c r="A84" s="9" t="s">
        <v>224</v>
      </c>
      <c r="B84" s="11">
        <f t="shared" ref="B84:L84" si="43">AVERAGE(B55:B57)</f>
        <v>7.1248673440645875</v>
      </c>
      <c r="C84" s="11">
        <f t="shared" si="43"/>
        <v>7.0234402859484346</v>
      </c>
      <c r="D84" s="11">
        <f t="shared" si="43"/>
        <v>7.7637644918783364</v>
      </c>
      <c r="E84" s="11">
        <f t="shared" si="43"/>
        <v>8.4626376054237777</v>
      </c>
      <c r="F84" s="11">
        <f t="shared" si="43"/>
        <v>8.6769597333880739</v>
      </c>
      <c r="G84" s="11">
        <f t="shared" si="43"/>
        <v>9.3948794053797524</v>
      </c>
      <c r="H84" s="11">
        <f t="shared" si="43"/>
        <v>9.7820379851521242</v>
      </c>
      <c r="I84" s="11">
        <f t="shared" si="43"/>
        <v>10.349015226963575</v>
      </c>
      <c r="J84" s="11">
        <f t="shared" si="43"/>
        <v>11.144939874822912</v>
      </c>
      <c r="K84" s="11">
        <f t="shared" si="43"/>
        <v>11.91678863191037</v>
      </c>
      <c r="L84" s="11">
        <f t="shared" si="43"/>
        <v>12.676822073625011</v>
      </c>
      <c r="M84" s="11">
        <f t="shared" ref="M84:N84" si="44">AVERAGE(M55:M57)</f>
        <v>12.899755987957301</v>
      </c>
      <c r="N84" s="11">
        <f t="shared" si="44"/>
        <v>12.98875436992993</v>
      </c>
      <c r="P84" s="12">
        <v>0.28499999999999998</v>
      </c>
      <c r="AA84" s="6">
        <v>4</v>
      </c>
      <c r="AB84" s="6">
        <v>18</v>
      </c>
      <c r="AC84" s="6">
        <v>0.28499999999999998</v>
      </c>
      <c r="AD84" s="6">
        <v>0.98563000000000001</v>
      </c>
    </row>
    <row r="85" spans="1:30" s="10" customFormat="1" x14ac:dyDescent="0.2">
      <c r="A85" s="9" t="s">
        <v>225</v>
      </c>
      <c r="B85" s="11">
        <f t="shared" ref="B85:N85" si="45">AVERAGE(B58:B60)</f>
        <v>7.1194414444059957</v>
      </c>
      <c r="C85" s="11">
        <f t="shared" si="45"/>
        <v>7.2450755399544891</v>
      </c>
      <c r="D85" s="11">
        <f t="shared" si="45"/>
        <v>7.7129345021936784</v>
      </c>
      <c r="E85" s="11">
        <f t="shared" si="45"/>
        <v>8.0155592954926487</v>
      </c>
      <c r="F85" s="11">
        <f t="shared" si="45"/>
        <v>8.5640509488688892</v>
      </c>
      <c r="G85" s="11">
        <f t="shared" si="45"/>
        <v>8.689053756226242</v>
      </c>
      <c r="H85" s="11">
        <f t="shared" si="45"/>
        <v>8.7113338812180015</v>
      </c>
      <c r="I85" s="11"/>
      <c r="J85" s="11">
        <f t="shared" si="45"/>
        <v>9.6053837789270204</v>
      </c>
      <c r="K85" s="11">
        <f t="shared" si="45"/>
        <v>10.053084659625432</v>
      </c>
      <c r="L85" s="11">
        <f t="shared" si="45"/>
        <v>10.294577813165644</v>
      </c>
      <c r="M85" s="11">
        <f t="shared" si="45"/>
        <v>10.730262221037734</v>
      </c>
      <c r="N85" s="11">
        <f t="shared" si="45"/>
        <v>11.381600577615709</v>
      </c>
      <c r="O85" s="11">
        <f t="shared" ref="O85:U85" si="46">AVERAGE(O58:O60)</f>
        <v>11.901486709421794</v>
      </c>
      <c r="P85" s="11">
        <f t="shared" si="46"/>
        <v>12.418004271310592</v>
      </c>
      <c r="Q85" s="11">
        <f t="shared" si="46"/>
        <v>12.62197880365364</v>
      </c>
      <c r="R85" s="11">
        <f t="shared" si="46"/>
        <v>12.745678326689232</v>
      </c>
      <c r="S85" s="11">
        <f t="shared" si="46"/>
        <v>12.912625521674585</v>
      </c>
      <c r="T85" s="11">
        <f t="shared" si="46"/>
        <v>12.896464226166897</v>
      </c>
      <c r="U85" s="11">
        <f t="shared" si="46"/>
        <v>12.910053688542176</v>
      </c>
      <c r="W85" s="12">
        <v>0.1898</v>
      </c>
      <c r="AA85" s="6">
        <v>4</v>
      </c>
      <c r="AB85" s="6">
        <v>32</v>
      </c>
      <c r="AC85" s="6">
        <v>0.1898</v>
      </c>
      <c r="AD85" s="6">
        <v>0.98511000000000004</v>
      </c>
    </row>
    <row r="86" spans="1:30" s="10" customFormat="1" x14ac:dyDescent="0.2">
      <c r="A86" s="9" t="s">
        <v>226</v>
      </c>
      <c r="B86" s="11">
        <f t="shared" ref="B86:N86" si="47">AVERAGE(B61:B63)</f>
        <v>7.1194414444059957</v>
      </c>
      <c r="C86" s="11">
        <f t="shared" si="47"/>
        <v>7.453424929271125</v>
      </c>
      <c r="D86" s="11">
        <f t="shared" si="47"/>
        <v>7.6618962658877381</v>
      </c>
      <c r="E86" s="11">
        <f t="shared" si="47"/>
        <v>8.0166878212455206</v>
      </c>
      <c r="F86" s="11">
        <f t="shared" si="47"/>
        <v>8.4620964869963853</v>
      </c>
      <c r="G86" s="11">
        <f t="shared" si="47"/>
        <v>8.8348783966206099</v>
      </c>
      <c r="H86" s="11">
        <f t="shared" si="47"/>
        <v>9.1204377454605279</v>
      </c>
      <c r="I86" s="11"/>
      <c r="J86" s="11">
        <f t="shared" si="47"/>
        <v>9.9155735479422447</v>
      </c>
      <c r="K86" s="11">
        <f t="shared" si="47"/>
        <v>10.256933784494395</v>
      </c>
      <c r="L86" s="11">
        <f t="shared" si="47"/>
        <v>10.307007691812354</v>
      </c>
      <c r="M86" s="11">
        <f t="shared" si="47"/>
        <v>10.596894949935225</v>
      </c>
      <c r="N86" s="11">
        <f t="shared" si="47"/>
        <v>10.961934322214494</v>
      </c>
      <c r="O86" s="11">
        <f t="shared" ref="O86:U86" si="48">AVERAGE(O61:O63)</f>
        <v>11.492496058913295</v>
      </c>
      <c r="P86" s="11">
        <f t="shared" si="48"/>
        <v>11.866316230127978</v>
      </c>
      <c r="Q86" s="11">
        <f t="shared" si="48"/>
        <v>12.234853745032552</v>
      </c>
      <c r="R86" s="11">
        <f t="shared" si="48"/>
        <v>12.517338950378269</v>
      </c>
      <c r="S86" s="11">
        <f t="shared" si="48"/>
        <v>12.79124079460764</v>
      </c>
      <c r="T86" s="11">
        <f t="shared" si="48"/>
        <v>12.892082130999343</v>
      </c>
      <c r="U86" s="11">
        <f t="shared" si="48"/>
        <v>12.928255963293191</v>
      </c>
      <c r="W86" s="12">
        <v>0.17</v>
      </c>
      <c r="X86" s="12">
        <f>AVERAGE(W85:W87)</f>
        <v>0.17416666666666666</v>
      </c>
      <c r="Y86" s="12">
        <f>STDEV(W85:W87)</f>
        <v>1.4022244233122353E-2</v>
      </c>
      <c r="AA86" s="6">
        <v>4</v>
      </c>
      <c r="AB86" s="6">
        <v>32</v>
      </c>
      <c r="AC86" s="6">
        <v>0.17</v>
      </c>
      <c r="AD86" s="6">
        <v>0.99504999999999999</v>
      </c>
    </row>
    <row r="87" spans="1:30" s="10" customFormat="1" x14ac:dyDescent="0.2">
      <c r="A87" s="9" t="s">
        <v>227</v>
      </c>
      <c r="B87" s="11">
        <f t="shared" ref="B87:N87" si="49">AVERAGE(B64:B66)</f>
        <v>7.1194414444059957</v>
      </c>
      <c r="C87" s="11">
        <f t="shared" si="49"/>
        <v>7.135881175895304</v>
      </c>
      <c r="D87" s="11">
        <f t="shared" si="49"/>
        <v>7.3260947480089529</v>
      </c>
      <c r="E87" s="11">
        <f t="shared" si="49"/>
        <v>7.6368798866942171</v>
      </c>
      <c r="F87" s="11">
        <f t="shared" si="49"/>
        <v>8.0513713154121636</v>
      </c>
      <c r="G87" s="11">
        <f t="shared" si="49"/>
        <v>8.4112564050739884</v>
      </c>
      <c r="H87" s="11">
        <f t="shared" si="49"/>
        <v>8.6623371436098235</v>
      </c>
      <c r="I87" s="11"/>
      <c r="J87" s="11">
        <f t="shared" si="49"/>
        <v>9.5893659683312009</v>
      </c>
      <c r="K87" s="11">
        <f t="shared" si="49"/>
        <v>9.9307771848445814</v>
      </c>
      <c r="L87" s="11">
        <f t="shared" si="49"/>
        <v>10.043735213620469</v>
      </c>
      <c r="M87" s="11">
        <f t="shared" si="49"/>
        <v>10.236829700575472</v>
      </c>
      <c r="N87" s="11">
        <f t="shared" si="49"/>
        <v>10.465978111154213</v>
      </c>
      <c r="O87" s="11">
        <f t="shared" ref="O87:U87" si="50">AVERAGE(O64:O66)</f>
        <v>10.934903673925605</v>
      </c>
      <c r="P87" s="11">
        <f t="shared" si="50"/>
        <v>11.265103538831681</v>
      </c>
      <c r="Q87" s="11">
        <f t="shared" si="50"/>
        <v>11.55902851216266</v>
      </c>
      <c r="R87" s="11">
        <f t="shared" si="50"/>
        <v>12.061634853328222</v>
      </c>
      <c r="S87" s="11">
        <f t="shared" si="50"/>
        <v>12.508830662215484</v>
      </c>
      <c r="T87" s="11">
        <f t="shared" si="50"/>
        <v>12.493313163694147</v>
      </c>
      <c r="U87" s="11">
        <f t="shared" si="50"/>
        <v>12.57327747255772</v>
      </c>
      <c r="W87" s="12">
        <v>0.16270000000000001</v>
      </c>
      <c r="AA87" s="6">
        <v>4</v>
      </c>
      <c r="AB87" s="6">
        <v>32</v>
      </c>
      <c r="AC87" s="6">
        <v>0.16270000000000001</v>
      </c>
      <c r="AD87" s="6">
        <v>0.99314999999999998</v>
      </c>
    </row>
    <row r="88" spans="1:30" s="10" customFormat="1" x14ac:dyDescent="0.2">
      <c r="A88" s="9" t="s">
        <v>228</v>
      </c>
      <c r="B88" s="11">
        <f t="shared" ref="B88:N88" si="51">AVERAGE(B67:B69)</f>
        <v>7.308047028316305</v>
      </c>
      <c r="C88" s="11">
        <f t="shared" si="51"/>
        <v>7.0116622037595828</v>
      </c>
      <c r="D88" s="11">
        <f t="shared" si="51"/>
        <v>7.8623014546557775</v>
      </c>
      <c r="E88" s="11">
        <f t="shared" si="51"/>
        <v>8.7314736150149503</v>
      </c>
      <c r="F88" s="11">
        <f t="shared" si="51"/>
        <v>9.6023705259594632</v>
      </c>
      <c r="G88" s="11">
        <f t="shared" si="51"/>
        <v>10.377682386079647</v>
      </c>
      <c r="H88" s="11">
        <f t="shared" si="51"/>
        <v>11.169735885692768</v>
      </c>
      <c r="I88" s="11">
        <f t="shared" si="51"/>
        <v>12.326940924823937</v>
      </c>
      <c r="J88" s="11">
        <f t="shared" si="51"/>
        <v>13.100629811407194</v>
      </c>
      <c r="K88" s="11">
        <f t="shared" si="51"/>
        <v>13.47993591206175</v>
      </c>
      <c r="L88" s="11">
        <f t="shared" si="51"/>
        <v>13.633203175207077</v>
      </c>
      <c r="M88" s="11">
        <f t="shared" si="51"/>
        <v>13.783771997936164</v>
      </c>
      <c r="N88" s="11">
        <f t="shared" si="51"/>
        <v>13.758479233412752</v>
      </c>
      <c r="P88" s="12">
        <v>0.41749999999999998</v>
      </c>
      <c r="AA88" s="6">
        <v>4</v>
      </c>
      <c r="AB88" s="6">
        <v>18</v>
      </c>
      <c r="AC88" s="6">
        <v>0.41749999999999998</v>
      </c>
      <c r="AD88" s="6">
        <v>0.99397000000000002</v>
      </c>
    </row>
    <row r="89" spans="1:30" s="10" customFormat="1" x14ac:dyDescent="0.2">
      <c r="A89" s="9" t="s">
        <v>229</v>
      </c>
      <c r="B89" s="11">
        <f t="shared" ref="B89:N89" si="52">AVERAGE(B70:B72)</f>
        <v>7.308047028316305</v>
      </c>
      <c r="C89" s="11">
        <f t="shared" si="52"/>
        <v>7.2326947626412394</v>
      </c>
      <c r="D89" s="11">
        <f t="shared" si="52"/>
        <v>7.8644051340718093</v>
      </c>
      <c r="E89" s="11">
        <f t="shared" si="52"/>
        <v>8.779694385248952</v>
      </c>
      <c r="F89" s="11">
        <f t="shared" si="52"/>
        <v>9.4120922957202335</v>
      </c>
      <c r="G89" s="11">
        <f t="shared" si="52"/>
        <v>10.25245735403406</v>
      </c>
      <c r="H89" s="11">
        <f t="shared" si="52"/>
        <v>11.102425740107499</v>
      </c>
      <c r="I89" s="11">
        <f t="shared" si="52"/>
        <v>12.279473799106349</v>
      </c>
      <c r="J89" s="11">
        <f t="shared" si="52"/>
        <v>13.0465951907234</v>
      </c>
      <c r="K89" s="11">
        <f t="shared" si="52"/>
        <v>13.390165468224772</v>
      </c>
      <c r="L89" s="11">
        <f t="shared" si="52"/>
        <v>13.558683962816149</v>
      </c>
      <c r="M89" s="11">
        <f t="shared" si="52"/>
        <v>13.688302884457855</v>
      </c>
      <c r="N89" s="11">
        <f t="shared" si="52"/>
        <v>13.596263791180945</v>
      </c>
      <c r="P89" s="12">
        <v>0.41349999999999998</v>
      </c>
      <c r="Q89" s="12">
        <f>AVERAGE(P88:P90)</f>
        <v>0.41643333333333327</v>
      </c>
      <c r="R89" s="14">
        <f>STDEV(P88:P90)</f>
        <v>2.5716402029314651E-3</v>
      </c>
      <c r="AA89" s="6">
        <v>4</v>
      </c>
      <c r="AB89" s="6">
        <v>18</v>
      </c>
      <c r="AC89" s="6">
        <v>0.41349999999999998</v>
      </c>
      <c r="AD89" s="6">
        <v>0.99211000000000005</v>
      </c>
    </row>
    <row r="90" spans="1:30" s="10" customFormat="1" x14ac:dyDescent="0.2">
      <c r="A90" s="9" t="s">
        <v>230</v>
      </c>
      <c r="B90" s="11">
        <f t="shared" ref="B90:N90" si="53">AVERAGE(B73:B75)</f>
        <v>7.308047028316305</v>
      </c>
      <c r="C90" s="11">
        <f t="shared" si="53"/>
        <v>7.1155725574158577</v>
      </c>
      <c r="D90" s="11">
        <f t="shared" si="53"/>
        <v>7.9560615701676083</v>
      </c>
      <c r="E90" s="11">
        <f t="shared" si="53"/>
        <v>8.8227518139220695</v>
      </c>
      <c r="F90" s="11">
        <f t="shared" si="53"/>
        <v>9.6392806504850164</v>
      </c>
      <c r="G90" s="11">
        <f t="shared" si="53"/>
        <v>10.398661351161911</v>
      </c>
      <c r="H90" s="11">
        <f t="shared" si="53"/>
        <v>11.260344865521761</v>
      </c>
      <c r="I90" s="11">
        <f t="shared" si="53"/>
        <v>12.406624783195909</v>
      </c>
      <c r="J90" s="11">
        <f t="shared" si="53"/>
        <v>13.190898783945324</v>
      </c>
      <c r="K90" s="11">
        <f t="shared" si="53"/>
        <v>13.564946064079841</v>
      </c>
      <c r="L90" s="11">
        <f t="shared" si="53"/>
        <v>13.666456507694631</v>
      </c>
      <c r="M90" s="11">
        <f t="shared" si="53"/>
        <v>13.808608609272888</v>
      </c>
      <c r="N90" s="11">
        <f t="shared" si="53"/>
        <v>13.791520570148784</v>
      </c>
      <c r="P90" s="12">
        <v>0.41830000000000001</v>
      </c>
      <c r="AA90" s="6">
        <v>4</v>
      </c>
      <c r="AB90" s="6">
        <v>18</v>
      </c>
      <c r="AC90" s="6">
        <v>0.41830000000000001</v>
      </c>
      <c r="AD90" s="6">
        <v>0.99380999999999997</v>
      </c>
    </row>
    <row r="91" spans="1:30" x14ac:dyDescent="0.2">
      <c r="B91" s="7"/>
      <c r="C91" s="7"/>
      <c r="D91" s="7"/>
      <c r="E91" s="7"/>
      <c r="G91" s="7"/>
      <c r="H91" s="7"/>
      <c r="I91" s="7"/>
      <c r="J91" s="7"/>
      <c r="K91" s="7"/>
      <c r="L91" s="7"/>
      <c r="M91" s="7"/>
      <c r="N91" s="7"/>
    </row>
    <row r="92" spans="1:30" s="16" customFormat="1" x14ac:dyDescent="0.2">
      <c r="A92" s="15" t="s">
        <v>267</v>
      </c>
      <c r="B92" s="16">
        <v>0</v>
      </c>
      <c r="C92" s="16">
        <v>2</v>
      </c>
      <c r="D92" s="16">
        <v>4</v>
      </c>
      <c r="E92" s="17">
        <v>6</v>
      </c>
      <c r="F92" s="17">
        <v>8</v>
      </c>
      <c r="G92" s="17">
        <v>10</v>
      </c>
      <c r="H92" s="17">
        <v>12</v>
      </c>
      <c r="I92" s="17">
        <v>14</v>
      </c>
      <c r="J92" s="17">
        <v>16</v>
      </c>
      <c r="K92" s="17">
        <v>18</v>
      </c>
      <c r="L92" s="17">
        <v>20</v>
      </c>
      <c r="M92" s="17">
        <v>22</v>
      </c>
      <c r="N92" s="17">
        <v>24</v>
      </c>
      <c r="O92" s="17">
        <v>26</v>
      </c>
      <c r="P92" s="17">
        <v>28</v>
      </c>
      <c r="Q92" s="17">
        <v>30</v>
      </c>
      <c r="R92" s="17">
        <v>32</v>
      </c>
      <c r="S92" s="17">
        <v>34</v>
      </c>
      <c r="T92" s="17">
        <v>36</v>
      </c>
      <c r="U92" s="17">
        <v>38</v>
      </c>
    </row>
    <row r="93" spans="1:30" s="16" customFormat="1" x14ac:dyDescent="0.2">
      <c r="A93" s="15" t="s">
        <v>220</v>
      </c>
      <c r="B93" s="18">
        <f>AVERAGE(B2:B4)</f>
        <v>1242.4833333333336</v>
      </c>
      <c r="C93" s="18">
        <f t="shared" ref="C93:L93" si="54">AVERAGE(C2:C4)</f>
        <v>1275.3333333333333</v>
      </c>
      <c r="D93" s="18">
        <f t="shared" si="54"/>
        <v>1549.6666666666667</v>
      </c>
      <c r="E93" s="18">
        <f t="shared" si="54"/>
        <v>2230.6666666666665</v>
      </c>
      <c r="F93" s="18">
        <f t="shared" si="54"/>
        <v>2156.3333333333335</v>
      </c>
      <c r="G93" s="18">
        <f t="shared" si="54"/>
        <v>2636.6666666666665</v>
      </c>
      <c r="H93" s="18">
        <f t="shared" si="54"/>
        <v>2649</v>
      </c>
      <c r="I93" s="18">
        <f t="shared" si="54"/>
        <v>2835.6666666666665</v>
      </c>
      <c r="J93" s="18">
        <f t="shared" si="54"/>
        <v>2928.3333333333335</v>
      </c>
      <c r="K93" s="18">
        <f t="shared" si="54"/>
        <v>2939.6666666666665</v>
      </c>
      <c r="L93" s="18">
        <f t="shared" si="54"/>
        <v>3068.3333333333335</v>
      </c>
      <c r="M93" s="18"/>
      <c r="N93" s="18"/>
      <c r="O93" s="18"/>
      <c r="P93" s="18"/>
      <c r="Q93" s="18"/>
      <c r="R93" s="18"/>
      <c r="S93" s="18"/>
      <c r="T93" s="18"/>
      <c r="U93" s="18"/>
    </row>
    <row r="94" spans="1:30" s="16" customFormat="1" x14ac:dyDescent="0.2">
      <c r="A94" s="15" t="s">
        <v>221</v>
      </c>
      <c r="B94" s="18">
        <f>AVERAGE(B5:B7)</f>
        <v>1242.4833333333336</v>
      </c>
      <c r="C94" s="18">
        <f t="shared" ref="C94:L94" si="55">AVERAGE(C5:C7)</f>
        <v>1196.6666666666667</v>
      </c>
      <c r="D94" s="18">
        <f t="shared" si="55"/>
        <v>1512</v>
      </c>
      <c r="E94" s="18">
        <f t="shared" si="55"/>
        <v>2017</v>
      </c>
      <c r="F94" s="18">
        <f t="shared" si="55"/>
        <v>2059</v>
      </c>
      <c r="G94" s="18">
        <f t="shared" si="55"/>
        <v>2569.6666666666665</v>
      </c>
      <c r="H94" s="18">
        <f t="shared" si="55"/>
        <v>2515</v>
      </c>
      <c r="I94" s="18">
        <f t="shared" si="55"/>
        <v>2550.6666666666665</v>
      </c>
      <c r="J94" s="18">
        <f t="shared" si="55"/>
        <v>2634.3333333333335</v>
      </c>
      <c r="K94" s="18">
        <f t="shared" si="55"/>
        <v>2509.3333333333335</v>
      </c>
      <c r="L94" s="18">
        <f t="shared" si="55"/>
        <v>2430.3333333333335</v>
      </c>
      <c r="M94" s="18"/>
      <c r="N94" s="18"/>
      <c r="O94" s="18"/>
      <c r="P94" s="18"/>
      <c r="Q94" s="18"/>
      <c r="R94" s="18"/>
      <c r="S94" s="18"/>
      <c r="T94" s="18"/>
      <c r="U94" s="18"/>
    </row>
    <row r="95" spans="1:30" s="16" customFormat="1" x14ac:dyDescent="0.2">
      <c r="A95" s="15" t="s">
        <v>50</v>
      </c>
      <c r="B95" s="18">
        <f>AVERAGE(B8:B10)</f>
        <v>1242.4833333333336</v>
      </c>
      <c r="C95" s="18">
        <f t="shared" ref="C95:L95" si="56">AVERAGE(C8:C10)</f>
        <v>1185.6666666666667</v>
      </c>
      <c r="D95" s="18">
        <f t="shared" si="56"/>
        <v>1497.6666666666667</v>
      </c>
      <c r="E95" s="18">
        <f t="shared" si="56"/>
        <v>2173</v>
      </c>
      <c r="F95" s="18">
        <f t="shared" si="56"/>
        <v>1988</v>
      </c>
      <c r="G95" s="18">
        <f t="shared" si="56"/>
        <v>2448</v>
      </c>
      <c r="H95" s="18">
        <f t="shared" si="56"/>
        <v>2378.6666666666665</v>
      </c>
      <c r="I95" s="18">
        <f t="shared" si="56"/>
        <v>2463.6666666666665</v>
      </c>
      <c r="J95" s="18">
        <f t="shared" si="56"/>
        <v>2498.6666666666665</v>
      </c>
      <c r="K95" s="18">
        <f t="shared" si="56"/>
        <v>2350</v>
      </c>
      <c r="L95" s="18">
        <f t="shared" si="56"/>
        <v>2322.6666666666665</v>
      </c>
      <c r="M95" s="18"/>
      <c r="N95" s="18"/>
      <c r="O95" s="18"/>
      <c r="P95" s="18"/>
      <c r="Q95" s="18"/>
      <c r="R95" s="18"/>
      <c r="S95" s="18"/>
      <c r="T95" s="18"/>
      <c r="U95" s="18"/>
    </row>
    <row r="96" spans="1:30" s="16" customFormat="1" x14ac:dyDescent="0.2">
      <c r="A96" s="15" t="s">
        <v>222</v>
      </c>
      <c r="B96" s="18">
        <f>AVERAGE(B11:B13)</f>
        <v>1242.4833333333336</v>
      </c>
      <c r="C96" s="18">
        <f t="shared" ref="C96:M96" si="57">AVERAGE(C11:C13)</f>
        <v>1243</v>
      </c>
      <c r="D96" s="18">
        <f t="shared" si="57"/>
        <v>2116</v>
      </c>
      <c r="E96" s="18">
        <f t="shared" si="57"/>
        <v>3961</v>
      </c>
      <c r="F96" s="18">
        <f t="shared" si="57"/>
        <v>5865.333333333333</v>
      </c>
      <c r="G96" s="18">
        <f t="shared" si="57"/>
        <v>12225</v>
      </c>
      <c r="H96" s="18">
        <f t="shared" si="57"/>
        <v>18124.333333333332</v>
      </c>
      <c r="I96" s="18">
        <f t="shared" si="57"/>
        <v>29935.666666666668</v>
      </c>
      <c r="J96" s="18">
        <f t="shared" si="57"/>
        <v>54906.666666666664</v>
      </c>
      <c r="K96" s="18">
        <f t="shared" si="57"/>
        <v>97160</v>
      </c>
      <c r="L96" s="18">
        <f t="shared" si="57"/>
        <v>221820</v>
      </c>
      <c r="M96" s="18">
        <f t="shared" si="57"/>
        <v>374146.66666666669</v>
      </c>
      <c r="N96" s="18">
        <f>AVERAGE(N11:N13)</f>
        <v>380633.33333333331</v>
      </c>
      <c r="O96" s="18"/>
      <c r="P96" s="18"/>
      <c r="Q96" s="18"/>
      <c r="R96" s="18"/>
      <c r="S96" s="18"/>
      <c r="T96" s="18"/>
      <c r="U96" s="18"/>
    </row>
    <row r="97" spans="1:21" s="16" customFormat="1" x14ac:dyDescent="0.2">
      <c r="A97" s="15" t="s">
        <v>223</v>
      </c>
      <c r="B97" s="18">
        <f>AVERAGE(B14:B16)</f>
        <v>1242.4833333333336</v>
      </c>
      <c r="C97" s="18">
        <f t="shared" ref="C97:N97" si="58">AVERAGE(C14:C16)</f>
        <v>1117</v>
      </c>
      <c r="D97" s="18">
        <f t="shared" si="58"/>
        <v>2342.6666666666665</v>
      </c>
      <c r="E97" s="18">
        <f t="shared" si="58"/>
        <v>3499</v>
      </c>
      <c r="F97" s="18">
        <f t="shared" si="58"/>
        <v>5655</v>
      </c>
      <c r="G97" s="18">
        <f t="shared" si="58"/>
        <v>12253</v>
      </c>
      <c r="H97" s="18">
        <f t="shared" si="58"/>
        <v>16034</v>
      </c>
      <c r="I97" s="18">
        <f t="shared" si="58"/>
        <v>27941.666666666668</v>
      </c>
      <c r="J97" s="18">
        <f t="shared" si="58"/>
        <v>53773.333333333336</v>
      </c>
      <c r="K97" s="18">
        <f t="shared" si="58"/>
        <v>102913.33333333333</v>
      </c>
      <c r="L97" s="18">
        <f t="shared" si="58"/>
        <v>262666.66666666669</v>
      </c>
      <c r="M97" s="18">
        <f t="shared" si="58"/>
        <v>408940</v>
      </c>
      <c r="N97" s="18">
        <f t="shared" si="58"/>
        <v>423433.33333333331</v>
      </c>
      <c r="O97" s="18"/>
      <c r="P97" s="18"/>
      <c r="Q97" s="18"/>
      <c r="R97" s="18"/>
      <c r="S97" s="18"/>
      <c r="T97" s="18"/>
      <c r="U97" s="18"/>
    </row>
    <row r="98" spans="1:21" s="16" customFormat="1" x14ac:dyDescent="0.2">
      <c r="A98" s="15" t="s">
        <v>224</v>
      </c>
      <c r="B98" s="18">
        <f>AVERAGE(B17:B19)</f>
        <v>1242.4833333333336</v>
      </c>
      <c r="C98" s="18">
        <f t="shared" ref="C98:N98" si="59">AVERAGE(C17:C19)</f>
        <v>1122.6666666666667</v>
      </c>
      <c r="D98" s="18">
        <f t="shared" si="59"/>
        <v>2355</v>
      </c>
      <c r="E98" s="18">
        <f t="shared" si="59"/>
        <v>4734.666666666667</v>
      </c>
      <c r="F98" s="18">
        <f t="shared" si="59"/>
        <v>5866.333333333333</v>
      </c>
      <c r="G98" s="18">
        <f t="shared" si="59"/>
        <v>12033</v>
      </c>
      <c r="H98" s="18">
        <f t="shared" si="59"/>
        <v>17713</v>
      </c>
      <c r="I98" s="18">
        <f t="shared" si="59"/>
        <v>31228</v>
      </c>
      <c r="J98" s="18">
        <f t="shared" si="59"/>
        <v>69213.333333333328</v>
      </c>
      <c r="K98" s="18">
        <f t="shared" si="59"/>
        <v>149760</v>
      </c>
      <c r="L98" s="18">
        <f t="shared" si="59"/>
        <v>320366.66666666669</v>
      </c>
      <c r="M98" s="18">
        <f t="shared" si="59"/>
        <v>400220</v>
      </c>
      <c r="N98" s="18">
        <f t="shared" si="59"/>
        <v>437540</v>
      </c>
      <c r="O98" s="18"/>
      <c r="P98" s="18"/>
      <c r="Q98" s="18"/>
      <c r="R98" s="18"/>
      <c r="S98" s="18"/>
      <c r="T98" s="18"/>
      <c r="U98" s="18"/>
    </row>
    <row r="99" spans="1:21" s="16" customFormat="1" x14ac:dyDescent="0.2">
      <c r="A99" s="15" t="s">
        <v>225</v>
      </c>
      <c r="B99" s="18">
        <f>AVERAGE(B20:B22)</f>
        <v>1235.76</v>
      </c>
      <c r="C99" s="18">
        <f t="shared" ref="C99:T99" si="60">AVERAGE(C20:C22)</f>
        <v>1401.3333333333333</v>
      </c>
      <c r="D99" s="18">
        <f t="shared" si="60"/>
        <v>2237.6666666666665</v>
      </c>
      <c r="E99" s="18">
        <f t="shared" si="60"/>
        <v>3028</v>
      </c>
      <c r="F99" s="18">
        <f t="shared" si="60"/>
        <v>5240</v>
      </c>
      <c r="G99" s="18">
        <f t="shared" si="60"/>
        <v>5941.333333333333</v>
      </c>
      <c r="H99" s="18">
        <f t="shared" si="60"/>
        <v>6072</v>
      </c>
      <c r="I99" s="18"/>
      <c r="J99" s="18">
        <f t="shared" si="60"/>
        <v>14846</v>
      </c>
      <c r="K99" s="18">
        <f t="shared" si="60"/>
        <v>23231</v>
      </c>
      <c r="L99" s="18">
        <f t="shared" si="60"/>
        <v>29572.666666666668</v>
      </c>
      <c r="M99" s="18">
        <f t="shared" si="60"/>
        <v>45719.333333333336</v>
      </c>
      <c r="N99" s="18">
        <f t="shared" si="60"/>
        <v>87698</v>
      </c>
      <c r="O99" s="18">
        <f>AVERAGE(O20:O22)</f>
        <v>147560</v>
      </c>
      <c r="P99" s="18">
        <f t="shared" si="60"/>
        <v>247213.33333333334</v>
      </c>
      <c r="Q99" s="18">
        <f t="shared" si="60"/>
        <v>303173.33333333331</v>
      </c>
      <c r="R99" s="18">
        <f t="shared" si="60"/>
        <v>343080</v>
      </c>
      <c r="S99" s="18">
        <f t="shared" si="60"/>
        <v>405413.33333333331</v>
      </c>
      <c r="T99" s="18">
        <f t="shared" si="60"/>
        <v>398900</v>
      </c>
      <c r="U99" s="18">
        <f>AVERAGE(U20:U22)</f>
        <v>404373.33333333331</v>
      </c>
    </row>
    <row r="100" spans="1:21" s="16" customFormat="1" x14ac:dyDescent="0.2">
      <c r="A100" s="15" t="s">
        <v>226</v>
      </c>
      <c r="B100" s="18">
        <f>AVERAGE(B23:B25)</f>
        <v>1235.76</v>
      </c>
      <c r="C100" s="18">
        <f t="shared" ref="C100:U100" si="61">AVERAGE(C23:C25)</f>
        <v>1726.3333333333333</v>
      </c>
      <c r="D100" s="18">
        <f t="shared" si="61"/>
        <v>2126</v>
      </c>
      <c r="E100" s="18">
        <f t="shared" si="61"/>
        <v>3032</v>
      </c>
      <c r="F100" s="18">
        <f t="shared" si="61"/>
        <v>4732</v>
      </c>
      <c r="G100" s="18">
        <f t="shared" si="61"/>
        <v>6871.666666666667</v>
      </c>
      <c r="H100" s="18">
        <f t="shared" si="61"/>
        <v>9140.3333333333339</v>
      </c>
      <c r="I100" s="18"/>
      <c r="J100" s="18">
        <f t="shared" si="61"/>
        <v>20246</v>
      </c>
      <c r="K100" s="18">
        <f t="shared" si="61"/>
        <v>28480</v>
      </c>
      <c r="L100" s="18">
        <f t="shared" si="61"/>
        <v>29942.666666666668</v>
      </c>
      <c r="M100" s="18">
        <f t="shared" si="61"/>
        <v>40010.666666666664</v>
      </c>
      <c r="N100" s="18">
        <f t="shared" si="61"/>
        <v>57638.666666666664</v>
      </c>
      <c r="O100" s="18">
        <f t="shared" si="61"/>
        <v>97986.666666666672</v>
      </c>
      <c r="P100" s="18">
        <f t="shared" si="61"/>
        <v>142393.33333333334</v>
      </c>
      <c r="Q100" s="18">
        <f t="shared" si="61"/>
        <v>205860</v>
      </c>
      <c r="R100" s="18">
        <f t="shared" si="61"/>
        <v>273053.33333333331</v>
      </c>
      <c r="S100" s="18">
        <f t="shared" si="61"/>
        <v>359073.33333333331</v>
      </c>
      <c r="T100" s="18">
        <f t="shared" si="61"/>
        <v>397173.33333333331</v>
      </c>
      <c r="U100" s="18">
        <f t="shared" si="61"/>
        <v>411786.66666666669</v>
      </c>
    </row>
    <row r="101" spans="1:21" s="16" customFormat="1" x14ac:dyDescent="0.2">
      <c r="A101" s="15" t="s">
        <v>227</v>
      </c>
      <c r="B101" s="18">
        <f>AVERAGE(B26:B28)</f>
        <v>1235.76</v>
      </c>
      <c r="C101" s="18">
        <f t="shared" ref="C101:U101" si="62">AVERAGE(C26:C28)</f>
        <v>1256.6666666666667</v>
      </c>
      <c r="D101" s="18">
        <f t="shared" si="62"/>
        <v>1519.6666666666667</v>
      </c>
      <c r="E101" s="18">
        <f t="shared" si="62"/>
        <v>2073.3333333333335</v>
      </c>
      <c r="F101" s="18">
        <f t="shared" si="62"/>
        <v>3138.3333333333335</v>
      </c>
      <c r="G101" s="18">
        <f t="shared" si="62"/>
        <v>4498.666666666667</v>
      </c>
      <c r="H101" s="18">
        <f t="shared" si="62"/>
        <v>5782.666666666667</v>
      </c>
      <c r="I101" s="18"/>
      <c r="J101" s="18">
        <f t="shared" si="62"/>
        <v>14612</v>
      </c>
      <c r="K101" s="18">
        <f t="shared" si="62"/>
        <v>20554</v>
      </c>
      <c r="L101" s="18">
        <f t="shared" si="62"/>
        <v>23012</v>
      </c>
      <c r="M101" s="18">
        <f t="shared" si="62"/>
        <v>27912.666666666668</v>
      </c>
      <c r="N101" s="18">
        <f t="shared" si="62"/>
        <v>35104.333333333336</v>
      </c>
      <c r="O101" s="18">
        <f t="shared" si="62"/>
        <v>54446.666666666664</v>
      </c>
      <c r="P101" s="18">
        <f t="shared" si="62"/>
        <v>77726.666666666672</v>
      </c>
      <c r="Q101" s="18">
        <f t="shared" si="62"/>
        <v>104433.33333333333</v>
      </c>
      <c r="R101" s="18">
        <f t="shared" si="62"/>
        <v>172860</v>
      </c>
      <c r="S101" s="18">
        <f t="shared" si="62"/>
        <v>267973.33333333331</v>
      </c>
      <c r="T101" s="18">
        <f t="shared" si="62"/>
        <v>265300</v>
      </c>
      <c r="U101" s="18">
        <f t="shared" si="62"/>
        <v>288393.33333333331</v>
      </c>
    </row>
    <row r="102" spans="1:21" s="16" customFormat="1" x14ac:dyDescent="0.2">
      <c r="A102" s="15" t="s">
        <v>228</v>
      </c>
      <c r="B102" s="18">
        <f>AVERAGE(B29:B31)</f>
        <v>1492.26</v>
      </c>
      <c r="C102" s="18">
        <f t="shared" ref="C102:N102" si="63">AVERAGE(C29:C31)</f>
        <v>1109.5</v>
      </c>
      <c r="D102" s="18">
        <f t="shared" si="63"/>
        <v>2598.6666666666665</v>
      </c>
      <c r="E102" s="18">
        <f t="shared" si="63"/>
        <v>6196.333333333333</v>
      </c>
      <c r="F102" s="18">
        <f t="shared" si="63"/>
        <v>14801</v>
      </c>
      <c r="G102" s="18">
        <f t="shared" si="63"/>
        <v>32136</v>
      </c>
      <c r="H102" s="18">
        <f t="shared" si="63"/>
        <v>70955.333333333328</v>
      </c>
      <c r="I102" s="18">
        <f t="shared" si="63"/>
        <v>225700</v>
      </c>
      <c r="J102" s="18">
        <f t="shared" si="63"/>
        <v>489300</v>
      </c>
      <c r="K102" s="18">
        <f t="shared" si="63"/>
        <v>714953.33333333337</v>
      </c>
      <c r="L102" s="18">
        <f t="shared" si="63"/>
        <v>833353.33333333337</v>
      </c>
      <c r="M102" s="18">
        <f t="shared" si="63"/>
        <v>968760</v>
      </c>
      <c r="N102" s="18">
        <f t="shared" si="63"/>
        <v>944566.66666666663</v>
      </c>
      <c r="O102" s="18"/>
      <c r="P102" s="18"/>
      <c r="Q102" s="18"/>
      <c r="R102" s="18"/>
      <c r="S102" s="18"/>
      <c r="T102" s="18"/>
      <c r="U102" s="18"/>
    </row>
    <row r="103" spans="1:21" s="16" customFormat="1" x14ac:dyDescent="0.2">
      <c r="A103" s="15" t="s">
        <v>229</v>
      </c>
      <c r="B103" s="18">
        <f>AVERAGE(B32:B34)</f>
        <v>1492.26</v>
      </c>
      <c r="C103" s="18">
        <f t="shared" ref="C103:N103" si="64">AVERAGE(C32:C34)</f>
        <v>1385</v>
      </c>
      <c r="D103" s="18">
        <f t="shared" si="64"/>
        <v>2603</v>
      </c>
      <c r="E103" s="18">
        <f t="shared" si="64"/>
        <v>6501.666666666667</v>
      </c>
      <c r="F103" s="18">
        <f t="shared" si="64"/>
        <v>12243</v>
      </c>
      <c r="G103" s="18">
        <f t="shared" si="64"/>
        <v>28354.333333333332</v>
      </c>
      <c r="H103" s="18">
        <f t="shared" si="64"/>
        <v>66339</v>
      </c>
      <c r="I103" s="18">
        <f t="shared" si="64"/>
        <v>215286.66666666666</v>
      </c>
      <c r="J103" s="18">
        <f t="shared" si="64"/>
        <v>463533.33333333331</v>
      </c>
      <c r="K103" s="18">
        <f t="shared" si="64"/>
        <v>653560</v>
      </c>
      <c r="L103" s="18">
        <f t="shared" si="64"/>
        <v>773520</v>
      </c>
      <c r="M103" s="18">
        <f t="shared" si="64"/>
        <v>880553.33333333337</v>
      </c>
      <c r="N103" s="18">
        <f t="shared" si="64"/>
        <v>803133.33333333337</v>
      </c>
      <c r="O103" s="18"/>
      <c r="P103" s="18"/>
      <c r="Q103" s="18"/>
      <c r="R103" s="18"/>
      <c r="S103" s="18"/>
      <c r="T103" s="18"/>
      <c r="U103" s="18"/>
    </row>
    <row r="104" spans="1:21" s="16" customFormat="1" x14ac:dyDescent="0.2">
      <c r="A104" s="15" t="s">
        <v>230</v>
      </c>
      <c r="B104" s="18">
        <f>AVERAGE(B35:B37)</f>
        <v>1492.26</v>
      </c>
      <c r="C104" s="18">
        <f t="shared" ref="C104:N104" si="65">AVERAGE(C35:C37)</f>
        <v>1231.5</v>
      </c>
      <c r="D104" s="18">
        <f t="shared" si="65"/>
        <v>2853</v>
      </c>
      <c r="E104" s="18">
        <f t="shared" si="65"/>
        <v>6790</v>
      </c>
      <c r="F104" s="18">
        <f t="shared" si="65"/>
        <v>15360.666666666666</v>
      </c>
      <c r="G104" s="18">
        <f t="shared" si="65"/>
        <v>32816.666666666664</v>
      </c>
      <c r="H104" s="18">
        <f t="shared" si="65"/>
        <v>77680</v>
      </c>
      <c r="I104" s="18">
        <f t="shared" si="65"/>
        <v>244420</v>
      </c>
      <c r="J104" s="18">
        <f t="shared" si="65"/>
        <v>535473.33333333337</v>
      </c>
      <c r="K104" s="18">
        <f t="shared" si="65"/>
        <v>778366.66666666663</v>
      </c>
      <c r="L104" s="18">
        <f t="shared" si="65"/>
        <v>861533.33333333337</v>
      </c>
      <c r="M104" s="18">
        <f t="shared" si="65"/>
        <v>993126.66666666663</v>
      </c>
      <c r="N104" s="18">
        <f t="shared" si="65"/>
        <v>976313.33333333337</v>
      </c>
      <c r="O104" s="18"/>
      <c r="P104" s="18"/>
      <c r="Q104" s="18"/>
      <c r="R104" s="18"/>
      <c r="S104" s="18"/>
      <c r="T104" s="18"/>
      <c r="U104" s="18"/>
    </row>
    <row r="105" spans="1:21" s="16" customFormat="1" x14ac:dyDescent="0.2">
      <c r="A105" s="15"/>
      <c r="F105" s="19"/>
    </row>
    <row r="106" spans="1:21" s="16" customFormat="1" x14ac:dyDescent="0.2">
      <c r="A106" s="15"/>
      <c r="B106" s="16">
        <v>0</v>
      </c>
      <c r="C106" s="16">
        <v>2</v>
      </c>
      <c r="D106" s="16">
        <v>4</v>
      </c>
      <c r="E106" s="17">
        <v>6</v>
      </c>
      <c r="F106" s="17">
        <v>8</v>
      </c>
      <c r="G106" s="17">
        <v>10</v>
      </c>
      <c r="H106" s="17">
        <v>12</v>
      </c>
      <c r="I106" s="17">
        <v>14</v>
      </c>
      <c r="J106" s="17">
        <v>16</v>
      </c>
      <c r="K106" s="17">
        <v>18</v>
      </c>
      <c r="L106" s="17">
        <v>20</v>
      </c>
      <c r="M106" s="17">
        <v>22</v>
      </c>
      <c r="N106" s="17">
        <v>24</v>
      </c>
      <c r="O106" s="17">
        <v>26</v>
      </c>
      <c r="P106" s="17">
        <v>28</v>
      </c>
      <c r="Q106" s="17">
        <v>30</v>
      </c>
      <c r="R106" s="17">
        <v>32</v>
      </c>
      <c r="S106" s="17">
        <v>34</v>
      </c>
      <c r="T106" s="17">
        <v>36</v>
      </c>
      <c r="U106" s="17">
        <v>38</v>
      </c>
    </row>
    <row r="107" spans="1:21" s="16" customFormat="1" x14ac:dyDescent="0.2">
      <c r="A107" s="15" t="s">
        <v>274</v>
      </c>
      <c r="B107" s="18">
        <f>AVERAGE(B93:B95)</f>
        <v>1242.4833333333336</v>
      </c>
      <c r="C107" s="18">
        <f t="shared" ref="C107:L107" si="66">AVERAGE(C93:C95)</f>
        <v>1219.2222222222224</v>
      </c>
      <c r="D107" s="18">
        <f t="shared" si="66"/>
        <v>1519.7777777777781</v>
      </c>
      <c r="E107" s="18">
        <f t="shared" si="66"/>
        <v>2140.2222222222222</v>
      </c>
      <c r="F107" s="18">
        <f t="shared" si="66"/>
        <v>2067.7777777777778</v>
      </c>
      <c r="G107" s="18">
        <f t="shared" si="66"/>
        <v>2551.4444444444443</v>
      </c>
      <c r="H107" s="18">
        <f t="shared" si="66"/>
        <v>2514.2222222222222</v>
      </c>
      <c r="I107" s="18">
        <f t="shared" si="66"/>
        <v>2616.6666666666665</v>
      </c>
      <c r="J107" s="18">
        <f t="shared" si="66"/>
        <v>2687.1111111111113</v>
      </c>
      <c r="K107" s="18">
        <f t="shared" si="66"/>
        <v>2599.6666666666665</v>
      </c>
      <c r="L107" s="18">
        <f t="shared" si="66"/>
        <v>2607.1111111111113</v>
      </c>
      <c r="M107" s="18"/>
      <c r="N107" s="18"/>
      <c r="O107" s="18"/>
      <c r="P107" s="18"/>
      <c r="Q107" s="18"/>
      <c r="R107" s="18"/>
      <c r="S107" s="18"/>
      <c r="T107" s="18"/>
      <c r="U107" s="18"/>
    </row>
    <row r="108" spans="1:21" s="16" customFormat="1" x14ac:dyDescent="0.2">
      <c r="A108" s="15" t="s">
        <v>270</v>
      </c>
      <c r="B108" s="18">
        <f>STDEV(B93:B95)</f>
        <v>0</v>
      </c>
      <c r="C108" s="18">
        <f t="shared" ref="C108:L108" si="67">STDEV(C93:C95)</f>
        <v>48.90391183323257</v>
      </c>
      <c r="D108" s="18">
        <f t="shared" si="67"/>
        <v>26.858338935428808</v>
      </c>
      <c r="E108" s="18">
        <f t="shared" si="67"/>
        <v>110.54025578108698</v>
      </c>
      <c r="F108" s="18">
        <f t="shared" si="67"/>
        <v>84.509258752013849</v>
      </c>
      <c r="G108" s="18">
        <f t="shared" si="67"/>
        <v>95.644209520570556</v>
      </c>
      <c r="H108" s="18">
        <f t="shared" si="67"/>
        <v>135.16834496834494</v>
      </c>
      <c r="I108" s="18">
        <f t="shared" si="67"/>
        <v>194.58417201817829</v>
      </c>
      <c r="J108" s="18">
        <f t="shared" si="67"/>
        <v>219.64171161571642</v>
      </c>
      <c r="K108" s="18">
        <f t="shared" si="67"/>
        <v>305.03569918581286</v>
      </c>
      <c r="L108" s="18">
        <f t="shared" si="67"/>
        <v>403.04153815888441</v>
      </c>
      <c r="M108" s="18"/>
      <c r="N108" s="18"/>
      <c r="O108" s="18"/>
      <c r="P108" s="18"/>
      <c r="Q108" s="18"/>
      <c r="R108" s="18"/>
      <c r="S108" s="18"/>
      <c r="T108" s="18"/>
      <c r="U108" s="18"/>
    </row>
    <row r="109" spans="1:21" s="16" customFormat="1" x14ac:dyDescent="0.2">
      <c r="A109" s="15" t="s">
        <v>275</v>
      </c>
      <c r="B109" s="18">
        <f>AVERAGE(B99:B101)</f>
        <v>1235.76</v>
      </c>
      <c r="C109" s="18">
        <f t="shared" ref="C109:T109" si="68">AVERAGE(C99:C101)</f>
        <v>1461.4444444444443</v>
      </c>
      <c r="D109" s="18">
        <f t="shared" si="68"/>
        <v>1961.1111111111111</v>
      </c>
      <c r="E109" s="18">
        <f t="shared" si="68"/>
        <v>2711.1111111111113</v>
      </c>
      <c r="F109" s="18">
        <f t="shared" si="68"/>
        <v>4370.1111111111113</v>
      </c>
      <c r="G109" s="18">
        <f t="shared" si="68"/>
        <v>5770.5555555555557</v>
      </c>
      <c r="H109" s="18">
        <f t="shared" si="68"/>
        <v>6998.333333333333</v>
      </c>
      <c r="I109" s="18"/>
      <c r="J109" s="18">
        <f t="shared" si="68"/>
        <v>16568</v>
      </c>
      <c r="K109" s="18">
        <f t="shared" si="68"/>
        <v>24088.333333333332</v>
      </c>
      <c r="L109" s="18">
        <f t="shared" si="68"/>
        <v>27509.111111111113</v>
      </c>
      <c r="M109" s="18">
        <f t="shared" si="68"/>
        <v>37880.888888888891</v>
      </c>
      <c r="N109" s="18">
        <f t="shared" si="68"/>
        <v>60147</v>
      </c>
      <c r="O109" s="18">
        <f>AVERAGE(O99:O101)</f>
        <v>99997.777777777796</v>
      </c>
      <c r="P109" s="18">
        <f>AVERAGE(P99:P101)</f>
        <v>155777.77777777778</v>
      </c>
      <c r="Q109" s="18">
        <f t="shared" si="68"/>
        <v>204488.88888888888</v>
      </c>
      <c r="R109" s="18">
        <f t="shared" si="68"/>
        <v>262997.77777777775</v>
      </c>
      <c r="S109" s="18">
        <f t="shared" si="68"/>
        <v>344153.33333333331</v>
      </c>
      <c r="T109" s="18">
        <f t="shared" si="68"/>
        <v>353791.11111111107</v>
      </c>
      <c r="U109" s="18">
        <f>AVERAGE(U99:U101)</f>
        <v>368184.44444444444</v>
      </c>
    </row>
    <row r="110" spans="1:21" s="16" customFormat="1" x14ac:dyDescent="0.2">
      <c r="A110" s="15" t="s">
        <v>270</v>
      </c>
      <c r="B110" s="18">
        <f>STDEV(B99:B101)</f>
        <v>0</v>
      </c>
      <c r="C110" s="18">
        <f t="shared" ref="C110:U110" si="69">STDEV(C99:C101)</f>
        <v>240.53420485183258</v>
      </c>
      <c r="D110" s="18">
        <f t="shared" si="69"/>
        <v>386.35768305970083</v>
      </c>
      <c r="E110" s="18">
        <f t="shared" si="69"/>
        <v>552.33537852501297</v>
      </c>
      <c r="F110" s="18">
        <f t="shared" si="69"/>
        <v>1096.5734678398733</v>
      </c>
      <c r="G110" s="18">
        <f t="shared" si="69"/>
        <v>1195.682247521067</v>
      </c>
      <c r="H110" s="18">
        <f t="shared" si="69"/>
        <v>1860.6588737445798</v>
      </c>
      <c r="I110" s="18"/>
      <c r="J110" s="18">
        <f t="shared" si="69"/>
        <v>3187.3895274973843</v>
      </c>
      <c r="K110" s="18">
        <f t="shared" si="69"/>
        <v>4031.9516779511846</v>
      </c>
      <c r="L110" s="18">
        <f t="shared" si="69"/>
        <v>3899.0038803852176</v>
      </c>
      <c r="M110" s="18">
        <f t="shared" si="69"/>
        <v>9092.3764485133961</v>
      </c>
      <c r="N110" s="18">
        <f t="shared" si="69"/>
        <v>26386.402662061471</v>
      </c>
      <c r="O110" s="18">
        <f t="shared" si="69"/>
        <v>46589.233059120335</v>
      </c>
      <c r="P110" s="18">
        <f t="shared" si="69"/>
        <v>85532.391871496628</v>
      </c>
      <c r="Q110" s="18">
        <f t="shared" si="69"/>
        <v>99377.094238356833</v>
      </c>
      <c r="R110" s="18">
        <f t="shared" si="69"/>
        <v>85554.35551827951</v>
      </c>
      <c r="S110" s="18">
        <f t="shared" si="69"/>
        <v>69924.19609834638</v>
      </c>
      <c r="T110" s="18">
        <f t="shared" si="69"/>
        <v>76640.412992779049</v>
      </c>
      <c r="U110" s="18">
        <f t="shared" si="69"/>
        <v>69200.472809346102</v>
      </c>
    </row>
    <row r="111" spans="1:21" s="16" customFormat="1" x14ac:dyDescent="0.2">
      <c r="A111" s="15" t="s">
        <v>276</v>
      </c>
      <c r="B111" s="18">
        <f>AVERAGE(B96:B98)</f>
        <v>1242.4833333333336</v>
      </c>
      <c r="C111" s="18">
        <f t="shared" ref="C111:M111" si="70">AVERAGE(C96:C98)</f>
        <v>1160.8888888888889</v>
      </c>
      <c r="D111" s="18">
        <f t="shared" si="70"/>
        <v>2271.2222222222222</v>
      </c>
      <c r="E111" s="18">
        <f t="shared" si="70"/>
        <v>4064.8888888888891</v>
      </c>
      <c r="F111" s="18">
        <f t="shared" si="70"/>
        <v>5795.5555555555547</v>
      </c>
      <c r="G111" s="18">
        <f t="shared" si="70"/>
        <v>12170.333333333334</v>
      </c>
      <c r="H111" s="18">
        <f t="shared" si="70"/>
        <v>17290.444444444442</v>
      </c>
      <c r="I111" s="18">
        <f t="shared" si="70"/>
        <v>29701.777777777781</v>
      </c>
      <c r="J111" s="18">
        <f t="shared" si="70"/>
        <v>59297.777777777774</v>
      </c>
      <c r="K111" s="18">
        <f t="shared" si="70"/>
        <v>116611.11111111111</v>
      </c>
      <c r="L111" s="18">
        <f t="shared" si="70"/>
        <v>268284.44444444444</v>
      </c>
      <c r="M111" s="18">
        <f t="shared" si="70"/>
        <v>394435.55555555556</v>
      </c>
      <c r="N111" s="18">
        <f>AVERAGE(N96:N98)</f>
        <v>413868.88888888882</v>
      </c>
      <c r="O111" s="18"/>
      <c r="P111" s="18"/>
      <c r="Q111" s="18"/>
      <c r="R111" s="18"/>
      <c r="S111" s="18"/>
      <c r="T111" s="18"/>
      <c r="U111" s="18"/>
    </row>
    <row r="112" spans="1:21" s="16" customFormat="1" x14ac:dyDescent="0.2">
      <c r="A112" s="15" t="s">
        <v>270</v>
      </c>
      <c r="B112" s="18">
        <f>STDEV(B96:B98)</f>
        <v>0</v>
      </c>
      <c r="C112" s="18">
        <f t="shared" ref="C112:N112" si="71">STDEV(C96:C98)</f>
        <v>71.16673171998066</v>
      </c>
      <c r="D112" s="18">
        <f t="shared" si="71"/>
        <v>134.56775795665718</v>
      </c>
      <c r="E112" s="18">
        <f t="shared" si="71"/>
        <v>624.34982478070856</v>
      </c>
      <c r="F112" s="18">
        <f t="shared" si="71"/>
        <v>121.72570865740772</v>
      </c>
      <c r="G112" s="18">
        <f t="shared" si="71"/>
        <v>119.75530607590352</v>
      </c>
      <c r="H112" s="18">
        <f t="shared" si="71"/>
        <v>1107.3790043428032</v>
      </c>
      <c r="I112" s="18">
        <f t="shared" si="71"/>
        <v>1655.6040298645391</v>
      </c>
      <c r="J112" s="18">
        <f t="shared" si="71"/>
        <v>8605.7999391452959</v>
      </c>
      <c r="K112" s="18">
        <f t="shared" si="71"/>
        <v>28851.548260657361</v>
      </c>
      <c r="L112" s="18">
        <f t="shared" si="71"/>
        <v>49512.937179571032</v>
      </c>
      <c r="M112" s="18">
        <f t="shared" si="71"/>
        <v>18103.559298084419</v>
      </c>
      <c r="N112" s="18">
        <f t="shared" si="71"/>
        <v>29634.458421336578</v>
      </c>
      <c r="O112" s="18"/>
      <c r="P112" s="18"/>
      <c r="Q112" s="18"/>
      <c r="R112" s="18"/>
      <c r="S112" s="18"/>
      <c r="T112" s="18"/>
      <c r="U112" s="18"/>
    </row>
    <row r="113" spans="1:21" s="16" customFormat="1" x14ac:dyDescent="0.2">
      <c r="A113" s="15" t="s">
        <v>277</v>
      </c>
      <c r="B113" s="18">
        <f>AVERAGE(B102:B104)</f>
        <v>1492.26</v>
      </c>
      <c r="C113" s="18">
        <f t="shared" ref="C113:M113" si="72">AVERAGE(C102:C104)</f>
        <v>1242</v>
      </c>
      <c r="D113" s="18">
        <f t="shared" si="72"/>
        <v>2684.8888888888887</v>
      </c>
      <c r="E113" s="18">
        <f t="shared" si="72"/>
        <v>6496</v>
      </c>
      <c r="F113" s="18">
        <f t="shared" si="72"/>
        <v>14134.888888888889</v>
      </c>
      <c r="G113" s="18">
        <f t="shared" si="72"/>
        <v>31102.333333333332</v>
      </c>
      <c r="H113" s="18">
        <f t="shared" si="72"/>
        <v>71658.111111111109</v>
      </c>
      <c r="I113" s="18">
        <f t="shared" si="72"/>
        <v>228468.88888888888</v>
      </c>
      <c r="J113" s="18">
        <f t="shared" si="72"/>
        <v>496102.22222222219</v>
      </c>
      <c r="K113" s="18">
        <f t="shared" si="72"/>
        <v>715626.66666666663</v>
      </c>
      <c r="L113" s="18">
        <f t="shared" si="72"/>
        <v>822802.22222222236</v>
      </c>
      <c r="M113" s="18">
        <f t="shared" si="72"/>
        <v>947480</v>
      </c>
      <c r="N113" s="18">
        <f>AVERAGE(N102:N104)</f>
        <v>908004.4444444445</v>
      </c>
      <c r="O113" s="18"/>
      <c r="P113" s="18"/>
      <c r="Q113" s="18"/>
      <c r="R113" s="18"/>
      <c r="S113" s="18"/>
      <c r="T113" s="18"/>
      <c r="U113" s="18"/>
    </row>
    <row r="114" spans="1:21" s="16" customFormat="1" x14ac:dyDescent="0.2">
      <c r="A114" s="15" t="s">
        <v>270</v>
      </c>
      <c r="B114" s="18">
        <f>STDEV(B102:B104)</f>
        <v>0</v>
      </c>
      <c r="C114" s="18">
        <f t="shared" ref="C114:N114" si="73">STDEV(C102:C104)</f>
        <v>138.04980985137212</v>
      </c>
      <c r="D114" s="18">
        <f t="shared" si="73"/>
        <v>145.60461429399729</v>
      </c>
      <c r="E114" s="18">
        <f t="shared" si="73"/>
        <v>296.87389765877231</v>
      </c>
      <c r="F114" s="18">
        <f t="shared" si="73"/>
        <v>1662.1490217096568</v>
      </c>
      <c r="G114" s="18">
        <f t="shared" si="73"/>
        <v>2404.0496620864092</v>
      </c>
      <c r="H114" s="18">
        <f t="shared" si="73"/>
        <v>5703.068709361979</v>
      </c>
      <c r="I114" s="18">
        <f t="shared" si="73"/>
        <v>14762.717806590937</v>
      </c>
      <c r="J114" s="18">
        <f t="shared" si="73"/>
        <v>36449.191628489825</v>
      </c>
      <c r="K114" s="18">
        <f t="shared" si="73"/>
        <v>62406.057754391455</v>
      </c>
      <c r="L114" s="18">
        <f t="shared" si="73"/>
        <v>44945.313107935654</v>
      </c>
      <c r="M114" s="18">
        <f t="shared" si="73"/>
        <v>59226.832132441792</v>
      </c>
      <c r="N114" s="18">
        <f t="shared" si="73"/>
        <v>92197.750354172778</v>
      </c>
      <c r="O114" s="18"/>
      <c r="P114" s="18"/>
      <c r="Q114" s="18"/>
      <c r="R114" s="18"/>
      <c r="S114" s="18"/>
      <c r="T114" s="18"/>
      <c r="U114" s="18"/>
    </row>
    <row r="117" spans="1:21" x14ac:dyDescent="0.2">
      <c r="B117" s="4"/>
      <c r="C117" s="4" t="s">
        <v>274</v>
      </c>
      <c r="D117" s="4" t="s">
        <v>270</v>
      </c>
      <c r="E117" s="4" t="s">
        <v>275</v>
      </c>
      <c r="F117" s="4" t="s">
        <v>270</v>
      </c>
      <c r="G117" s="4" t="s">
        <v>276</v>
      </c>
      <c r="H117" s="4" t="s">
        <v>270</v>
      </c>
      <c r="I117" s="4" t="s">
        <v>277</v>
      </c>
      <c r="J117" s="4" t="s">
        <v>270</v>
      </c>
    </row>
    <row r="118" spans="1:21" x14ac:dyDescent="0.2">
      <c r="B118" s="6">
        <v>0</v>
      </c>
      <c r="C118" s="5">
        <v>1242.4833333333336</v>
      </c>
      <c r="D118" s="5">
        <v>0</v>
      </c>
      <c r="E118" s="5">
        <v>1235.76</v>
      </c>
      <c r="F118" s="5">
        <v>0</v>
      </c>
      <c r="G118" s="5">
        <v>1242.4833333333336</v>
      </c>
      <c r="H118" s="5">
        <v>0</v>
      </c>
      <c r="I118" s="5">
        <v>1492.26</v>
      </c>
      <c r="J118" s="5">
        <v>0</v>
      </c>
    </row>
    <row r="119" spans="1:21" x14ac:dyDescent="0.2">
      <c r="B119" s="6">
        <v>2</v>
      </c>
      <c r="C119" s="5">
        <v>1219.2222222222224</v>
      </c>
      <c r="D119" s="5">
        <v>48.90391183323257</v>
      </c>
      <c r="E119" s="5">
        <v>1461.4444444444443</v>
      </c>
      <c r="F119" s="5">
        <v>240.53420485183258</v>
      </c>
      <c r="G119" s="5">
        <v>1160.8888888888889</v>
      </c>
      <c r="H119" s="5">
        <v>71.16673171998066</v>
      </c>
      <c r="I119" s="5">
        <v>1242</v>
      </c>
      <c r="J119" s="5">
        <v>138.04980985137212</v>
      </c>
    </row>
    <row r="120" spans="1:21" x14ac:dyDescent="0.2">
      <c r="B120" s="6">
        <v>4</v>
      </c>
      <c r="C120" s="5">
        <v>1519.7777777777781</v>
      </c>
      <c r="D120" s="5">
        <v>26.858338935428808</v>
      </c>
      <c r="E120" s="5">
        <v>1961.1111111111111</v>
      </c>
      <c r="F120" s="5">
        <v>386.35768305970083</v>
      </c>
      <c r="G120" s="5">
        <v>2271.2222222222222</v>
      </c>
      <c r="H120" s="5">
        <v>134.56775795665718</v>
      </c>
      <c r="I120" s="5">
        <v>2684.8888888888887</v>
      </c>
      <c r="J120" s="5">
        <v>145.60461429399729</v>
      </c>
    </row>
    <row r="121" spans="1:21" x14ac:dyDescent="0.2">
      <c r="B121" s="6">
        <v>6</v>
      </c>
      <c r="C121" s="5">
        <v>2140.2222222222222</v>
      </c>
      <c r="D121" s="5">
        <v>110.54025578108698</v>
      </c>
      <c r="E121" s="5">
        <v>2711.1111111111113</v>
      </c>
      <c r="F121" s="5">
        <v>552.33537852501297</v>
      </c>
      <c r="G121" s="5">
        <v>4064.8888888888891</v>
      </c>
      <c r="H121" s="5">
        <v>624.34982478070856</v>
      </c>
      <c r="I121" s="5">
        <v>6496</v>
      </c>
      <c r="J121" s="5">
        <v>296.87389765877231</v>
      </c>
    </row>
    <row r="122" spans="1:21" x14ac:dyDescent="0.2">
      <c r="B122" s="5">
        <v>8</v>
      </c>
      <c r="C122" s="5">
        <v>2067.7777777777778</v>
      </c>
      <c r="D122" s="5">
        <v>84.509258752013849</v>
      </c>
      <c r="E122" s="5">
        <v>4370.1111111111113</v>
      </c>
      <c r="F122" s="5">
        <v>1096.5734678398733</v>
      </c>
      <c r="G122" s="5">
        <v>5795.5555555555547</v>
      </c>
      <c r="H122" s="5">
        <v>121.72570865740772</v>
      </c>
      <c r="I122" s="5">
        <v>14134.888888888889</v>
      </c>
      <c r="J122" s="5">
        <v>1662.1490217096568</v>
      </c>
    </row>
    <row r="123" spans="1:21" x14ac:dyDescent="0.2">
      <c r="B123" s="6">
        <v>10</v>
      </c>
      <c r="C123" s="5">
        <v>2551.4444444444443</v>
      </c>
      <c r="D123" s="5">
        <v>95.644209520570556</v>
      </c>
      <c r="E123" s="5">
        <v>5770.5555555555557</v>
      </c>
      <c r="F123" s="5">
        <v>1195.682247521067</v>
      </c>
      <c r="G123" s="5">
        <v>12170.333333333334</v>
      </c>
      <c r="H123" s="5">
        <v>119.75530607590352</v>
      </c>
      <c r="I123" s="5">
        <v>31102.333333333332</v>
      </c>
      <c r="J123" s="5">
        <v>2404.0496620864092</v>
      </c>
    </row>
    <row r="124" spans="1:21" x14ac:dyDescent="0.2">
      <c r="B124" s="6">
        <v>12</v>
      </c>
      <c r="C124" s="5">
        <v>2514.2222222222222</v>
      </c>
      <c r="D124" s="5">
        <v>135.16834496834494</v>
      </c>
      <c r="E124" s="5">
        <v>6998.333333333333</v>
      </c>
      <c r="F124" s="5">
        <v>1860.6588737445798</v>
      </c>
      <c r="G124" s="5">
        <v>17290.444444444442</v>
      </c>
      <c r="H124" s="5">
        <v>1107.3790043428032</v>
      </c>
      <c r="I124" s="5">
        <v>71658.111111111109</v>
      </c>
      <c r="J124" s="5">
        <v>5703.068709361979</v>
      </c>
    </row>
    <row r="125" spans="1:21" x14ac:dyDescent="0.2">
      <c r="B125" s="6">
        <v>14</v>
      </c>
      <c r="C125" s="5">
        <v>2616.6666666666665</v>
      </c>
      <c r="D125" s="5">
        <v>194.58417201817829</v>
      </c>
      <c r="E125" s="5"/>
      <c r="F125" s="5"/>
      <c r="G125" s="5">
        <v>29701.777777777781</v>
      </c>
      <c r="H125" s="5">
        <v>1655.6040298645391</v>
      </c>
      <c r="I125" s="5">
        <v>228468.88888888888</v>
      </c>
      <c r="J125" s="5">
        <v>14762.717806590937</v>
      </c>
    </row>
    <row r="126" spans="1:21" x14ac:dyDescent="0.2">
      <c r="B126" s="6">
        <v>16</v>
      </c>
      <c r="C126" s="5">
        <v>2687.1111111111113</v>
      </c>
      <c r="D126" s="5">
        <v>219.64171161571642</v>
      </c>
      <c r="E126" s="5">
        <v>16568</v>
      </c>
      <c r="F126" s="5">
        <v>3187.3895274973843</v>
      </c>
      <c r="G126" s="5">
        <v>59297.777777777774</v>
      </c>
      <c r="H126" s="5">
        <v>8605.7999391452959</v>
      </c>
      <c r="I126" s="5">
        <v>496102.22222222219</v>
      </c>
      <c r="J126" s="5">
        <v>36449.191628489825</v>
      </c>
    </row>
    <row r="127" spans="1:21" x14ac:dyDescent="0.2">
      <c r="B127" s="6">
        <v>18</v>
      </c>
      <c r="C127" s="5">
        <v>2599.6666666666665</v>
      </c>
      <c r="D127" s="5">
        <v>305.03569918581286</v>
      </c>
      <c r="E127" s="5">
        <v>24088.333333333332</v>
      </c>
      <c r="F127" s="5">
        <v>4031.9516779511846</v>
      </c>
      <c r="G127" s="5">
        <v>116611.11111111111</v>
      </c>
      <c r="H127" s="5">
        <v>28851.548260657361</v>
      </c>
      <c r="I127" s="5">
        <v>715626.66666666663</v>
      </c>
      <c r="J127" s="5">
        <v>62406.057754391455</v>
      </c>
    </row>
    <row r="128" spans="1:21" x14ac:dyDescent="0.2">
      <c r="B128" s="6">
        <v>20</v>
      </c>
      <c r="C128" s="5">
        <v>2607.1111111111113</v>
      </c>
      <c r="D128" s="5">
        <v>403.04153815888441</v>
      </c>
      <c r="E128" s="5">
        <v>27509.111111111113</v>
      </c>
      <c r="F128" s="5">
        <v>3899.0038803852176</v>
      </c>
      <c r="G128" s="5">
        <v>268284.44444444444</v>
      </c>
      <c r="H128" s="5">
        <v>49512.937179571032</v>
      </c>
      <c r="I128" s="5">
        <v>822802.22222222236</v>
      </c>
      <c r="J128" s="5">
        <v>44945.313107935654</v>
      </c>
    </row>
    <row r="129" spans="2:10" x14ac:dyDescent="0.2">
      <c r="B129" s="6">
        <v>22</v>
      </c>
      <c r="C129" s="5"/>
      <c r="D129" s="5"/>
      <c r="E129" s="5">
        <v>37880.888888888891</v>
      </c>
      <c r="F129" s="5">
        <v>9092.3764485133961</v>
      </c>
      <c r="G129" s="5">
        <v>394435.55555555556</v>
      </c>
      <c r="H129" s="5">
        <v>18103.559298084419</v>
      </c>
      <c r="I129" s="5">
        <v>947480</v>
      </c>
      <c r="J129" s="5">
        <v>59226.832132441792</v>
      </c>
    </row>
    <row r="130" spans="2:10" x14ac:dyDescent="0.2">
      <c r="B130" s="6">
        <v>24</v>
      </c>
      <c r="C130" s="5"/>
      <c r="D130" s="5"/>
      <c r="E130" s="5">
        <v>60147</v>
      </c>
      <c r="F130" s="5">
        <v>26386.402662061471</v>
      </c>
      <c r="G130" s="5">
        <v>413868.88888888882</v>
      </c>
      <c r="H130" s="5">
        <v>29634.458421336578</v>
      </c>
      <c r="I130" s="5">
        <v>908004.4444444445</v>
      </c>
      <c r="J130" s="5">
        <v>92197.750354172778</v>
      </c>
    </row>
    <row r="131" spans="2:10" x14ac:dyDescent="0.2">
      <c r="B131" s="6">
        <v>26</v>
      </c>
      <c r="C131" s="5"/>
      <c r="D131" s="5"/>
      <c r="E131" s="5">
        <v>99997.777777777796</v>
      </c>
      <c r="F131" s="5">
        <v>46589.233059120335</v>
      </c>
      <c r="G131" s="5"/>
      <c r="H131" s="5"/>
      <c r="I131" s="5"/>
      <c r="J131" s="5"/>
    </row>
    <row r="132" spans="2:10" x14ac:dyDescent="0.2">
      <c r="B132" s="6">
        <v>28</v>
      </c>
      <c r="C132" s="5"/>
      <c r="D132" s="5"/>
      <c r="E132" s="5">
        <v>155777.77777777778</v>
      </c>
      <c r="F132" s="5">
        <v>85532.391871496628</v>
      </c>
      <c r="G132" s="5"/>
      <c r="H132" s="5"/>
      <c r="I132" s="5"/>
      <c r="J132" s="5"/>
    </row>
    <row r="133" spans="2:10" x14ac:dyDescent="0.2">
      <c r="B133" s="6">
        <v>30</v>
      </c>
      <c r="C133" s="5"/>
      <c r="D133" s="5"/>
      <c r="E133" s="5">
        <v>204488.88888888888</v>
      </c>
      <c r="F133" s="5">
        <v>99377.094238356833</v>
      </c>
      <c r="G133" s="5"/>
      <c r="H133" s="5"/>
      <c r="I133" s="5"/>
      <c r="J133" s="5"/>
    </row>
    <row r="134" spans="2:10" x14ac:dyDescent="0.2">
      <c r="B134" s="6">
        <v>32</v>
      </c>
      <c r="C134" s="5"/>
      <c r="D134" s="5"/>
      <c r="E134" s="5">
        <v>262997.77777777775</v>
      </c>
      <c r="F134" s="5">
        <v>85554.35551827951</v>
      </c>
      <c r="G134" s="5"/>
      <c r="H134" s="5"/>
      <c r="I134" s="5"/>
      <c r="J134" s="5"/>
    </row>
    <row r="135" spans="2:10" x14ac:dyDescent="0.2">
      <c r="B135" s="6">
        <v>34</v>
      </c>
      <c r="C135" s="5"/>
      <c r="D135" s="5"/>
      <c r="E135" s="5">
        <v>344153.33333333331</v>
      </c>
      <c r="F135" s="5">
        <v>69924.19609834638</v>
      </c>
      <c r="G135" s="5"/>
      <c r="H135" s="5"/>
      <c r="I135" s="5"/>
      <c r="J135" s="5"/>
    </row>
    <row r="136" spans="2:10" x14ac:dyDescent="0.2">
      <c r="B136" s="6">
        <v>36</v>
      </c>
      <c r="C136" s="5"/>
      <c r="D136" s="5"/>
      <c r="E136" s="5">
        <v>353791.11111111107</v>
      </c>
      <c r="F136" s="5">
        <v>76640.412992779049</v>
      </c>
      <c r="G136" s="5"/>
      <c r="H136" s="5"/>
      <c r="I136" s="5"/>
      <c r="J136" s="5"/>
    </row>
    <row r="137" spans="2:10" x14ac:dyDescent="0.2">
      <c r="B137" s="6">
        <v>38</v>
      </c>
      <c r="C137" s="5"/>
      <c r="D137" s="5"/>
      <c r="E137" s="5">
        <v>368184.44444444444</v>
      </c>
      <c r="F137" s="5">
        <v>69200.472809346102</v>
      </c>
      <c r="G137" s="5"/>
      <c r="H137" s="5"/>
      <c r="I137" s="5"/>
      <c r="J137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I141"/>
  <sheetViews>
    <sheetView topLeftCell="V70" zoomScale="80" zoomScaleNormal="80" zoomScalePageLayoutView="80" workbookViewId="0">
      <selection activeCell="AI78" sqref="AF78:AI78"/>
    </sheetView>
  </sheetViews>
  <sheetFormatPr baseColWidth="10" defaultColWidth="12.5" defaultRowHeight="15" x14ac:dyDescent="0.2"/>
  <cols>
    <col min="1" max="1" width="18.5" style="4" customWidth="1"/>
    <col min="2" max="2" width="18.5" style="6" customWidth="1"/>
    <col min="3" max="3" width="18.6640625" style="6" customWidth="1"/>
    <col min="4" max="4" width="15.5" style="6" customWidth="1"/>
    <col min="5" max="5" width="16.6640625" style="6" customWidth="1"/>
    <col min="6" max="6" width="15.33203125" style="7" customWidth="1"/>
    <col min="7" max="16384" width="12.5" style="6"/>
  </cols>
  <sheetData>
    <row r="1" spans="1:26" s="2" customFormat="1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x14ac:dyDescent="0.2">
      <c r="A2" s="4" t="s">
        <v>62</v>
      </c>
      <c r="B2" s="5">
        <f>([1]innoculationdensity!$D$8*1.5)/1000</f>
        <v>2069.56</v>
      </c>
      <c r="C2" s="6">
        <v>2457</v>
      </c>
      <c r="D2" s="6">
        <v>2301</v>
      </c>
      <c r="E2" s="6">
        <v>2792</v>
      </c>
      <c r="F2" s="7">
        <v>2635</v>
      </c>
      <c r="G2" s="6">
        <v>2751</v>
      </c>
      <c r="H2" s="6">
        <v>2699</v>
      </c>
      <c r="I2" s="6">
        <v>2580</v>
      </c>
      <c r="J2" s="6">
        <v>2579</v>
      </c>
      <c r="K2" s="6">
        <v>3110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">
      <c r="A3" s="4" t="s">
        <v>63</v>
      </c>
      <c r="B3" s="5">
        <f>([1]innoculationdensity!$D$8*1.5)/1000</f>
        <v>2069.56</v>
      </c>
      <c r="C3" s="6">
        <v>2443</v>
      </c>
      <c r="D3" s="6">
        <v>2377</v>
      </c>
      <c r="E3" s="6">
        <v>2806</v>
      </c>
      <c r="F3" s="7">
        <v>2531</v>
      </c>
      <c r="G3" s="6">
        <v>2691</v>
      </c>
      <c r="H3" s="6">
        <v>2504</v>
      </c>
      <c r="I3" s="6">
        <v>2593</v>
      </c>
      <c r="J3" s="6">
        <v>2540</v>
      </c>
      <c r="K3" s="6">
        <v>3095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">
      <c r="A4" s="4" t="s">
        <v>64</v>
      </c>
      <c r="B4" s="5">
        <f>([1]innoculationdensity!$D$8*1.5)/1000</f>
        <v>2069.56</v>
      </c>
      <c r="C4" s="6">
        <v>2434</v>
      </c>
      <c r="D4" s="6">
        <v>2336</v>
      </c>
      <c r="E4" s="6">
        <v>2777</v>
      </c>
      <c r="F4" s="7">
        <v>2492</v>
      </c>
      <c r="G4" s="6">
        <v>2660</v>
      </c>
      <c r="H4" s="6">
        <v>2612</v>
      </c>
      <c r="I4" s="6">
        <v>2572</v>
      </c>
      <c r="J4" s="6">
        <v>2525</v>
      </c>
      <c r="K4" s="6">
        <v>2993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">
      <c r="A5" s="4" t="s">
        <v>65</v>
      </c>
      <c r="B5" s="5">
        <f>([1]innoculationdensity!$D$8*1.5)/1000</f>
        <v>2069.56</v>
      </c>
      <c r="C5" s="6">
        <v>2434</v>
      </c>
      <c r="D5" s="6">
        <v>2159</v>
      </c>
      <c r="E5" s="6">
        <v>2689</v>
      </c>
      <c r="F5" s="7">
        <v>2426</v>
      </c>
      <c r="G5" s="6">
        <v>2420</v>
      </c>
      <c r="H5" s="6">
        <v>2487</v>
      </c>
      <c r="I5" s="6">
        <v>2499</v>
      </c>
      <c r="J5" s="6">
        <v>2326</v>
      </c>
      <c r="K5" s="6">
        <v>2495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">
      <c r="A6" s="4" t="s">
        <v>66</v>
      </c>
      <c r="B6" s="5">
        <f>([1]innoculationdensity!$D$8*1.5)/1000</f>
        <v>2069.56</v>
      </c>
      <c r="C6" s="6">
        <v>2452</v>
      </c>
      <c r="D6" s="6">
        <v>2153</v>
      </c>
      <c r="E6" s="6">
        <v>2600</v>
      </c>
      <c r="F6" s="7">
        <v>2388</v>
      </c>
      <c r="G6" s="6">
        <v>2538</v>
      </c>
      <c r="H6" s="6">
        <v>2528</v>
      </c>
      <c r="I6" s="6">
        <v>2531</v>
      </c>
      <c r="J6" s="6">
        <v>2377</v>
      </c>
      <c r="K6" s="6">
        <v>2464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">
      <c r="A7" s="4" t="s">
        <v>67</v>
      </c>
      <c r="B7" s="5">
        <f>([1]innoculationdensity!$D$8*1.5)/1000</f>
        <v>2069.56</v>
      </c>
      <c r="C7" s="6">
        <v>2468</v>
      </c>
      <c r="D7" s="6">
        <v>2176</v>
      </c>
      <c r="E7" s="6">
        <v>2540</v>
      </c>
      <c r="F7" s="7">
        <v>2472</v>
      </c>
      <c r="G7" s="6">
        <v>2503</v>
      </c>
      <c r="H7" s="6">
        <v>2412</v>
      </c>
      <c r="I7" s="6">
        <v>2555</v>
      </c>
      <c r="J7" s="6">
        <v>2343</v>
      </c>
      <c r="K7" s="6">
        <v>2492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">
      <c r="A8" s="4" t="s">
        <v>68</v>
      </c>
      <c r="B8" s="5">
        <f>([1]innoculationdensity!$D$8*1.5)/1000</f>
        <v>2069.56</v>
      </c>
      <c r="C8" s="6">
        <v>2362</v>
      </c>
      <c r="D8" s="6">
        <v>2257</v>
      </c>
      <c r="E8" s="6">
        <v>2412</v>
      </c>
      <c r="F8" s="7">
        <v>2411</v>
      </c>
      <c r="G8" s="6">
        <v>2648</v>
      </c>
      <c r="H8" s="6">
        <v>2584</v>
      </c>
      <c r="I8" s="6">
        <v>2694</v>
      </c>
      <c r="J8" s="6">
        <v>2399</v>
      </c>
      <c r="K8" s="6">
        <v>2584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">
      <c r="A9" s="4" t="s">
        <v>69</v>
      </c>
      <c r="B9" s="5">
        <f>([1]innoculationdensity!$D$8*1.5)/1000</f>
        <v>2069.56</v>
      </c>
      <c r="C9" s="6">
        <v>2309</v>
      </c>
      <c r="D9" s="6">
        <v>2248</v>
      </c>
      <c r="E9" s="6">
        <v>2369</v>
      </c>
      <c r="F9" s="7">
        <v>2478</v>
      </c>
      <c r="G9" s="6">
        <v>2709</v>
      </c>
      <c r="H9" s="6">
        <v>2670</v>
      </c>
      <c r="I9" s="6">
        <v>2607</v>
      </c>
      <c r="J9" s="6">
        <v>2478</v>
      </c>
      <c r="K9" s="6">
        <v>2695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">
      <c r="A10" s="4" t="s">
        <v>70</v>
      </c>
      <c r="B10" s="5">
        <f>([1]innoculationdensity!$D$8*1.5)/1000</f>
        <v>2069.56</v>
      </c>
      <c r="C10" s="6">
        <v>2332</v>
      </c>
      <c r="D10" s="6">
        <v>2167</v>
      </c>
      <c r="E10" s="6">
        <v>2429</v>
      </c>
      <c r="F10" s="7">
        <v>2514</v>
      </c>
      <c r="G10" s="6">
        <v>2627</v>
      </c>
      <c r="H10" s="6">
        <v>2602</v>
      </c>
      <c r="I10" s="6">
        <v>2660</v>
      </c>
      <c r="J10" s="6">
        <v>2486</v>
      </c>
      <c r="K10" s="6">
        <v>2492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">
      <c r="A11" s="4" t="s">
        <v>71</v>
      </c>
      <c r="B11" s="5">
        <f>([1]innoculationdensity!$D$8*1.5)/1000</f>
        <v>2069.56</v>
      </c>
      <c r="C11" s="6">
        <v>2355</v>
      </c>
      <c r="D11" s="6">
        <v>2459</v>
      </c>
      <c r="E11" s="6">
        <v>3200</v>
      </c>
      <c r="F11" s="7">
        <v>3823</v>
      </c>
      <c r="G11" s="6">
        <v>5660</v>
      </c>
      <c r="H11" s="6">
        <v>9308</v>
      </c>
      <c r="I11" s="6">
        <v>18617</v>
      </c>
      <c r="J11" s="6">
        <v>26053</v>
      </c>
      <c r="K11" s="6">
        <v>49083</v>
      </c>
      <c r="L11" s="6">
        <f>4985*20</f>
        <v>99700</v>
      </c>
      <c r="M11" s="6">
        <f>9233*20</f>
        <v>184660</v>
      </c>
      <c r="N11" s="6">
        <f>17935*20</f>
        <v>358700</v>
      </c>
      <c r="O11" s="6">
        <f>27242*20</f>
        <v>544840</v>
      </c>
      <c r="P11" s="6">
        <f>40554*20</f>
        <v>811080</v>
      </c>
      <c r="Q11" s="6">
        <f>52982*20</f>
        <v>1059640</v>
      </c>
      <c r="R11" s="6">
        <f>68818*20</f>
        <v>1376360</v>
      </c>
      <c r="S11" s="6">
        <f>64929*20</f>
        <v>1298580</v>
      </c>
      <c r="T11" s="8"/>
      <c r="U11" s="8"/>
      <c r="V11" s="8"/>
      <c r="W11" s="8"/>
      <c r="X11" s="8"/>
      <c r="Y11" s="8"/>
      <c r="Z11" s="8"/>
    </row>
    <row r="12" spans="1:26" x14ac:dyDescent="0.2">
      <c r="A12" s="4" t="s">
        <v>72</v>
      </c>
      <c r="B12" s="5">
        <f>([1]innoculationdensity!$D$8*1.5)/1000</f>
        <v>2069.56</v>
      </c>
      <c r="C12" s="6">
        <v>2310</v>
      </c>
      <c r="D12" s="6">
        <v>2371</v>
      </c>
      <c r="E12" s="6">
        <v>3149</v>
      </c>
      <c r="F12" s="7">
        <v>3827</v>
      </c>
      <c r="G12" s="6">
        <v>5686</v>
      </c>
      <c r="H12" s="6">
        <v>9391</v>
      </c>
      <c r="I12" s="6">
        <v>18446</v>
      </c>
      <c r="J12" s="6">
        <v>26784</v>
      </c>
      <c r="K12" s="6">
        <v>47146</v>
      </c>
      <c r="L12" s="6">
        <f>5003*20</f>
        <v>100060</v>
      </c>
      <c r="M12" s="6">
        <f>8966*20</f>
        <v>179320</v>
      </c>
      <c r="N12" s="6">
        <f>17250*20</f>
        <v>345000</v>
      </c>
      <c r="O12" s="6">
        <f>26681*20</f>
        <v>533620</v>
      </c>
      <c r="P12" s="6">
        <f>40512*20</f>
        <v>810240</v>
      </c>
      <c r="Q12" s="6">
        <f>52603*20</f>
        <v>1052060</v>
      </c>
      <c r="R12" s="6">
        <f>68623*20</f>
        <v>1372460</v>
      </c>
      <c r="S12" s="6">
        <f>64937*20</f>
        <v>1298740</v>
      </c>
      <c r="T12" s="8"/>
      <c r="U12" s="8"/>
      <c r="V12" s="8"/>
      <c r="W12" s="8"/>
      <c r="X12" s="8"/>
      <c r="Y12" s="8"/>
      <c r="Z12" s="8"/>
    </row>
    <row r="13" spans="1:26" x14ac:dyDescent="0.2">
      <c r="A13" s="4" t="s">
        <v>73</v>
      </c>
      <c r="B13" s="5">
        <f>([1]innoculationdensity!$D$8*1.5)/1000</f>
        <v>2069.56</v>
      </c>
      <c r="C13" s="6">
        <v>2249</v>
      </c>
      <c r="D13" s="6">
        <v>2337</v>
      </c>
      <c r="E13" s="6">
        <v>3137</v>
      </c>
      <c r="F13" s="7">
        <v>3849</v>
      </c>
      <c r="G13" s="6">
        <v>5716</v>
      </c>
      <c r="H13" s="6">
        <v>9317</v>
      </c>
      <c r="I13" s="6">
        <v>18273</v>
      </c>
      <c r="J13" s="6">
        <v>26822</v>
      </c>
      <c r="K13" s="6">
        <v>41117</v>
      </c>
      <c r="L13" s="6">
        <f>5049*20</f>
        <v>100980</v>
      </c>
      <c r="M13" s="6">
        <f>9218*20</f>
        <v>184360</v>
      </c>
      <c r="N13" s="6">
        <f>17492*20</f>
        <v>349840</v>
      </c>
      <c r="O13" s="6">
        <f>26193*20</f>
        <v>523860</v>
      </c>
      <c r="P13" s="6">
        <f>40309*20</f>
        <v>806180</v>
      </c>
      <c r="Q13" s="6">
        <f>51875*20</f>
        <v>1037500</v>
      </c>
      <c r="R13" s="6">
        <f>68229*20</f>
        <v>1364580</v>
      </c>
      <c r="S13" s="6">
        <f>64201*20</f>
        <v>1284020</v>
      </c>
      <c r="T13" s="8"/>
      <c r="U13" s="8"/>
      <c r="V13" s="8"/>
      <c r="W13" s="8"/>
      <c r="X13" s="8"/>
      <c r="Y13" s="8"/>
      <c r="Z13" s="8"/>
    </row>
    <row r="14" spans="1:26" x14ac:dyDescent="0.2">
      <c r="A14" s="4" t="s">
        <v>74</v>
      </c>
      <c r="B14" s="5">
        <f>([1]innoculationdensity!$D$8*1.5)/1000</f>
        <v>2069.56</v>
      </c>
      <c r="C14" s="6">
        <v>2702</v>
      </c>
      <c r="D14" s="6">
        <v>2286</v>
      </c>
      <c r="E14" s="6">
        <v>3181</v>
      </c>
      <c r="F14" s="7">
        <v>3584</v>
      </c>
      <c r="G14" s="6">
        <v>5029</v>
      </c>
      <c r="H14" s="6">
        <v>7402</v>
      </c>
      <c r="I14" s="6">
        <v>13869</v>
      </c>
      <c r="J14" s="6">
        <v>21199</v>
      </c>
      <c r="K14" s="6">
        <v>38905</v>
      </c>
      <c r="L14" s="6">
        <f>3620*20</f>
        <v>72400</v>
      </c>
      <c r="M14" s="6">
        <f>6982*20</f>
        <v>139640</v>
      </c>
      <c r="N14" s="6">
        <f>13378*20</f>
        <v>267560</v>
      </c>
      <c r="O14" s="6">
        <f>19222*20</f>
        <v>384440</v>
      </c>
      <c r="P14" s="6">
        <f>34361*20</f>
        <v>687220</v>
      </c>
      <c r="Q14" s="6">
        <f>46043*20</f>
        <v>920860</v>
      </c>
      <c r="R14" s="6">
        <f>59732*20</f>
        <v>1194640</v>
      </c>
      <c r="S14" s="6">
        <f>60198*20</f>
        <v>1203960</v>
      </c>
      <c r="T14" s="8"/>
      <c r="U14" s="8"/>
      <c r="V14" s="8"/>
      <c r="W14" s="8"/>
      <c r="X14" s="8"/>
      <c r="Y14" s="8"/>
      <c r="Z14" s="8"/>
    </row>
    <row r="15" spans="1:26" x14ac:dyDescent="0.2">
      <c r="A15" s="4" t="s">
        <v>75</v>
      </c>
      <c r="B15" s="5">
        <f>([1]innoculationdensity!$D$8*1.5)/1000</f>
        <v>2069.56</v>
      </c>
      <c r="C15" s="6">
        <v>2684</v>
      </c>
      <c r="D15" s="6">
        <v>2285</v>
      </c>
      <c r="E15" s="6">
        <v>3035</v>
      </c>
      <c r="F15" s="7">
        <v>3539</v>
      </c>
      <c r="G15" s="6">
        <v>4999</v>
      </c>
      <c r="H15" s="6">
        <v>7399</v>
      </c>
      <c r="I15" s="6">
        <v>14022</v>
      </c>
      <c r="J15" s="6">
        <v>21375</v>
      </c>
      <c r="K15" s="6">
        <v>38041</v>
      </c>
      <c r="L15" s="6">
        <f>3717*20</f>
        <v>74340</v>
      </c>
      <c r="M15" s="6">
        <f>6541*20</f>
        <v>130820</v>
      </c>
      <c r="N15" s="6">
        <f>12985*20</f>
        <v>259700</v>
      </c>
      <c r="O15" s="6">
        <f>19062*20</f>
        <v>381240</v>
      </c>
      <c r="P15" s="6">
        <f>33486*20</f>
        <v>669720</v>
      </c>
      <c r="Q15" s="6">
        <f>45685*20</f>
        <v>913700</v>
      </c>
      <c r="R15" s="6">
        <f>59666*20</f>
        <v>1193320</v>
      </c>
      <c r="S15" s="6">
        <f>59526*20</f>
        <v>1190520</v>
      </c>
      <c r="T15" s="8"/>
      <c r="U15" s="8"/>
      <c r="V15" s="8"/>
      <c r="W15" s="8"/>
      <c r="X15" s="8"/>
      <c r="Y15" s="8"/>
      <c r="Z15" s="8"/>
    </row>
    <row r="16" spans="1:26" x14ac:dyDescent="0.2">
      <c r="A16" s="4" t="s">
        <v>76</v>
      </c>
      <c r="B16" s="5">
        <f>([1]innoculationdensity!$D$8*1.5)/1000</f>
        <v>2069.56</v>
      </c>
      <c r="C16" s="6">
        <v>2697</v>
      </c>
      <c r="D16" s="6">
        <v>2327</v>
      </c>
      <c r="E16" s="6">
        <v>3134</v>
      </c>
      <c r="F16" s="7">
        <v>3559</v>
      </c>
      <c r="G16" s="6">
        <v>4875</v>
      </c>
      <c r="H16" s="6">
        <v>7477</v>
      </c>
      <c r="I16" s="6">
        <v>14008</v>
      </c>
      <c r="J16" s="6">
        <v>20936</v>
      </c>
      <c r="K16" s="6">
        <v>37886</v>
      </c>
      <c r="L16" s="6">
        <f>3610*20</f>
        <v>72200</v>
      </c>
      <c r="M16" s="6">
        <f>6520*20</f>
        <v>130400</v>
      </c>
      <c r="N16" s="6">
        <f>12832*20</f>
        <v>256640</v>
      </c>
      <c r="O16" s="6">
        <f>19009*20</f>
        <v>380180</v>
      </c>
      <c r="P16" s="6">
        <f>32599*20</f>
        <v>651980</v>
      </c>
      <c r="Q16" s="6">
        <f>45148*20</f>
        <v>902960</v>
      </c>
      <c r="R16" s="6">
        <f>59965*20</f>
        <v>1199300</v>
      </c>
      <c r="S16" s="6">
        <f>59612*20</f>
        <v>1192240</v>
      </c>
      <c r="T16" s="8"/>
      <c r="U16" s="8"/>
      <c r="V16" s="8"/>
      <c r="W16" s="8"/>
      <c r="X16" s="8"/>
      <c r="Y16" s="8"/>
      <c r="Z16" s="8"/>
    </row>
    <row r="17" spans="1:26" x14ac:dyDescent="0.2">
      <c r="A17" s="4" t="s">
        <v>77</v>
      </c>
      <c r="B17" s="5">
        <f>([1]innoculationdensity!$D$8*1.5)/1000</f>
        <v>2069.56</v>
      </c>
      <c r="C17" s="6">
        <v>2451</v>
      </c>
      <c r="D17" s="6">
        <v>2565</v>
      </c>
      <c r="E17" s="6">
        <v>3220</v>
      </c>
      <c r="F17" s="7">
        <v>3927</v>
      </c>
      <c r="G17" s="6">
        <v>5486</v>
      </c>
      <c r="H17" s="6">
        <v>8631</v>
      </c>
      <c r="I17" s="6">
        <v>15757</v>
      </c>
      <c r="J17" s="6">
        <v>24239</v>
      </c>
      <c r="K17" s="6">
        <v>40712</v>
      </c>
      <c r="L17" s="6">
        <f>4159*20</f>
        <v>83180</v>
      </c>
      <c r="M17" s="6">
        <f>7669*20</f>
        <v>153380</v>
      </c>
      <c r="N17" s="6">
        <f>14934*20</f>
        <v>298680</v>
      </c>
      <c r="O17" s="6">
        <f>23225*20</f>
        <v>464500</v>
      </c>
      <c r="P17" s="6">
        <f>36636*20</f>
        <v>732720</v>
      </c>
      <c r="Q17" s="6">
        <f>51428*20</f>
        <v>1028560</v>
      </c>
      <c r="R17" s="6">
        <f>57636*20</f>
        <v>1152720</v>
      </c>
      <c r="S17" s="6">
        <f>54971*20</f>
        <v>1099420</v>
      </c>
      <c r="T17" s="8"/>
      <c r="U17" s="8"/>
      <c r="V17" s="8"/>
      <c r="W17" s="8"/>
      <c r="X17" s="8"/>
      <c r="Y17" s="8"/>
      <c r="Z17" s="8"/>
    </row>
    <row r="18" spans="1:26" x14ac:dyDescent="0.2">
      <c r="A18" s="4" t="s">
        <v>78</v>
      </c>
      <c r="B18" s="5">
        <f>([1]innoculationdensity!$D$8*1.5)/1000</f>
        <v>2069.56</v>
      </c>
      <c r="C18" s="6">
        <v>2448</v>
      </c>
      <c r="D18" s="6">
        <v>2402</v>
      </c>
      <c r="E18" s="6">
        <v>3135</v>
      </c>
      <c r="F18" s="7">
        <v>4000</v>
      </c>
      <c r="G18" s="6">
        <v>5506</v>
      </c>
      <c r="H18" s="6">
        <v>8697</v>
      </c>
      <c r="I18" s="6">
        <v>15851</v>
      </c>
      <c r="J18" s="6">
        <v>24155</v>
      </c>
      <c r="K18" s="6">
        <v>41399</v>
      </c>
      <c r="L18" s="6">
        <f>4109*20</f>
        <v>82180</v>
      </c>
      <c r="M18" s="6">
        <f>7573*20</f>
        <v>151460</v>
      </c>
      <c r="N18" s="6">
        <f>14817*20</f>
        <v>296340</v>
      </c>
      <c r="O18" s="6">
        <f>23262*20</f>
        <v>465240</v>
      </c>
      <c r="P18" s="6">
        <f>36807*20</f>
        <v>736140</v>
      </c>
      <c r="Q18" s="6">
        <f>51337*20</f>
        <v>1026740</v>
      </c>
      <c r="R18" s="6">
        <f>57157*20</f>
        <v>1143140</v>
      </c>
      <c r="S18" s="6">
        <f>55285*20</f>
        <v>1105700</v>
      </c>
      <c r="T18" s="8"/>
      <c r="U18" s="8"/>
      <c r="V18" s="8"/>
      <c r="W18" s="8"/>
      <c r="X18" s="8"/>
      <c r="Y18" s="8"/>
      <c r="Z18" s="8"/>
    </row>
    <row r="19" spans="1:26" x14ac:dyDescent="0.2">
      <c r="A19" s="4" t="s">
        <v>79</v>
      </c>
      <c r="B19" s="5">
        <f>([1]innoculationdensity!$D$8*1.5)/1000</f>
        <v>2069.56</v>
      </c>
      <c r="C19" s="6">
        <v>2447</v>
      </c>
      <c r="D19" s="6">
        <v>2450</v>
      </c>
      <c r="E19" s="6">
        <v>3147</v>
      </c>
      <c r="F19" s="7">
        <v>3937</v>
      </c>
      <c r="G19" s="6">
        <v>5650</v>
      </c>
      <c r="H19" s="6">
        <v>8594</v>
      </c>
      <c r="I19" s="6">
        <v>15569</v>
      </c>
      <c r="J19" s="6">
        <v>24055</v>
      </c>
      <c r="K19" s="6">
        <v>41125</v>
      </c>
      <c r="L19" s="6">
        <f>4128*20</f>
        <v>82560</v>
      </c>
      <c r="M19" s="6">
        <f>7549*20</f>
        <v>150980</v>
      </c>
      <c r="N19" s="6">
        <f>14664*20</f>
        <v>293280</v>
      </c>
      <c r="O19" s="6">
        <f>22968*20</f>
        <v>459360</v>
      </c>
      <c r="P19" s="6">
        <f>36774*20</f>
        <v>735480</v>
      </c>
      <c r="Q19" s="6">
        <f>50942*20</f>
        <v>1018840</v>
      </c>
      <c r="R19" s="6">
        <f>57065*20</f>
        <v>1141300</v>
      </c>
      <c r="S19" s="6">
        <f>54353*20</f>
        <v>1087060</v>
      </c>
      <c r="T19" s="8"/>
      <c r="U19" s="8"/>
      <c r="V19" s="8"/>
      <c r="W19" s="8"/>
      <c r="X19" s="8"/>
      <c r="Y19" s="8"/>
      <c r="Z19" s="8"/>
    </row>
    <row r="20" spans="1:26" x14ac:dyDescent="0.2">
      <c r="A20" s="4" t="s">
        <v>134</v>
      </c>
      <c r="B20" s="5">
        <v>928</v>
      </c>
      <c r="C20" s="6">
        <v>803</v>
      </c>
      <c r="D20" s="6">
        <v>1010</v>
      </c>
      <c r="E20" s="6">
        <v>1143</v>
      </c>
      <c r="F20" s="7">
        <v>1553</v>
      </c>
      <c r="H20" s="6">
        <f>3976-833</f>
        <v>3143</v>
      </c>
      <c r="I20" s="6">
        <f>5222-251</f>
        <v>4971</v>
      </c>
      <c r="J20" s="6">
        <v>6853</v>
      </c>
      <c r="K20" s="6">
        <v>9000</v>
      </c>
      <c r="L20" s="6">
        <v>15478</v>
      </c>
      <c r="M20" s="6">
        <v>21641</v>
      </c>
      <c r="N20" s="6">
        <v>33626</v>
      </c>
      <c r="O20" s="6">
        <v>49875</v>
      </c>
      <c r="P20" s="6">
        <f>4010*20</f>
        <v>80200</v>
      </c>
      <c r="Q20" s="6">
        <f>5752*20</f>
        <v>115040</v>
      </c>
      <c r="R20" s="6">
        <f>9176*20</f>
        <v>183520</v>
      </c>
      <c r="S20" s="6">
        <f>12966*20</f>
        <v>259320</v>
      </c>
      <c r="T20" s="6">
        <f>17933*20</f>
        <v>358660</v>
      </c>
      <c r="U20" s="6">
        <f>26579*20</f>
        <v>531580</v>
      </c>
      <c r="V20" s="6">
        <f>32451*20</f>
        <v>649020</v>
      </c>
      <c r="W20" s="6">
        <f>39213*20</f>
        <v>784260</v>
      </c>
      <c r="X20" s="6">
        <f>43334*20</f>
        <v>866680</v>
      </c>
      <c r="Y20" s="6">
        <f>47103*20</f>
        <v>942060</v>
      </c>
      <c r="Z20" s="6">
        <f>48189*20</f>
        <v>963780</v>
      </c>
    </row>
    <row r="21" spans="1:26" x14ac:dyDescent="0.2">
      <c r="A21" s="4" t="s">
        <v>135</v>
      </c>
      <c r="B21" s="5">
        <v>911</v>
      </c>
      <c r="C21" s="6">
        <v>791</v>
      </c>
      <c r="D21" s="6">
        <v>1011</v>
      </c>
      <c r="E21" s="6">
        <v>1024</v>
      </c>
      <c r="F21" s="7">
        <v>1519</v>
      </c>
      <c r="H21" s="6">
        <f>3833-833</f>
        <v>3000</v>
      </c>
      <c r="I21" s="6">
        <f>5330-251</f>
        <v>5079</v>
      </c>
      <c r="J21" s="6">
        <v>6346</v>
      </c>
      <c r="K21" s="6">
        <v>8872</v>
      </c>
      <c r="L21" s="6">
        <v>14951</v>
      </c>
      <c r="M21" s="6">
        <v>21881</v>
      </c>
      <c r="N21" s="6">
        <v>33017</v>
      </c>
      <c r="O21" s="6">
        <v>49652</v>
      </c>
      <c r="P21" s="6">
        <f>3896*20</f>
        <v>77920</v>
      </c>
      <c r="Q21" s="6">
        <f>5576*20</f>
        <v>111520</v>
      </c>
      <c r="R21" s="6">
        <f>9228*20</f>
        <v>184560</v>
      </c>
      <c r="S21" s="6">
        <f>12991*20</f>
        <v>259820</v>
      </c>
      <c r="T21" s="6">
        <f>17884*20</f>
        <v>357680</v>
      </c>
      <c r="U21" s="6">
        <f>26849*20</f>
        <v>536980</v>
      </c>
      <c r="V21" s="6">
        <f>32664*20</f>
        <v>653280</v>
      </c>
      <c r="W21" s="6">
        <f>39635*20</f>
        <v>792700</v>
      </c>
      <c r="X21" s="6">
        <f>43100*20</f>
        <v>862000</v>
      </c>
      <c r="Y21" s="6">
        <f>47163*20</f>
        <v>943260</v>
      </c>
      <c r="Z21" s="6">
        <f>48462*20</f>
        <v>969240</v>
      </c>
    </row>
    <row r="22" spans="1:26" x14ac:dyDescent="0.2">
      <c r="A22" s="4" t="s">
        <v>136</v>
      </c>
      <c r="B22" s="5">
        <v>865</v>
      </c>
      <c r="C22" s="6">
        <v>749</v>
      </c>
      <c r="D22" s="6">
        <v>955</v>
      </c>
      <c r="E22" s="6">
        <v>1109</v>
      </c>
      <c r="F22" s="7">
        <v>1551</v>
      </c>
      <c r="I22" s="6">
        <f>5278-251</f>
        <v>5027</v>
      </c>
      <c r="J22" s="6">
        <v>6192</v>
      </c>
      <c r="K22" s="6">
        <v>8940</v>
      </c>
      <c r="L22" s="6">
        <v>14941</v>
      </c>
      <c r="M22" s="6">
        <v>22098</v>
      </c>
      <c r="N22" s="6">
        <v>33503</v>
      </c>
      <c r="O22" s="6">
        <v>50110</v>
      </c>
      <c r="P22" s="6">
        <f>3987*20</f>
        <v>79740</v>
      </c>
      <c r="Q22" s="6">
        <f>5736*20</f>
        <v>114720</v>
      </c>
      <c r="R22" s="6">
        <f>9109*20</f>
        <v>182180</v>
      </c>
      <c r="S22" s="6">
        <f>13073*20</f>
        <v>261460</v>
      </c>
      <c r="T22" s="6">
        <f>18052*20</f>
        <v>361040</v>
      </c>
      <c r="U22" s="6">
        <f>26723*20</f>
        <v>534460</v>
      </c>
      <c r="V22" s="6">
        <f>32538*20</f>
        <v>650760</v>
      </c>
      <c r="W22" s="6">
        <f>39220*20</f>
        <v>784400</v>
      </c>
      <c r="X22" s="6">
        <f>43299*20</f>
        <v>865980</v>
      </c>
      <c r="Y22" s="6">
        <f>46976*20</f>
        <v>939520</v>
      </c>
      <c r="Z22" s="6">
        <f>48544*20</f>
        <v>970880</v>
      </c>
    </row>
    <row r="23" spans="1:26" x14ac:dyDescent="0.2">
      <c r="A23" s="4" t="s">
        <v>137</v>
      </c>
      <c r="B23" s="5">
        <v>712</v>
      </c>
      <c r="C23" s="6">
        <v>743</v>
      </c>
      <c r="D23" s="6">
        <v>721</v>
      </c>
      <c r="E23" s="6">
        <v>1206</v>
      </c>
      <c r="F23" s="7">
        <v>1375</v>
      </c>
      <c r="H23" s="6">
        <f>2809-833</f>
        <v>1976</v>
      </c>
      <c r="I23" s="6">
        <f>4335-251</f>
        <v>4084</v>
      </c>
      <c r="J23" s="6">
        <v>4750</v>
      </c>
      <c r="K23" s="6">
        <v>6521</v>
      </c>
      <c r="L23" s="6">
        <v>10283</v>
      </c>
      <c r="M23" s="6">
        <v>14650</v>
      </c>
      <c r="N23" s="6">
        <v>20650</v>
      </c>
      <c r="O23" s="6">
        <v>30257</v>
      </c>
      <c r="P23" s="6">
        <f>2082*20</f>
        <v>41640</v>
      </c>
      <c r="Q23" s="6">
        <f>3199*20</f>
        <v>63980</v>
      </c>
      <c r="R23" s="6">
        <f>4522*20</f>
        <v>90440</v>
      </c>
      <c r="S23" s="6">
        <f>6909*20</f>
        <v>138180</v>
      </c>
      <c r="T23" s="6">
        <f>9605*20</f>
        <v>192100</v>
      </c>
      <c r="U23" s="6">
        <f>14909*20</f>
        <v>298180</v>
      </c>
      <c r="V23" s="6">
        <f>21590*20</f>
        <v>431800</v>
      </c>
      <c r="W23" s="6">
        <f>28874*20</f>
        <v>577480</v>
      </c>
      <c r="X23" s="6">
        <f>34368*20</f>
        <v>687360</v>
      </c>
      <c r="Y23" s="6">
        <f>41496*20</f>
        <v>829920</v>
      </c>
      <c r="Z23" s="6">
        <f>46229*20</f>
        <v>924580</v>
      </c>
    </row>
    <row r="24" spans="1:26" x14ac:dyDescent="0.2">
      <c r="A24" s="4" t="s">
        <v>138</v>
      </c>
      <c r="B24" s="5">
        <v>655</v>
      </c>
      <c r="C24" s="6">
        <v>747</v>
      </c>
      <c r="D24" s="6">
        <v>735</v>
      </c>
      <c r="E24" s="6">
        <v>1195</v>
      </c>
      <c r="F24" s="7">
        <v>1415</v>
      </c>
      <c r="H24" s="6">
        <f>2833-833</f>
        <v>2000</v>
      </c>
      <c r="I24" s="6">
        <f>4383-251</f>
        <v>4132</v>
      </c>
      <c r="J24" s="6">
        <v>4577</v>
      </c>
      <c r="K24" s="6">
        <v>6245</v>
      </c>
      <c r="L24" s="6">
        <v>10202</v>
      </c>
      <c r="M24" s="6">
        <v>14222</v>
      </c>
      <c r="N24" s="6">
        <v>20426</v>
      </c>
      <c r="O24" s="6">
        <v>29011</v>
      </c>
      <c r="P24" s="6">
        <f>2168*20</f>
        <v>43360</v>
      </c>
      <c r="Q24" s="6">
        <f>3213*20</f>
        <v>64260</v>
      </c>
      <c r="R24" s="6">
        <f>4670*20</f>
        <v>93400</v>
      </c>
      <c r="S24" s="6">
        <f>6854*20</f>
        <v>137080</v>
      </c>
      <c r="T24" s="6">
        <f>9634*20</f>
        <v>192680</v>
      </c>
      <c r="U24" s="6">
        <f>15151*20</f>
        <v>303020</v>
      </c>
      <c r="V24" s="6">
        <f>21538*20</f>
        <v>430760</v>
      </c>
      <c r="W24" s="6">
        <f>28901*20</f>
        <v>578020</v>
      </c>
      <c r="X24" s="6">
        <f>34509*20</f>
        <v>690180</v>
      </c>
      <c r="Y24" s="6">
        <f>41642*20</f>
        <v>832840</v>
      </c>
      <c r="Z24" s="6">
        <f>46137*20</f>
        <v>922740</v>
      </c>
    </row>
    <row r="25" spans="1:26" x14ac:dyDescent="0.2">
      <c r="A25" s="4" t="s">
        <v>139</v>
      </c>
      <c r="B25" s="5">
        <v>651</v>
      </c>
      <c r="C25" s="6">
        <v>758</v>
      </c>
      <c r="D25" s="6">
        <v>730</v>
      </c>
      <c r="E25" s="6">
        <v>1188</v>
      </c>
      <c r="F25" s="7">
        <v>1331</v>
      </c>
      <c r="I25" s="6">
        <f>3789-251</f>
        <v>3538</v>
      </c>
      <c r="J25" s="6">
        <v>4614</v>
      </c>
      <c r="K25" s="6">
        <v>6233</v>
      </c>
      <c r="L25" s="6">
        <v>9910</v>
      </c>
      <c r="M25" s="6">
        <v>13623</v>
      </c>
      <c r="N25" s="6">
        <v>20126</v>
      </c>
      <c r="O25" s="6">
        <v>28576</v>
      </c>
      <c r="P25" s="6">
        <f>2076*20</f>
        <v>41520</v>
      </c>
      <c r="Q25" s="6">
        <f>3120*20</f>
        <v>62400</v>
      </c>
      <c r="R25" s="6">
        <f>4480*20</f>
        <v>89600</v>
      </c>
      <c r="S25" s="6">
        <f>6671*20</f>
        <v>133420</v>
      </c>
      <c r="T25" s="6">
        <f>9708*20</f>
        <v>194160</v>
      </c>
      <c r="U25" s="6">
        <f>14988*20</f>
        <v>299760</v>
      </c>
      <c r="V25" s="6">
        <f>21461*20</f>
        <v>429220</v>
      </c>
      <c r="W25" s="6">
        <f>28987*20</f>
        <v>579740</v>
      </c>
      <c r="X25" s="6">
        <f>34519*20</f>
        <v>690380</v>
      </c>
      <c r="Y25" s="6">
        <f>41602*20</f>
        <v>832040</v>
      </c>
      <c r="Z25" s="6">
        <f>45739*20</f>
        <v>914780</v>
      </c>
    </row>
    <row r="26" spans="1:26" x14ac:dyDescent="0.2">
      <c r="A26" s="4" t="s">
        <v>140</v>
      </c>
      <c r="B26" s="5">
        <v>971</v>
      </c>
      <c r="C26" s="6">
        <v>858</v>
      </c>
      <c r="D26" s="6">
        <v>1227</v>
      </c>
      <c r="E26" s="6">
        <v>2015</v>
      </c>
      <c r="F26" s="7">
        <v>3130</v>
      </c>
      <c r="H26" s="6">
        <f>8495-833</f>
        <v>7662</v>
      </c>
      <c r="I26" s="6">
        <f>14335-251</f>
        <v>14084</v>
      </c>
      <c r="J26" s="6">
        <v>15116</v>
      </c>
      <c r="K26" s="6">
        <v>24148</v>
      </c>
      <c r="L26" s="6">
        <v>40261</v>
      </c>
      <c r="M26" s="6">
        <v>60080</v>
      </c>
      <c r="N26" s="6">
        <v>95855</v>
      </c>
      <c r="O26" s="6">
        <f>20*8130</f>
        <v>162600</v>
      </c>
      <c r="P26" s="6">
        <f>12891*20</f>
        <v>257820</v>
      </c>
      <c r="Q26" s="6">
        <f>22127*20</f>
        <v>442540</v>
      </c>
      <c r="R26" s="6">
        <f>29556*20</f>
        <v>591120</v>
      </c>
      <c r="S26" s="6">
        <f>38796*20</f>
        <v>775920</v>
      </c>
      <c r="T26" s="6">
        <f>43898*20</f>
        <v>877960</v>
      </c>
      <c r="U26" s="6">
        <f>52902*20</f>
        <v>1058040</v>
      </c>
      <c r="V26" s="6">
        <f>54294*20</f>
        <v>1085880</v>
      </c>
      <c r="W26" s="6">
        <f>60762*20</f>
        <v>1215240</v>
      </c>
      <c r="X26" s="6">
        <f>61178*20</f>
        <v>1223560</v>
      </c>
      <c r="Y26" s="6">
        <f>74792*20</f>
        <v>1495840</v>
      </c>
      <c r="Z26" s="6">
        <f>64606*20</f>
        <v>1292120</v>
      </c>
    </row>
    <row r="27" spans="1:26" x14ac:dyDescent="0.2">
      <c r="A27" s="4" t="s">
        <v>141</v>
      </c>
      <c r="B27" s="5">
        <v>987</v>
      </c>
      <c r="C27" s="6">
        <v>854</v>
      </c>
      <c r="D27" s="6">
        <v>1269</v>
      </c>
      <c r="E27" s="6">
        <v>2015</v>
      </c>
      <c r="F27" s="7">
        <v>3074</v>
      </c>
      <c r="H27" s="6">
        <f>8470-833</f>
        <v>7637</v>
      </c>
      <c r="I27" s="6">
        <f>14347-251</f>
        <v>14096</v>
      </c>
      <c r="J27" s="6">
        <v>15068</v>
      </c>
      <c r="K27" s="6">
        <v>23630</v>
      </c>
      <c r="L27" s="6">
        <v>40163</v>
      </c>
      <c r="M27" s="6">
        <v>57937</v>
      </c>
      <c r="N27" s="6">
        <v>94047</v>
      </c>
      <c r="O27" s="6">
        <f>20*8176</f>
        <v>163520</v>
      </c>
      <c r="P27" s="6">
        <f>13001*20</f>
        <v>260020</v>
      </c>
      <c r="Q27" s="6">
        <f>21624*20</f>
        <v>432480</v>
      </c>
      <c r="R27" s="6">
        <f>29164*20</f>
        <v>583280</v>
      </c>
      <c r="S27" s="6">
        <f>38590*20</f>
        <v>771800</v>
      </c>
      <c r="T27" s="6">
        <f>43923*20</f>
        <v>878460</v>
      </c>
      <c r="U27" s="6">
        <f>53045*20</f>
        <v>1060900</v>
      </c>
      <c r="V27" s="6">
        <f>54780*20</f>
        <v>1095600</v>
      </c>
      <c r="W27" s="6">
        <f>59999*20</f>
        <v>1199980</v>
      </c>
      <c r="X27" s="6">
        <f>61397*20</f>
        <v>1227940</v>
      </c>
      <c r="Y27" s="6">
        <f>74741*20</f>
        <v>1494820</v>
      </c>
      <c r="Z27" s="6">
        <f>64064*20</f>
        <v>1281280</v>
      </c>
    </row>
    <row r="28" spans="1:26" x14ac:dyDescent="0.2">
      <c r="A28" s="4" t="s">
        <v>142</v>
      </c>
      <c r="B28" s="5">
        <v>907</v>
      </c>
      <c r="C28" s="6">
        <v>866</v>
      </c>
      <c r="D28" s="6">
        <v>1277</v>
      </c>
      <c r="E28" s="6">
        <v>2007</v>
      </c>
      <c r="F28" s="7">
        <v>3081</v>
      </c>
      <c r="H28" s="6">
        <f>8354-833</f>
        <v>7521</v>
      </c>
      <c r="I28" s="6">
        <f>14235-251</f>
        <v>13984</v>
      </c>
      <c r="J28" s="6">
        <v>15630</v>
      </c>
      <c r="K28" s="6">
        <v>23679</v>
      </c>
      <c r="L28" s="6">
        <v>40250</v>
      </c>
      <c r="M28" s="6">
        <v>64713</v>
      </c>
      <c r="N28" s="6">
        <v>92368</v>
      </c>
      <c r="O28" s="6">
        <f>20*8158</f>
        <v>163160</v>
      </c>
      <c r="P28" s="6">
        <f>12988*20</f>
        <v>259760</v>
      </c>
      <c r="Q28" s="6">
        <f>21506*20</f>
        <v>430120</v>
      </c>
      <c r="R28" s="6">
        <f>29121*20</f>
        <v>582420</v>
      </c>
      <c r="S28" s="6">
        <f>38352*20</f>
        <v>767040</v>
      </c>
      <c r="T28" s="6">
        <f>43493*20</f>
        <v>869860</v>
      </c>
      <c r="U28" s="6">
        <f>53336*20</f>
        <v>1066720</v>
      </c>
      <c r="V28" s="6">
        <f>54626*20</f>
        <v>1092520</v>
      </c>
      <c r="W28" s="6">
        <f>60506*20</f>
        <v>1210120</v>
      </c>
      <c r="X28" s="6">
        <f>61547*20</f>
        <v>1230940</v>
      </c>
      <c r="Y28" s="6">
        <f>65219*20</f>
        <v>1304380</v>
      </c>
      <c r="Z28" s="6">
        <f>64849*20</f>
        <v>1296980</v>
      </c>
    </row>
    <row r="29" spans="1:26" x14ac:dyDescent="0.2">
      <c r="A29" s="4" t="s">
        <v>188</v>
      </c>
      <c r="B29" s="5">
        <f>([1]innoculationdensity!$D$55*7)/1000</f>
        <v>1372.63</v>
      </c>
      <c r="C29" s="6">
        <f>2390-251</f>
        <v>2139</v>
      </c>
      <c r="D29" s="6">
        <v>2987</v>
      </c>
      <c r="E29" s="6">
        <v>5035</v>
      </c>
      <c r="F29" s="7">
        <v>10556</v>
      </c>
      <c r="G29" s="6">
        <v>20571</v>
      </c>
      <c r="H29" s="6">
        <v>38224</v>
      </c>
      <c r="I29" s="6">
        <f>4014*20</f>
        <v>80280</v>
      </c>
      <c r="J29" s="6">
        <f>7958*20</f>
        <v>159160</v>
      </c>
      <c r="K29" s="6">
        <f>15304*20</f>
        <v>306080</v>
      </c>
      <c r="L29" s="6">
        <f>30052*20</f>
        <v>601040</v>
      </c>
      <c r="M29" s="6">
        <f>40490*20</f>
        <v>809800</v>
      </c>
      <c r="N29" s="6">
        <f>55350*20</f>
        <v>1107000</v>
      </c>
      <c r="O29" s="6">
        <f>72135*20</f>
        <v>1442700</v>
      </c>
      <c r="P29" s="6">
        <f>75349*20</f>
        <v>1506980</v>
      </c>
      <c r="Q29" s="6">
        <f>80155*20</f>
        <v>1603100</v>
      </c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">
      <c r="A30" s="4" t="s">
        <v>189</v>
      </c>
      <c r="B30" s="5">
        <f>([1]innoculationdensity!$D$55*7)/1000</f>
        <v>1372.63</v>
      </c>
      <c r="C30" s="6">
        <f>2395-251</f>
        <v>2144</v>
      </c>
      <c r="D30" s="6">
        <v>2817</v>
      </c>
      <c r="E30" s="6">
        <v>4995</v>
      </c>
      <c r="F30" s="7">
        <v>10000</v>
      </c>
      <c r="G30" s="6">
        <v>20330</v>
      </c>
      <c r="H30" s="6">
        <v>37892</v>
      </c>
      <c r="I30" s="6">
        <f>3580*20</f>
        <v>71600</v>
      </c>
      <c r="J30" s="6">
        <f>7630*20</f>
        <v>152600</v>
      </c>
      <c r="K30" s="6">
        <f>15336*20</f>
        <v>306720</v>
      </c>
      <c r="L30" s="6">
        <f>30074*20</f>
        <v>601480</v>
      </c>
      <c r="M30" s="6">
        <f>40860*20</f>
        <v>817200</v>
      </c>
      <c r="N30" s="6">
        <f>54212*20</f>
        <v>1084240</v>
      </c>
      <c r="O30" s="6">
        <f>70719*20</f>
        <v>1414380</v>
      </c>
      <c r="P30" s="6">
        <f>75497*20</f>
        <v>1509940</v>
      </c>
      <c r="Q30" s="6">
        <f>80591*20</f>
        <v>1611820</v>
      </c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">
      <c r="A31" s="4" t="s">
        <v>190</v>
      </c>
      <c r="B31" s="5">
        <f>([1]innoculationdensity!$D$55*7)/1000</f>
        <v>1372.63</v>
      </c>
      <c r="D31" s="6">
        <v>2871</v>
      </c>
      <c r="E31" s="6">
        <v>4924</v>
      </c>
      <c r="F31" s="7">
        <v>10102</v>
      </c>
      <c r="G31" s="6">
        <v>20413</v>
      </c>
      <c r="H31" s="6">
        <v>37939</v>
      </c>
      <c r="I31" s="6">
        <f>3733*20</f>
        <v>74660</v>
      </c>
      <c r="J31" s="6">
        <f>7638*20</f>
        <v>152760</v>
      </c>
      <c r="K31" s="6">
        <f>15002*20</f>
        <v>300040</v>
      </c>
      <c r="L31" s="6">
        <f>29485*20</f>
        <v>589700</v>
      </c>
      <c r="M31" s="6">
        <f>40634*20</f>
        <v>812680</v>
      </c>
      <c r="N31" s="6">
        <f>54565*20</f>
        <v>1091300</v>
      </c>
      <c r="O31" s="6">
        <f>70168*20</f>
        <v>1403360</v>
      </c>
      <c r="P31" s="6">
        <f>76137*20</f>
        <v>1522740</v>
      </c>
      <c r="Q31" s="6">
        <f>80566*20</f>
        <v>1611320</v>
      </c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">
      <c r="A32" s="4" t="s">
        <v>191</v>
      </c>
      <c r="B32" s="5">
        <f>([1]innoculationdensity!$D$55*7)/1000</f>
        <v>1372.63</v>
      </c>
      <c r="C32" s="6">
        <f>2527-251</f>
        <v>2276</v>
      </c>
      <c r="D32" s="6">
        <v>3283</v>
      </c>
      <c r="E32" s="6">
        <v>5765</v>
      </c>
      <c r="F32" s="7">
        <v>11788</v>
      </c>
      <c r="G32" s="6">
        <v>27526</v>
      </c>
      <c r="H32" s="6">
        <v>46614</v>
      </c>
      <c r="I32" s="6">
        <f>4938*20</f>
        <v>98760</v>
      </c>
      <c r="J32" s="6">
        <f>10566*20</f>
        <v>211320</v>
      </c>
      <c r="K32" s="6">
        <f>20256*20</f>
        <v>405120</v>
      </c>
      <c r="L32" s="6">
        <f>38358*20</f>
        <v>767160</v>
      </c>
      <c r="M32" s="6">
        <f>48884*20</f>
        <v>977680</v>
      </c>
      <c r="N32" s="6">
        <f>60641*20</f>
        <v>1212820</v>
      </c>
      <c r="O32" s="6">
        <f>74564*20</f>
        <v>1491280</v>
      </c>
      <c r="P32" s="6">
        <f>75779*20</f>
        <v>1515580</v>
      </c>
      <c r="Q32" s="6">
        <f>77090*20</f>
        <v>1541800</v>
      </c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">
      <c r="A33" s="4" t="s">
        <v>192</v>
      </c>
      <c r="B33" s="5">
        <f>([1]innoculationdensity!$D$55*7)/1000</f>
        <v>1372.63</v>
      </c>
      <c r="C33" s="6">
        <f>2257-251</f>
        <v>2006</v>
      </c>
      <c r="D33" s="6">
        <v>3138</v>
      </c>
      <c r="E33" s="6">
        <v>5657</v>
      </c>
      <c r="F33" s="7">
        <v>11659</v>
      </c>
      <c r="G33" s="6">
        <v>25351</v>
      </c>
      <c r="H33" s="6">
        <v>46266</v>
      </c>
      <c r="I33" s="6">
        <f>4818*20</f>
        <v>96360</v>
      </c>
      <c r="J33" s="6">
        <f>10622*20</f>
        <v>212440</v>
      </c>
      <c r="K33" s="6">
        <f>20299*20</f>
        <v>405980</v>
      </c>
      <c r="L33" s="6">
        <f>38206*20</f>
        <v>764120</v>
      </c>
      <c r="M33" s="6">
        <f>48283*20</f>
        <v>965660</v>
      </c>
      <c r="N33" s="6">
        <f>60346*20</f>
        <v>1206920</v>
      </c>
      <c r="O33" s="6">
        <f>73915*20</f>
        <v>1478300</v>
      </c>
      <c r="P33" s="6">
        <f>75923*20</f>
        <v>1518460</v>
      </c>
      <c r="Q33" s="6">
        <f>77041*20</f>
        <v>1540820</v>
      </c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">
      <c r="A34" s="4" t="s">
        <v>193</v>
      </c>
      <c r="B34" s="5">
        <f>([1]innoculationdensity!$D$55*7)/1000</f>
        <v>1372.63</v>
      </c>
      <c r="D34" s="6">
        <v>3132</v>
      </c>
      <c r="E34" s="6">
        <v>5592</v>
      </c>
      <c r="F34" s="7">
        <v>11359</v>
      </c>
      <c r="G34" s="6">
        <v>25202</v>
      </c>
      <c r="H34" s="6">
        <v>46071</v>
      </c>
      <c r="I34" s="6">
        <f>4801*20</f>
        <v>96020</v>
      </c>
      <c r="J34" s="6">
        <f>10390*20</f>
        <v>207800</v>
      </c>
      <c r="K34" s="6">
        <f>19728*20</f>
        <v>394560</v>
      </c>
      <c r="L34" s="6">
        <f>38211*20</f>
        <v>764220</v>
      </c>
      <c r="M34" s="6">
        <f>48684*20</f>
        <v>973680</v>
      </c>
      <c r="N34" s="6">
        <f>60207*20</f>
        <v>1204140</v>
      </c>
      <c r="O34" s="6">
        <f>73395*20</f>
        <v>1467900</v>
      </c>
      <c r="P34" s="6">
        <f>75484*20</f>
        <v>1509680</v>
      </c>
      <c r="Q34" s="6">
        <f>77092*20</f>
        <v>1541840</v>
      </c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2">
      <c r="A35" s="4" t="s">
        <v>194</v>
      </c>
      <c r="B35" s="5">
        <f>([1]innoculationdensity!$D$55*7)/1000</f>
        <v>1372.63</v>
      </c>
      <c r="C35" s="6">
        <f>2177-251</f>
        <v>1926</v>
      </c>
      <c r="D35" s="6">
        <v>2795</v>
      </c>
      <c r="E35" s="6">
        <v>5011</v>
      </c>
      <c r="F35" s="7">
        <v>9515</v>
      </c>
      <c r="G35" s="6">
        <v>17499</v>
      </c>
      <c r="H35" s="6">
        <v>33069</v>
      </c>
      <c r="I35" s="6">
        <f>3498*20</f>
        <v>69960</v>
      </c>
      <c r="J35" s="6">
        <f>6582*20</f>
        <v>131640</v>
      </c>
      <c r="K35" s="6">
        <f>13072*20</f>
        <v>261440</v>
      </c>
      <c r="L35" s="6">
        <f>25858*20</f>
        <v>517160</v>
      </c>
      <c r="M35" s="6">
        <f>34950*20</f>
        <v>699000</v>
      </c>
      <c r="N35" s="6">
        <f>50909*20</f>
        <v>1018180</v>
      </c>
      <c r="O35" s="6">
        <f>67524*20</f>
        <v>1350480</v>
      </c>
      <c r="P35" s="6">
        <f>72507*20</f>
        <v>1450140</v>
      </c>
      <c r="Q35" s="6">
        <f>77396*20</f>
        <v>1547920</v>
      </c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">
      <c r="A36" s="4" t="s">
        <v>195</v>
      </c>
      <c r="B36" s="5">
        <f>([1]innoculationdensity!$D$55*7)/1000</f>
        <v>1372.63</v>
      </c>
      <c r="C36" s="6">
        <f>2201-251</f>
        <v>1950</v>
      </c>
      <c r="D36" s="6">
        <v>2729</v>
      </c>
      <c r="E36" s="6">
        <v>4824</v>
      </c>
      <c r="F36" s="7">
        <v>9049</v>
      </c>
      <c r="G36" s="6">
        <v>16887</v>
      </c>
      <c r="H36" s="6">
        <v>32318</v>
      </c>
      <c r="I36" s="6">
        <f>4063*20</f>
        <v>81260</v>
      </c>
      <c r="J36" s="6">
        <f>6830*20</f>
        <v>136600</v>
      </c>
      <c r="K36" s="6">
        <f>12596*20</f>
        <v>251920</v>
      </c>
      <c r="L36" s="6">
        <f>25665*20</f>
        <v>513300</v>
      </c>
      <c r="M36" s="6">
        <f>35195*20</f>
        <v>703900</v>
      </c>
      <c r="N36" s="6">
        <f>51374*20</f>
        <v>1027480</v>
      </c>
      <c r="O36" s="6">
        <f>67542*20</f>
        <v>1350840</v>
      </c>
      <c r="P36" s="6">
        <f>72622*20</f>
        <v>1452440</v>
      </c>
      <c r="Q36" s="6">
        <f>77543*20</f>
        <v>1550860</v>
      </c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">
      <c r="A37" s="4" t="s">
        <v>196</v>
      </c>
      <c r="B37" s="5">
        <f>([1]innoculationdensity!$D$55*7)/1000</f>
        <v>1372.63</v>
      </c>
      <c r="D37" s="6">
        <v>2705</v>
      </c>
      <c r="E37" s="6">
        <v>4911</v>
      </c>
      <c r="F37" s="7">
        <v>9113</v>
      </c>
      <c r="G37" s="6">
        <v>16884</v>
      </c>
      <c r="H37" s="6">
        <v>32523</v>
      </c>
      <c r="I37" s="6">
        <f>3592*20</f>
        <v>71840</v>
      </c>
      <c r="J37" s="6">
        <f>6826*20</f>
        <v>136520</v>
      </c>
      <c r="K37" s="6">
        <f>12689*20</f>
        <v>253780</v>
      </c>
      <c r="L37" s="6">
        <f>25544*20</f>
        <v>510880</v>
      </c>
      <c r="M37" s="6">
        <f>34387*20</f>
        <v>687740</v>
      </c>
      <c r="N37" s="6">
        <f>51197*20</f>
        <v>1023940</v>
      </c>
      <c r="O37" s="6">
        <f>66294*20</f>
        <v>1325880</v>
      </c>
      <c r="P37" s="6">
        <f>72592*20</f>
        <v>1451840</v>
      </c>
      <c r="Q37" s="6">
        <f>77211*20</f>
        <v>1544220</v>
      </c>
      <c r="R37" s="8"/>
      <c r="S37" s="8"/>
      <c r="T37" s="8"/>
      <c r="U37" s="8"/>
      <c r="V37" s="8"/>
      <c r="W37" s="8"/>
      <c r="X37" s="8"/>
      <c r="Y37" s="8"/>
      <c r="Z37" s="8"/>
    </row>
    <row r="39" spans="1:26" x14ac:dyDescent="0.2">
      <c r="A39" s="4" t="s">
        <v>206</v>
      </c>
    </row>
    <row r="40" spans="1:26" x14ac:dyDescent="0.2">
      <c r="A40" s="4" t="s">
        <v>62</v>
      </c>
      <c r="B40" s="7">
        <f>LN(B2)</f>
        <v>7.6350913032787808</v>
      </c>
      <c r="C40" s="7">
        <f t="shared" ref="C40:K40" si="0">LN(C2)</f>
        <v>7.8066963725211789</v>
      </c>
      <c r="D40" s="7">
        <f t="shared" si="0"/>
        <v>7.741099090035366</v>
      </c>
      <c r="E40" s="7">
        <f t="shared" si="0"/>
        <v>7.9345134638822632</v>
      </c>
      <c r="F40" s="7">
        <f t="shared" si="0"/>
        <v>7.8766384609754629</v>
      </c>
      <c r="G40" s="7">
        <f t="shared" si="0"/>
        <v>7.9197197609245746</v>
      </c>
      <c r="H40" s="7">
        <f t="shared" si="0"/>
        <v>7.9006366130180048</v>
      </c>
      <c r="I40" s="7">
        <f t="shared" si="0"/>
        <v>7.8555446779156632</v>
      </c>
      <c r="J40" s="7">
        <f t="shared" si="0"/>
        <v>7.8551570058813445</v>
      </c>
      <c r="K40" s="7">
        <f t="shared" si="0"/>
        <v>8.0423780051732798</v>
      </c>
    </row>
    <row r="41" spans="1:26" x14ac:dyDescent="0.2">
      <c r="A41" s="4" t="s">
        <v>63</v>
      </c>
      <c r="B41" s="7">
        <f t="shared" ref="B41:K41" si="1">LN(B3)</f>
        <v>7.6350913032787808</v>
      </c>
      <c r="C41" s="7">
        <f t="shared" si="1"/>
        <v>7.8009820712577405</v>
      </c>
      <c r="D41" s="7">
        <f t="shared" si="1"/>
        <v>7.7735944673601942</v>
      </c>
      <c r="E41" s="7">
        <f t="shared" si="1"/>
        <v>7.9395152606624064</v>
      </c>
      <c r="F41" s="7">
        <f t="shared" si="1"/>
        <v>7.8363697605451241</v>
      </c>
      <c r="G41" s="7">
        <f t="shared" si="1"/>
        <v>7.897668150726906</v>
      </c>
      <c r="H41" s="7">
        <f t="shared" si="1"/>
        <v>7.8256447322199891</v>
      </c>
      <c r="I41" s="7">
        <f t="shared" si="1"/>
        <v>7.8605707855386644</v>
      </c>
      <c r="J41" s="7">
        <f t="shared" si="1"/>
        <v>7.8399193600125825</v>
      </c>
      <c r="K41" s="7">
        <f t="shared" si="1"/>
        <v>8.0375431851186967</v>
      </c>
    </row>
    <row r="42" spans="1:26" x14ac:dyDescent="0.2">
      <c r="A42" s="4" t="s">
        <v>64</v>
      </c>
      <c r="B42" s="7">
        <f t="shared" ref="B42:K42" si="2">LN(B4)</f>
        <v>7.6350913032787808</v>
      </c>
      <c r="C42" s="7">
        <f t="shared" si="2"/>
        <v>7.7972912735474722</v>
      </c>
      <c r="D42" s="7">
        <f t="shared" si="2"/>
        <v>7.7561953439481179</v>
      </c>
      <c r="E42" s="7">
        <f t="shared" si="2"/>
        <v>7.9291264873067995</v>
      </c>
      <c r="F42" s="7">
        <f t="shared" si="2"/>
        <v>7.8208408799073439</v>
      </c>
      <c r="G42" s="7">
        <f t="shared" si="2"/>
        <v>7.886081401775745</v>
      </c>
      <c r="H42" s="7">
        <f t="shared" si="2"/>
        <v>7.8678714903963218</v>
      </c>
      <c r="I42" s="7">
        <f t="shared" si="2"/>
        <v>7.8524390853575099</v>
      </c>
      <c r="J42" s="7">
        <f t="shared" si="2"/>
        <v>7.8339963417094598</v>
      </c>
      <c r="K42" s="7">
        <f t="shared" si="2"/>
        <v>8.0040315078526998</v>
      </c>
    </row>
    <row r="43" spans="1:26" x14ac:dyDescent="0.2">
      <c r="A43" s="4" t="s">
        <v>65</v>
      </c>
      <c r="B43" s="7">
        <f t="shared" ref="B43:K43" si="3">LN(B5)</f>
        <v>7.6350913032787808</v>
      </c>
      <c r="C43" s="7">
        <f t="shared" si="3"/>
        <v>7.7972912735474722</v>
      </c>
      <c r="D43" s="7">
        <f t="shared" si="3"/>
        <v>7.6774004305148074</v>
      </c>
      <c r="E43" s="7">
        <f t="shared" si="3"/>
        <v>7.8969246562688644</v>
      </c>
      <c r="F43" s="7">
        <f t="shared" si="3"/>
        <v>7.7939990895039957</v>
      </c>
      <c r="G43" s="7">
        <f t="shared" si="3"/>
        <v>7.7915228191507317</v>
      </c>
      <c r="H43" s="7">
        <f t="shared" si="3"/>
        <v>7.8188324438034043</v>
      </c>
      <c r="I43" s="7">
        <f t="shared" si="3"/>
        <v>7.8236459308349522</v>
      </c>
      <c r="J43" s="7">
        <f t="shared" si="3"/>
        <v>7.7519053330786098</v>
      </c>
      <c r="K43" s="7">
        <f t="shared" si="3"/>
        <v>7.8220440081856193</v>
      </c>
    </row>
    <row r="44" spans="1:26" x14ac:dyDescent="0.2">
      <c r="A44" s="4" t="s">
        <v>66</v>
      </c>
      <c r="B44" s="7">
        <f t="shared" ref="B44:K44" si="4">LN(B6)</f>
        <v>7.6350913032787808</v>
      </c>
      <c r="C44" s="7">
        <f t="shared" si="4"/>
        <v>7.8046592970561024</v>
      </c>
      <c r="D44" s="7">
        <f t="shared" si="4"/>
        <v>7.6746174973643626</v>
      </c>
      <c r="E44" s="7">
        <f t="shared" si="4"/>
        <v>7.8632667240095735</v>
      </c>
      <c r="F44" s="7">
        <f t="shared" si="4"/>
        <v>7.7782114745124931</v>
      </c>
      <c r="G44" s="7">
        <f t="shared" si="4"/>
        <v>7.839131648274333</v>
      </c>
      <c r="H44" s="7">
        <f t="shared" si="4"/>
        <v>7.8351837552667485</v>
      </c>
      <c r="I44" s="7">
        <f t="shared" si="4"/>
        <v>7.8363697605451241</v>
      </c>
      <c r="J44" s="7">
        <f t="shared" si="4"/>
        <v>7.7735944673601942</v>
      </c>
      <c r="K44" s="7">
        <f t="shared" si="4"/>
        <v>7.8095413246534102</v>
      </c>
    </row>
    <row r="45" spans="1:26" x14ac:dyDescent="0.2">
      <c r="A45" s="4" t="s">
        <v>67</v>
      </c>
      <c r="B45" s="7">
        <f t="shared" ref="B45:K45" si="5">LN(B7)</f>
        <v>7.6350913032787808</v>
      </c>
      <c r="C45" s="7">
        <f t="shared" si="5"/>
        <v>7.8111633850252788</v>
      </c>
      <c r="D45" s="7">
        <f t="shared" si="5"/>
        <v>7.6852436079758331</v>
      </c>
      <c r="E45" s="7">
        <f t="shared" si="5"/>
        <v>7.8399193600125825</v>
      </c>
      <c r="F45" s="7">
        <f t="shared" si="5"/>
        <v>7.8127828185775812</v>
      </c>
      <c r="G45" s="7">
        <f t="shared" si="5"/>
        <v>7.8252452914317745</v>
      </c>
      <c r="H45" s="7">
        <f t="shared" si="5"/>
        <v>7.7882115578470756</v>
      </c>
      <c r="I45" s="7">
        <f t="shared" si="5"/>
        <v>7.8458075026378049</v>
      </c>
      <c r="J45" s="7">
        <f t="shared" si="5"/>
        <v>7.7591874385077952</v>
      </c>
      <c r="K45" s="7">
        <f t="shared" si="5"/>
        <v>7.8208408799073439</v>
      </c>
    </row>
    <row r="46" spans="1:26" x14ac:dyDescent="0.2">
      <c r="A46" s="4" t="s">
        <v>68</v>
      </c>
      <c r="B46" s="7">
        <f t="shared" ref="B46:K46" si="6">LN(B8)</f>
        <v>7.6350913032787808</v>
      </c>
      <c r="C46" s="7">
        <f t="shared" si="6"/>
        <v>7.7672639967573076</v>
      </c>
      <c r="D46" s="7">
        <f t="shared" si="6"/>
        <v>7.7217917768175353</v>
      </c>
      <c r="E46" s="7">
        <f t="shared" si="6"/>
        <v>7.7882115578470756</v>
      </c>
      <c r="F46" s="7">
        <f t="shared" si="6"/>
        <v>7.7877968781811706</v>
      </c>
      <c r="G46" s="7">
        <f t="shared" si="6"/>
        <v>7.8815599170568991</v>
      </c>
      <c r="H46" s="7">
        <f t="shared" si="6"/>
        <v>7.8570938649024926</v>
      </c>
      <c r="I46" s="7">
        <f t="shared" si="6"/>
        <v>7.8987823569703091</v>
      </c>
      <c r="J46" s="7">
        <f t="shared" si="6"/>
        <v>7.7828072628396949</v>
      </c>
      <c r="K46" s="7">
        <f t="shared" si="6"/>
        <v>7.8570938649024926</v>
      </c>
    </row>
    <row r="47" spans="1:26" x14ac:dyDescent="0.2">
      <c r="A47" s="4" t="s">
        <v>69</v>
      </c>
      <c r="B47" s="7">
        <f t="shared" ref="B47:K47" si="7">LN(B9)</f>
        <v>7.6350913032787808</v>
      </c>
      <c r="C47" s="7">
        <f t="shared" si="7"/>
        <v>7.7445698093544957</v>
      </c>
      <c r="D47" s="7">
        <f t="shared" si="7"/>
        <v>7.7177962110135816</v>
      </c>
      <c r="E47" s="7">
        <f t="shared" si="7"/>
        <v>7.7702232041587855</v>
      </c>
      <c r="F47" s="7">
        <f t="shared" si="7"/>
        <v>7.8152070621890877</v>
      </c>
      <c r="G47" s="7">
        <f t="shared" si="7"/>
        <v>7.9043348420850954</v>
      </c>
      <c r="H47" s="7">
        <f t="shared" si="7"/>
        <v>7.8898337513942955</v>
      </c>
      <c r="I47" s="7">
        <f t="shared" si="7"/>
        <v>7.8659554139335022</v>
      </c>
      <c r="J47" s="7">
        <f t="shared" si="7"/>
        <v>7.8152070621890877</v>
      </c>
      <c r="K47" s="7">
        <f t="shared" si="7"/>
        <v>7.8991534833430972</v>
      </c>
    </row>
    <row r="48" spans="1:26" x14ac:dyDescent="0.2">
      <c r="A48" s="4" t="s">
        <v>70</v>
      </c>
      <c r="B48" s="7">
        <f t="shared" ref="B48:K48" si="8">LN(B10)</f>
        <v>7.6350913032787808</v>
      </c>
      <c r="C48" s="7">
        <f t="shared" si="8"/>
        <v>7.754481547470383</v>
      </c>
      <c r="D48" s="7">
        <f t="shared" si="8"/>
        <v>7.6810990015363592</v>
      </c>
      <c r="E48" s="7">
        <f t="shared" si="8"/>
        <v>7.7952349290021727</v>
      </c>
      <c r="F48" s="7">
        <f t="shared" si="8"/>
        <v>7.8296303891501928</v>
      </c>
      <c r="G48" s="7">
        <f t="shared" si="8"/>
        <v>7.8735977896855402</v>
      </c>
      <c r="H48" s="7">
        <f t="shared" si="8"/>
        <v>7.8640356590724503</v>
      </c>
      <c r="I48" s="7">
        <f t="shared" si="8"/>
        <v>7.886081401775745</v>
      </c>
      <c r="J48" s="7">
        <f t="shared" si="8"/>
        <v>7.818430272070656</v>
      </c>
      <c r="K48" s="7">
        <f t="shared" si="8"/>
        <v>7.8208408799073439</v>
      </c>
    </row>
    <row r="49" spans="1:26" x14ac:dyDescent="0.2">
      <c r="A49" s="4" t="s">
        <v>71</v>
      </c>
      <c r="B49" s="7">
        <f t="shared" ref="B49:K49" si="9">LN(B11)</f>
        <v>7.6350913032787808</v>
      </c>
      <c r="C49" s="7">
        <f t="shared" si="9"/>
        <v>7.7642960064505182</v>
      </c>
      <c r="D49" s="7">
        <f t="shared" si="9"/>
        <v>7.8075100422161929</v>
      </c>
      <c r="E49" s="7">
        <f t="shared" si="9"/>
        <v>8.0709060887878188</v>
      </c>
      <c r="F49" s="7">
        <f t="shared" si="9"/>
        <v>8.2487907336964135</v>
      </c>
      <c r="G49" s="7">
        <f t="shared" si="9"/>
        <v>8.6411791711972281</v>
      </c>
      <c r="H49" s="7">
        <f t="shared" si="9"/>
        <v>9.138629524422182</v>
      </c>
      <c r="I49" s="7">
        <f t="shared" si="9"/>
        <v>9.8318304207718974</v>
      </c>
      <c r="J49" s="7">
        <f t="shared" si="9"/>
        <v>10.16788820369854</v>
      </c>
      <c r="K49" s="7">
        <f t="shared" si="9"/>
        <v>10.801268021651186</v>
      </c>
      <c r="L49" s="7">
        <f t="shared" ref="L49:S49" si="10">LN(L11)</f>
        <v>11.50992095594993</v>
      </c>
      <c r="M49" s="7">
        <f t="shared" si="10"/>
        <v>12.126271575326619</v>
      </c>
      <c r="N49" s="7">
        <f t="shared" si="10"/>
        <v>12.790241663520375</v>
      </c>
      <c r="O49" s="7">
        <f t="shared" si="10"/>
        <v>13.208247452561277</v>
      </c>
      <c r="P49" s="7">
        <f t="shared" si="10"/>
        <v>13.6061219718824</v>
      </c>
      <c r="Q49" s="7">
        <f t="shared" si="10"/>
        <v>13.87343978576191</v>
      </c>
      <c r="R49" s="7">
        <f t="shared" si="10"/>
        <v>14.13495289116379</v>
      </c>
      <c r="S49" s="7">
        <f t="shared" si="10"/>
        <v>14.07678191773663</v>
      </c>
    </row>
    <row r="50" spans="1:26" x14ac:dyDescent="0.2">
      <c r="A50" s="4" t="s">
        <v>72</v>
      </c>
      <c r="B50" s="7">
        <f t="shared" ref="B50:K50" si="11">LN(B12)</f>
        <v>7.6350913032787808</v>
      </c>
      <c r="C50" s="7">
        <f t="shared" si="11"/>
        <v>7.7450028035158391</v>
      </c>
      <c r="D50" s="7">
        <f t="shared" si="11"/>
        <v>7.7710670860654059</v>
      </c>
      <c r="E50" s="7">
        <f t="shared" si="11"/>
        <v>8.0548402211010242</v>
      </c>
      <c r="F50" s="7">
        <f t="shared" si="11"/>
        <v>8.2498364854257016</v>
      </c>
      <c r="G50" s="7">
        <f t="shared" si="11"/>
        <v>8.6457622922109447</v>
      </c>
      <c r="H50" s="7">
        <f t="shared" si="11"/>
        <v>9.147507062804614</v>
      </c>
      <c r="I50" s="7">
        <f t="shared" si="11"/>
        <v>9.8226028237956644</v>
      </c>
      <c r="J50" s="7">
        <f t="shared" si="11"/>
        <v>10.195559973289201</v>
      </c>
      <c r="K50" s="7">
        <f t="shared" si="11"/>
        <v>10.761004448831892</v>
      </c>
      <c r="L50" s="7">
        <f t="shared" ref="L50:S50" si="12">LN(L12)</f>
        <v>11.513525285042196</v>
      </c>
      <c r="M50" s="7">
        <f t="shared" si="12"/>
        <v>12.096927198269375</v>
      </c>
      <c r="N50" s="7">
        <f t="shared" si="12"/>
        <v>12.751299696013497</v>
      </c>
      <c r="O50" s="7">
        <f t="shared" si="12"/>
        <v>13.187439254140516</v>
      </c>
      <c r="P50" s="7">
        <f t="shared" si="12"/>
        <v>13.605085779057839</v>
      </c>
      <c r="Q50" s="7">
        <f t="shared" si="12"/>
        <v>13.866260704873936</v>
      </c>
      <c r="R50" s="7">
        <f t="shared" si="12"/>
        <v>14.132115308043135</v>
      </c>
      <c r="S50" s="7">
        <f t="shared" si="12"/>
        <v>14.07690512165467</v>
      </c>
    </row>
    <row r="51" spans="1:26" x14ac:dyDescent="0.2">
      <c r="A51" s="4" t="s">
        <v>73</v>
      </c>
      <c r="B51" s="7">
        <f t="shared" ref="B51:K51" si="13">LN(B13)</f>
        <v>7.6350913032787808</v>
      </c>
      <c r="C51" s="7">
        <f t="shared" si="13"/>
        <v>7.7182409519593156</v>
      </c>
      <c r="D51" s="7">
        <f t="shared" si="13"/>
        <v>7.7566233345388582</v>
      </c>
      <c r="E51" s="7">
        <f t="shared" si="13"/>
        <v>8.0510222081906786</v>
      </c>
      <c r="F51" s="7">
        <f t="shared" si="13"/>
        <v>8.2555686532837456</v>
      </c>
      <c r="G51" s="7">
        <f t="shared" si="13"/>
        <v>8.6510245390497573</v>
      </c>
      <c r="H51" s="7">
        <f t="shared" si="13"/>
        <v>9.1395959674504255</v>
      </c>
      <c r="I51" s="7">
        <f t="shared" si="13"/>
        <v>9.8131798395045937</v>
      </c>
      <c r="J51" s="7">
        <f t="shared" si="13"/>
        <v>10.196977725270886</v>
      </c>
      <c r="K51" s="7">
        <f t="shared" si="13"/>
        <v>10.624176940269097</v>
      </c>
      <c r="L51" s="7">
        <f t="shared" ref="L51:S51" si="14">LN(L13)</f>
        <v>11.522677756412907</v>
      </c>
      <c r="M51" s="7">
        <f t="shared" si="14"/>
        <v>12.124645646834445</v>
      </c>
      <c r="N51" s="7">
        <f t="shared" si="14"/>
        <v>12.765231186086803</v>
      </c>
      <c r="O51" s="7">
        <f t="shared" si="14"/>
        <v>13.168979752032909</v>
      </c>
      <c r="P51" s="7">
        <f t="shared" si="14"/>
        <v>13.60006232161747</v>
      </c>
      <c r="Q51" s="7">
        <f t="shared" si="14"/>
        <v>13.852324531086991</v>
      </c>
      <c r="R51" s="7">
        <f t="shared" si="14"/>
        <v>14.126357246946514</v>
      </c>
      <c r="S51" s="7">
        <f t="shared" si="14"/>
        <v>14.065506339434721</v>
      </c>
    </row>
    <row r="52" spans="1:26" x14ac:dyDescent="0.2">
      <c r="A52" s="4" t="s">
        <v>74</v>
      </c>
      <c r="B52" s="7">
        <f t="shared" ref="B52:K52" si="15">LN(B14)</f>
        <v>7.6350913032787808</v>
      </c>
      <c r="C52" s="7">
        <f t="shared" si="15"/>
        <v>7.9017475185201445</v>
      </c>
      <c r="D52" s="7">
        <f t="shared" si="15"/>
        <v>7.7345588443547557</v>
      </c>
      <c r="E52" s="7">
        <f t="shared" si="15"/>
        <v>8.0649508917491435</v>
      </c>
      <c r="F52" s="7">
        <f t="shared" si="15"/>
        <v>8.1842347740948203</v>
      </c>
      <c r="G52" s="7">
        <f t="shared" si="15"/>
        <v>8.5229764361719642</v>
      </c>
      <c r="H52" s="7">
        <f t="shared" si="15"/>
        <v>8.9095055129461009</v>
      </c>
      <c r="I52" s="7">
        <f t="shared" si="15"/>
        <v>9.5374114126563345</v>
      </c>
      <c r="J52" s="7">
        <f t="shared" si="15"/>
        <v>9.9617092897362518</v>
      </c>
      <c r="K52" s="7">
        <f t="shared" si="15"/>
        <v>10.56887805605103</v>
      </c>
      <c r="L52" s="7">
        <f t="shared" ref="L52:S52" si="16">LN(L14)</f>
        <v>11.189961578373808</v>
      </c>
      <c r="M52" s="7">
        <f t="shared" si="16"/>
        <v>11.846822961218972</v>
      </c>
      <c r="N52" s="7">
        <f t="shared" si="16"/>
        <v>12.497099119232344</v>
      </c>
      <c r="O52" s="7">
        <f t="shared" si="16"/>
        <v>12.859543008937221</v>
      </c>
      <c r="P52" s="7">
        <f t="shared" si="16"/>
        <v>13.440409752837528</v>
      </c>
      <c r="Q52" s="7">
        <f t="shared" si="16"/>
        <v>13.733063294996741</v>
      </c>
      <c r="R52" s="7">
        <f t="shared" si="16"/>
        <v>13.993355442731151</v>
      </c>
      <c r="S52" s="7">
        <f t="shared" si="16"/>
        <v>14.001126681707659</v>
      </c>
    </row>
    <row r="53" spans="1:26" x14ac:dyDescent="0.2">
      <c r="A53" s="4" t="s">
        <v>75</v>
      </c>
      <c r="B53" s="7">
        <f t="shared" ref="B53:K53" si="17">LN(B15)</f>
        <v>7.6350913032787808</v>
      </c>
      <c r="C53" s="7">
        <f t="shared" si="17"/>
        <v>7.8950634980915728</v>
      </c>
      <c r="D53" s="7">
        <f t="shared" si="17"/>
        <v>7.7341213033283047</v>
      </c>
      <c r="E53" s="7">
        <f t="shared" si="17"/>
        <v>8.0179667034935989</v>
      </c>
      <c r="F53" s="7">
        <f t="shared" si="17"/>
        <v>8.1715994803454635</v>
      </c>
      <c r="G53" s="7">
        <f t="shared" si="17"/>
        <v>8.5169931714135707</v>
      </c>
      <c r="H53" s="7">
        <f t="shared" si="17"/>
        <v>8.9091001349255503</v>
      </c>
      <c r="I53" s="7">
        <f t="shared" si="17"/>
        <v>9.5483828037669127</v>
      </c>
      <c r="J53" s="7">
        <f t="shared" si="17"/>
        <v>9.9699772938049609</v>
      </c>
      <c r="K53" s="7">
        <f t="shared" si="17"/>
        <v>10.54641980443157</v>
      </c>
      <c r="L53" s="7">
        <f t="shared" ref="L53:S53" si="18">LN(L15)</f>
        <v>11.216404443851243</v>
      </c>
      <c r="M53" s="7">
        <f t="shared" si="18"/>
        <v>11.781577611515203</v>
      </c>
      <c r="N53" s="7">
        <f t="shared" si="18"/>
        <v>12.467282397650839</v>
      </c>
      <c r="O53" s="7">
        <f t="shared" si="18"/>
        <v>12.851184377051561</v>
      </c>
      <c r="P53" s="7">
        <f t="shared" si="18"/>
        <v>13.414614993570479</v>
      </c>
      <c r="Q53" s="7">
        <f t="shared" si="18"/>
        <v>13.725257568986711</v>
      </c>
      <c r="R53" s="7">
        <f t="shared" si="18"/>
        <v>13.992249896461995</v>
      </c>
      <c r="S53" s="7">
        <f t="shared" si="18"/>
        <v>13.989900744431948</v>
      </c>
    </row>
    <row r="54" spans="1:26" x14ac:dyDescent="0.2">
      <c r="A54" s="4" t="s">
        <v>76</v>
      </c>
      <c r="B54" s="7">
        <f t="shared" ref="B54:K54" si="19">LN(B16)</f>
        <v>7.6350913032787808</v>
      </c>
      <c r="C54" s="7">
        <f t="shared" si="19"/>
        <v>7.89989532313973</v>
      </c>
      <c r="D54" s="7">
        <f t="shared" si="19"/>
        <v>7.7523351633022921</v>
      </c>
      <c r="E54" s="7">
        <f t="shared" si="19"/>
        <v>8.0500654229159654</v>
      </c>
      <c r="F54" s="7">
        <f t="shared" si="19"/>
        <v>8.1772348855101935</v>
      </c>
      <c r="G54" s="7">
        <f t="shared" si="19"/>
        <v>8.4918753834319478</v>
      </c>
      <c r="H54" s="7">
        <f t="shared" si="19"/>
        <v>8.9195869209999152</v>
      </c>
      <c r="I54" s="7">
        <f t="shared" si="19"/>
        <v>9.5473838739656873</v>
      </c>
      <c r="J54" s="7">
        <f t="shared" si="19"/>
        <v>9.949225444209981</v>
      </c>
      <c r="K54" s="7">
        <f t="shared" si="19"/>
        <v>10.542336929688224</v>
      </c>
      <c r="L54" s="7">
        <f t="shared" ref="L54:S54" si="20">LN(L16)</f>
        <v>11.187195324880918</v>
      </c>
      <c r="M54" s="7">
        <f t="shared" si="20"/>
        <v>11.778361928474689</v>
      </c>
      <c r="N54" s="7">
        <f t="shared" si="20"/>
        <v>12.455429603660287</v>
      </c>
      <c r="O54" s="7">
        <f t="shared" si="20"/>
        <v>12.848400103760145</v>
      </c>
      <c r="P54" s="7">
        <f t="shared" si="20"/>
        <v>13.387769165591681</v>
      </c>
      <c r="Q54" s="7">
        <f t="shared" si="20"/>
        <v>13.713433534629507</v>
      </c>
      <c r="R54" s="7">
        <f t="shared" si="20"/>
        <v>13.997248611219812</v>
      </c>
      <c r="S54" s="7">
        <f t="shared" si="20"/>
        <v>13.991344448622675</v>
      </c>
    </row>
    <row r="55" spans="1:26" x14ac:dyDescent="0.2">
      <c r="A55" s="4" t="s">
        <v>77</v>
      </c>
      <c r="B55" s="7">
        <f t="shared" ref="B55:K55" si="21">LN(B17)</f>
        <v>7.6350913032787808</v>
      </c>
      <c r="C55" s="7">
        <f t="shared" si="21"/>
        <v>7.8042513835281122</v>
      </c>
      <c r="D55" s="7">
        <f t="shared" si="21"/>
        <v>7.8497137576048699</v>
      </c>
      <c r="E55" s="7">
        <f t="shared" si="21"/>
        <v>8.0771366385384535</v>
      </c>
      <c r="F55" s="7">
        <f t="shared" si="21"/>
        <v>8.2756310545780103</v>
      </c>
      <c r="G55" s="7">
        <f t="shared" si="21"/>
        <v>8.6099546714975492</v>
      </c>
      <c r="H55" s="7">
        <f t="shared" si="21"/>
        <v>9.0631156522196576</v>
      </c>
      <c r="I55" s="7">
        <f t="shared" si="21"/>
        <v>9.6650399899620449</v>
      </c>
      <c r="J55" s="7">
        <f t="shared" si="21"/>
        <v>10.095718185206863</v>
      </c>
      <c r="K55" s="7">
        <f t="shared" si="21"/>
        <v>10.614278168268669</v>
      </c>
      <c r="L55" s="7">
        <f t="shared" ref="L55:S55" si="22">LN(L17)</f>
        <v>11.328762213296903</v>
      </c>
      <c r="M55" s="7">
        <f t="shared" si="22"/>
        <v>11.94067378131885</v>
      </c>
      <c r="N55" s="7">
        <f t="shared" si="22"/>
        <v>12.607128045149638</v>
      </c>
      <c r="O55" s="7">
        <f t="shared" si="22"/>
        <v>13.04871683723603</v>
      </c>
      <c r="P55" s="7">
        <f t="shared" si="22"/>
        <v>13.504518916076869</v>
      </c>
      <c r="Q55" s="7">
        <f t="shared" si="22"/>
        <v>13.843670323758131</v>
      </c>
      <c r="R55" s="7">
        <f t="shared" si="22"/>
        <v>13.957634925006815</v>
      </c>
      <c r="S55" s="7">
        <f t="shared" si="22"/>
        <v>13.910293325984179</v>
      </c>
    </row>
    <row r="56" spans="1:26" x14ac:dyDescent="0.2">
      <c r="A56" s="4" t="s">
        <v>78</v>
      </c>
      <c r="B56" s="7">
        <f t="shared" ref="B56:K56" si="23">LN(B18)</f>
        <v>7.6350913032787808</v>
      </c>
      <c r="C56" s="7">
        <f t="shared" si="23"/>
        <v>7.8030266436322169</v>
      </c>
      <c r="D56" s="7">
        <f t="shared" si="23"/>
        <v>7.7840570026399289</v>
      </c>
      <c r="E56" s="7">
        <f t="shared" si="23"/>
        <v>8.0503844530670214</v>
      </c>
      <c r="F56" s="7">
        <f t="shared" si="23"/>
        <v>8.2940496401020276</v>
      </c>
      <c r="G56" s="7">
        <f t="shared" si="23"/>
        <v>8.6135936857025523</v>
      </c>
      <c r="H56" s="7">
        <f t="shared" si="23"/>
        <v>9.070733417589766</v>
      </c>
      <c r="I56" s="7">
        <f t="shared" si="23"/>
        <v>9.6709878687978925</v>
      </c>
      <c r="J56" s="7">
        <f t="shared" si="23"/>
        <v>10.092246676988507</v>
      </c>
      <c r="K56" s="7">
        <f t="shared" si="23"/>
        <v>10.631012004932307</v>
      </c>
      <c r="L56" s="7">
        <f t="shared" ref="L56:S56" si="24">LN(L18)</f>
        <v>11.316667242437401</v>
      </c>
      <c r="M56" s="7">
        <f t="shared" si="24"/>
        <v>11.928076842667814</v>
      </c>
      <c r="N56" s="7">
        <f t="shared" si="24"/>
        <v>12.599262722762726</v>
      </c>
      <c r="O56" s="7">
        <f t="shared" si="24"/>
        <v>13.050308680452975</v>
      </c>
      <c r="P56" s="7">
        <f t="shared" si="24"/>
        <v>13.509175597013284</v>
      </c>
      <c r="Q56" s="7">
        <f t="shared" si="24"/>
        <v>13.841899292302177</v>
      </c>
      <c r="R56" s="7">
        <f t="shared" si="24"/>
        <v>13.949289419965725</v>
      </c>
      <c r="S56" s="7">
        <f t="shared" si="24"/>
        <v>13.915989176530493</v>
      </c>
    </row>
    <row r="57" spans="1:26" x14ac:dyDescent="0.2">
      <c r="A57" s="4" t="s">
        <v>79</v>
      </c>
      <c r="B57" s="7">
        <f t="shared" ref="B57:K57" si="25">LN(B19)</f>
        <v>7.6350913032787808</v>
      </c>
      <c r="C57" s="7">
        <f t="shared" si="25"/>
        <v>7.8026180634426714</v>
      </c>
      <c r="D57" s="7">
        <f t="shared" si="25"/>
        <v>7.8038433035387724</v>
      </c>
      <c r="E57" s="7">
        <f t="shared" si="25"/>
        <v>8.0542048970644071</v>
      </c>
      <c r="F57" s="7">
        <f t="shared" si="25"/>
        <v>8.2781742909437384</v>
      </c>
      <c r="G57" s="7">
        <f t="shared" si="25"/>
        <v>8.6394108241404872</v>
      </c>
      <c r="H57" s="7">
        <f t="shared" si="25"/>
        <v>9.0588195643349412</v>
      </c>
      <c r="I57" s="7">
        <f t="shared" si="25"/>
        <v>9.6530370366896747</v>
      </c>
      <c r="J57" s="7">
        <f t="shared" si="25"/>
        <v>10.088098154133554</v>
      </c>
      <c r="K57" s="7">
        <f t="shared" si="25"/>
        <v>10.624371488067673</v>
      </c>
      <c r="L57" s="7">
        <f t="shared" ref="L57:S57" si="26">LN(L19)</f>
        <v>11.32128058071539</v>
      </c>
      <c r="M57" s="7">
        <f t="shared" si="26"/>
        <v>11.924902656693616</v>
      </c>
      <c r="N57" s="7">
        <f t="shared" si="26"/>
        <v>12.588883063073531</v>
      </c>
      <c r="O57" s="7">
        <f t="shared" si="26"/>
        <v>13.03758949535489</v>
      </c>
      <c r="P57" s="7">
        <f t="shared" si="26"/>
        <v>13.508278626267778</v>
      </c>
      <c r="Q57" s="7">
        <f t="shared" si="26"/>
        <v>13.83417528319343</v>
      </c>
      <c r="R57" s="7">
        <f t="shared" si="26"/>
        <v>13.947678521541691</v>
      </c>
      <c r="S57" s="7">
        <f t="shared" si="26"/>
        <v>13.898987362372093</v>
      </c>
    </row>
    <row r="58" spans="1:26" x14ac:dyDescent="0.2">
      <c r="A58" s="4" t="s">
        <v>134</v>
      </c>
      <c r="B58" s="7">
        <f t="shared" ref="B58:S58" si="27">LN(B20)</f>
        <v>6.8330317327862007</v>
      </c>
      <c r="C58" s="7">
        <f t="shared" si="27"/>
        <v>6.6883547139467616</v>
      </c>
      <c r="D58" s="7">
        <f t="shared" si="27"/>
        <v>6.9177056098353047</v>
      </c>
      <c r="E58" s="7">
        <f t="shared" si="27"/>
        <v>7.0414116637948103</v>
      </c>
      <c r="F58" s="7">
        <f t="shared" si="27"/>
        <v>7.3479438231486869</v>
      </c>
      <c r="G58" s="7" t="e">
        <f t="shared" si="27"/>
        <v>#NUM!</v>
      </c>
      <c r="H58" s="7">
        <f t="shared" si="27"/>
        <v>8.0529330367975671</v>
      </c>
      <c r="I58" s="7">
        <f t="shared" si="27"/>
        <v>8.5113763060946734</v>
      </c>
      <c r="J58" s="7">
        <f t="shared" si="27"/>
        <v>8.8324417915858238</v>
      </c>
      <c r="K58" s="7">
        <f t="shared" si="27"/>
        <v>9.1049798563183568</v>
      </c>
      <c r="L58" s="7">
        <f t="shared" si="27"/>
        <v>9.6471749398304052</v>
      </c>
      <c r="M58" s="7">
        <f t="shared" si="27"/>
        <v>9.9823449426136222</v>
      </c>
      <c r="N58" s="7">
        <f t="shared" si="27"/>
        <v>10.423054856238874</v>
      </c>
      <c r="O58" s="7">
        <f t="shared" si="27"/>
        <v>10.817275154192165</v>
      </c>
      <c r="P58" s="7">
        <f t="shared" si="27"/>
        <v>11.292278793854607</v>
      </c>
      <c r="Q58" s="7">
        <f t="shared" si="27"/>
        <v>11.653035172954874</v>
      </c>
      <c r="R58" s="7">
        <f t="shared" si="27"/>
        <v>12.120078932363198</v>
      </c>
      <c r="S58" s="7">
        <f t="shared" si="27"/>
        <v>12.465818099288931</v>
      </c>
      <c r="T58" s="7">
        <f t="shared" ref="T58:Z58" si="28">LN(T20)</f>
        <v>12.790130143502415</v>
      </c>
      <c r="U58" s="7">
        <f t="shared" si="28"/>
        <v>13.183608982841106</v>
      </c>
      <c r="V58" s="7">
        <f t="shared" si="28"/>
        <v>13.383218811852391</v>
      </c>
      <c r="W58" s="7">
        <f t="shared" si="28"/>
        <v>13.572495877007652</v>
      </c>
      <c r="X58" s="7">
        <f t="shared" si="28"/>
        <v>13.672425098820643</v>
      </c>
      <c r="Y58" s="7">
        <f t="shared" si="28"/>
        <v>13.755824245797623</v>
      </c>
      <c r="Z58" s="7">
        <f t="shared" si="28"/>
        <v>13.778618331779867</v>
      </c>
    </row>
    <row r="59" spans="1:26" x14ac:dyDescent="0.2">
      <c r="A59" s="4" t="s">
        <v>135</v>
      </c>
      <c r="B59" s="7">
        <f t="shared" ref="B59:S59" si="29">LN(B21)</f>
        <v>6.8145428972599582</v>
      </c>
      <c r="C59" s="7">
        <f t="shared" si="29"/>
        <v>6.6732979677676543</v>
      </c>
      <c r="D59" s="7">
        <f t="shared" si="29"/>
        <v>6.9186952190204716</v>
      </c>
      <c r="E59" s="7">
        <f t="shared" si="29"/>
        <v>6.9314718055994531</v>
      </c>
      <c r="F59" s="7">
        <f t="shared" si="29"/>
        <v>7.3258075025957732</v>
      </c>
      <c r="G59" s="7" t="e">
        <f t="shared" si="29"/>
        <v>#NUM!</v>
      </c>
      <c r="H59" s="7">
        <f t="shared" si="29"/>
        <v>8.0063675676502459</v>
      </c>
      <c r="I59" s="7">
        <f t="shared" si="29"/>
        <v>8.5328696708012455</v>
      </c>
      <c r="J59" s="7">
        <f t="shared" si="29"/>
        <v>8.7555799721431402</v>
      </c>
      <c r="K59" s="7">
        <f t="shared" si="29"/>
        <v>9.0906555290302027</v>
      </c>
      <c r="L59" s="7">
        <f t="shared" si="29"/>
        <v>9.612533466213927</v>
      </c>
      <c r="M59" s="7">
        <f t="shared" si="29"/>
        <v>9.9933739593306505</v>
      </c>
      <c r="N59" s="7">
        <f t="shared" si="29"/>
        <v>10.404777859318781</v>
      </c>
      <c r="O59" s="7">
        <f t="shared" si="29"/>
        <v>10.812793950635838</v>
      </c>
      <c r="P59" s="7">
        <f t="shared" si="29"/>
        <v>11.263437938316416</v>
      </c>
      <c r="Q59" s="7">
        <f t="shared" si="29"/>
        <v>11.621959225994351</v>
      </c>
      <c r="R59" s="7">
        <f t="shared" si="29"/>
        <v>12.125729892847636</v>
      </c>
      <c r="S59" s="7">
        <f t="shared" si="29"/>
        <v>12.467744362549723</v>
      </c>
      <c r="T59" s="7">
        <f t="shared" ref="T59:Z59" si="30">LN(T21)</f>
        <v>12.787394010907862</v>
      </c>
      <c r="U59" s="7">
        <f t="shared" si="30"/>
        <v>13.193716128849569</v>
      </c>
      <c r="V59" s="7">
        <f t="shared" si="30"/>
        <v>13.389761106553403</v>
      </c>
      <c r="W59" s="7">
        <f t="shared" si="30"/>
        <v>13.583200118825248</v>
      </c>
      <c r="X59" s="7">
        <f t="shared" si="30"/>
        <v>13.667010549645831</v>
      </c>
      <c r="Y59" s="7">
        <f t="shared" si="30"/>
        <v>13.757097239413614</v>
      </c>
      <c r="Z59" s="7">
        <f t="shared" si="30"/>
        <v>13.784267538224343</v>
      </c>
    </row>
    <row r="60" spans="1:26" x14ac:dyDescent="0.2">
      <c r="A60" s="4" t="s">
        <v>136</v>
      </c>
      <c r="B60" s="7">
        <f t="shared" ref="B60:S60" si="31">LN(B22)</f>
        <v>6.7627295069318789</v>
      </c>
      <c r="C60" s="7">
        <f t="shared" si="31"/>
        <v>6.6187389835172192</v>
      </c>
      <c r="D60" s="7">
        <f t="shared" si="31"/>
        <v>6.8617113404807304</v>
      </c>
      <c r="E60" s="7">
        <f t="shared" si="31"/>
        <v>7.0112139873503674</v>
      </c>
      <c r="F60" s="7">
        <f t="shared" si="31"/>
        <v>7.3466551631765391</v>
      </c>
      <c r="G60" s="7" t="e">
        <f t="shared" si="31"/>
        <v>#NUM!</v>
      </c>
      <c r="H60" s="7" t="e">
        <f t="shared" si="31"/>
        <v>#NUM!</v>
      </c>
      <c r="I60" s="7">
        <f t="shared" si="31"/>
        <v>8.5225786636925758</v>
      </c>
      <c r="J60" s="7">
        <f t="shared" si="31"/>
        <v>8.7310134152695635</v>
      </c>
      <c r="K60" s="7">
        <f t="shared" si="31"/>
        <v>9.0982908681675596</v>
      </c>
      <c r="L60" s="7">
        <f t="shared" si="31"/>
        <v>9.6118643908510855</v>
      </c>
      <c r="M60" s="7">
        <f t="shared" si="31"/>
        <v>10.00324238567312</v>
      </c>
      <c r="N60" s="7">
        <f t="shared" si="31"/>
        <v>10.419390266042402</v>
      </c>
      <c r="O60" s="7">
        <f t="shared" si="31"/>
        <v>10.821975867953771</v>
      </c>
      <c r="P60" s="7">
        <f t="shared" si="31"/>
        <v>11.286526620935346</v>
      </c>
      <c r="Q60" s="7">
        <f t="shared" si="31"/>
        <v>11.650249655833447</v>
      </c>
      <c r="R60" s="7">
        <f t="shared" si="31"/>
        <v>12.112750488298801</v>
      </c>
      <c r="S60" s="7">
        <f t="shared" si="31"/>
        <v>12.474036587115851</v>
      </c>
      <c r="T60" s="7">
        <f t="shared" ref="T60:Z60" si="32">LN(T22)</f>
        <v>12.796744034500882</v>
      </c>
      <c r="U60" s="7">
        <f t="shared" si="32"/>
        <v>13.189012170351258</v>
      </c>
      <c r="V60" s="7">
        <f t="shared" si="32"/>
        <v>13.385896189623107</v>
      </c>
      <c r="W60" s="7">
        <f t="shared" si="32"/>
        <v>13.572674373304329</v>
      </c>
      <c r="X60" s="7">
        <f t="shared" si="32"/>
        <v>13.671617092589663</v>
      </c>
      <c r="Y60" s="7">
        <f t="shared" si="32"/>
        <v>13.753124385528178</v>
      </c>
      <c r="Z60" s="7">
        <f t="shared" si="32"/>
        <v>13.78595815570225</v>
      </c>
    </row>
    <row r="61" spans="1:26" x14ac:dyDescent="0.2">
      <c r="A61" s="4" t="s">
        <v>137</v>
      </c>
      <c r="B61" s="7">
        <f t="shared" ref="B61:S61" si="33">LN(B23)</f>
        <v>6.5680779114119758</v>
      </c>
      <c r="C61" s="7">
        <f t="shared" si="33"/>
        <v>6.6106960447177592</v>
      </c>
      <c r="D61" s="7">
        <f t="shared" si="33"/>
        <v>6.5806391372849493</v>
      </c>
      <c r="E61" s="7">
        <f t="shared" si="33"/>
        <v>7.0950643772871311</v>
      </c>
      <c r="F61" s="7">
        <f t="shared" si="33"/>
        <v>7.2262090101006713</v>
      </c>
      <c r="G61" s="7" t="e">
        <f t="shared" si="33"/>
        <v>#NUM!</v>
      </c>
      <c r="H61" s="7">
        <f t="shared" si="33"/>
        <v>7.5888298783078127</v>
      </c>
      <c r="I61" s="7">
        <f t="shared" si="33"/>
        <v>8.3148321792845561</v>
      </c>
      <c r="J61" s="7">
        <f t="shared" si="33"/>
        <v>8.4658998970286863</v>
      </c>
      <c r="K61" s="7">
        <f t="shared" si="33"/>
        <v>8.7827830173932018</v>
      </c>
      <c r="L61" s="7">
        <f t="shared" si="33"/>
        <v>9.2382473252291906</v>
      </c>
      <c r="M61" s="7">
        <f t="shared" si="33"/>
        <v>9.5921956144452132</v>
      </c>
      <c r="N61" s="7">
        <f t="shared" si="33"/>
        <v>9.9354705983891787</v>
      </c>
      <c r="O61" s="7">
        <f t="shared" si="33"/>
        <v>10.317482841647667</v>
      </c>
      <c r="P61" s="7">
        <f t="shared" si="33"/>
        <v>10.636816522728905</v>
      </c>
      <c r="Q61" s="7">
        <f t="shared" si="33"/>
        <v>11.066325813503509</v>
      </c>
      <c r="R61" s="7">
        <f t="shared" si="33"/>
        <v>11.412441926391907</v>
      </c>
      <c r="S61" s="7">
        <f t="shared" si="33"/>
        <v>11.836312462042786</v>
      </c>
      <c r="T61" s="7">
        <f t="shared" ref="T61:Z61" si="34">LN(T23)</f>
        <v>12.165771348756648</v>
      </c>
      <c r="U61" s="7">
        <f t="shared" si="34"/>
        <v>12.60545260998239</v>
      </c>
      <c r="V61" s="7">
        <f t="shared" si="34"/>
        <v>12.975717797062844</v>
      </c>
      <c r="W61" s="7">
        <f t="shared" si="34"/>
        <v>13.266429088743751</v>
      </c>
      <c r="X61" s="7">
        <f t="shared" si="34"/>
        <v>13.440613451422527</v>
      </c>
      <c r="Y61" s="7">
        <f t="shared" si="34"/>
        <v>13.629084589585228</v>
      </c>
      <c r="Z61" s="7">
        <f t="shared" si="34"/>
        <v>13.737094859326753</v>
      </c>
    </row>
    <row r="62" spans="1:26" x14ac:dyDescent="0.2">
      <c r="A62" s="4" t="s">
        <v>138</v>
      </c>
      <c r="B62" s="7">
        <f t="shared" ref="B62:S62" si="35">LN(B24)</f>
        <v>6.4846352356352517</v>
      </c>
      <c r="C62" s="7">
        <f t="shared" si="35"/>
        <v>6.6160651851328174</v>
      </c>
      <c r="D62" s="7">
        <f t="shared" si="35"/>
        <v>6.5998704992128365</v>
      </c>
      <c r="E62" s="7">
        <f t="shared" si="35"/>
        <v>7.0859014643656106</v>
      </c>
      <c r="F62" s="7">
        <f t="shared" si="35"/>
        <v>7.2548848100773382</v>
      </c>
      <c r="G62" s="7" t="e">
        <f t="shared" si="35"/>
        <v>#NUM!</v>
      </c>
      <c r="H62" s="7">
        <f t="shared" si="35"/>
        <v>7.6009024595420822</v>
      </c>
      <c r="I62" s="7">
        <f t="shared" si="35"/>
        <v>8.3265168302395285</v>
      </c>
      <c r="J62" s="7">
        <f t="shared" si="35"/>
        <v>8.4287990406536419</v>
      </c>
      <c r="K62" s="7">
        <f t="shared" si="35"/>
        <v>8.7395364225596772</v>
      </c>
      <c r="L62" s="7">
        <f t="shared" si="35"/>
        <v>9.2303390584828726</v>
      </c>
      <c r="M62" s="7">
        <f t="shared" si="35"/>
        <v>9.5625453404434637</v>
      </c>
      <c r="N62" s="7">
        <f t="shared" si="35"/>
        <v>9.924563878138045</v>
      </c>
      <c r="O62" s="7">
        <f t="shared" si="35"/>
        <v>10.275430347393456</v>
      </c>
      <c r="P62" s="7">
        <f t="shared" si="35"/>
        <v>10.677292636113528</v>
      </c>
      <c r="Q62" s="7">
        <f t="shared" si="35"/>
        <v>11.07069263266985</v>
      </c>
      <c r="R62" s="7">
        <f t="shared" si="35"/>
        <v>11.444646624216935</v>
      </c>
      <c r="S62" s="7">
        <f t="shared" si="35"/>
        <v>11.828319975988546</v>
      </c>
      <c r="T62" s="7">
        <f t="shared" ref="T62:Z62" si="36">LN(T24)</f>
        <v>12.168786060744157</v>
      </c>
      <c r="U62" s="7">
        <f t="shared" si="36"/>
        <v>12.621554088913827</v>
      </c>
      <c r="V62" s="7">
        <f t="shared" si="36"/>
        <v>12.973306369442817</v>
      </c>
      <c r="W62" s="7">
        <f t="shared" si="36"/>
        <v>13.267363749132</v>
      </c>
      <c r="X62" s="7">
        <f t="shared" si="36"/>
        <v>13.444707712118111</v>
      </c>
      <c r="Y62" s="7">
        <f t="shared" si="36"/>
        <v>13.632596825869131</v>
      </c>
      <c r="Z62" s="7">
        <f t="shared" si="36"/>
        <v>13.735102783662024</v>
      </c>
    </row>
    <row r="63" spans="1:26" x14ac:dyDescent="0.2">
      <c r="A63" s="4" t="s">
        <v>139</v>
      </c>
      <c r="B63" s="7">
        <f t="shared" ref="B63:S63" si="37">LN(B25)</f>
        <v>6.4785096422085688</v>
      </c>
      <c r="C63" s="7">
        <f t="shared" si="37"/>
        <v>6.6306833856423717</v>
      </c>
      <c r="D63" s="7">
        <f t="shared" si="37"/>
        <v>6.5930445341424369</v>
      </c>
      <c r="E63" s="7">
        <f t="shared" si="37"/>
        <v>7.0800264999225906</v>
      </c>
      <c r="F63" s="7">
        <f t="shared" si="37"/>
        <v>7.193685818395112</v>
      </c>
      <c r="G63" s="7" t="e">
        <f t="shared" si="37"/>
        <v>#NUM!</v>
      </c>
      <c r="H63" s="7" t="e">
        <f t="shared" si="37"/>
        <v>#NUM!</v>
      </c>
      <c r="I63" s="7">
        <f t="shared" si="37"/>
        <v>8.1713168747197304</v>
      </c>
      <c r="J63" s="7">
        <f t="shared" si="37"/>
        <v>8.4368504387336998</v>
      </c>
      <c r="K63" s="7">
        <f t="shared" si="37"/>
        <v>8.7376130368088507</v>
      </c>
      <c r="L63" s="7">
        <f t="shared" si="37"/>
        <v>9.2012996273240333</v>
      </c>
      <c r="M63" s="7">
        <f t="shared" si="37"/>
        <v>9.5195148197660604</v>
      </c>
      <c r="N63" s="7">
        <f t="shared" si="37"/>
        <v>9.9097677904932784</v>
      </c>
      <c r="O63" s="7">
        <f t="shared" si="37"/>
        <v>10.260322483676225</v>
      </c>
      <c r="P63" s="7">
        <f t="shared" si="37"/>
        <v>10.633930517839771</v>
      </c>
      <c r="Q63" s="7">
        <f t="shared" si="37"/>
        <v>11.041320554357519</v>
      </c>
      <c r="R63" s="7">
        <f t="shared" si="37"/>
        <v>11.403110598963021</v>
      </c>
      <c r="S63" s="7">
        <f t="shared" si="37"/>
        <v>11.801257326263507</v>
      </c>
      <c r="T63" s="7">
        <f t="shared" ref="T63:Z63" si="38">LN(T25)</f>
        <v>12.176437840400483</v>
      </c>
      <c r="U63" s="7">
        <f t="shared" si="38"/>
        <v>12.61073743346757</v>
      </c>
      <c r="V63" s="7">
        <f t="shared" si="38"/>
        <v>12.969724886975472</v>
      </c>
      <c r="W63" s="7">
        <f t="shared" si="38"/>
        <v>13.270335006154871</v>
      </c>
      <c r="X63" s="7">
        <f t="shared" si="38"/>
        <v>13.444997449617965</v>
      </c>
      <c r="Y63" s="7">
        <f t="shared" si="38"/>
        <v>13.631635795570764</v>
      </c>
      <c r="Z63" s="7">
        <f t="shared" si="38"/>
        <v>13.726438878189541</v>
      </c>
    </row>
    <row r="64" spans="1:26" x14ac:dyDescent="0.2">
      <c r="A64" s="4" t="s">
        <v>140</v>
      </c>
      <c r="B64" s="7">
        <f t="shared" ref="B64:S64" si="39">LN(B26)</f>
        <v>6.8783264682913252</v>
      </c>
      <c r="C64" s="7">
        <f t="shared" si="39"/>
        <v>6.7546040994879624</v>
      </c>
      <c r="D64" s="7">
        <f t="shared" si="39"/>
        <v>7.1123274447109113</v>
      </c>
      <c r="E64" s="7">
        <f t="shared" si="39"/>
        <v>7.6083744743807831</v>
      </c>
      <c r="F64" s="7">
        <f t="shared" si="39"/>
        <v>8.0487882835341988</v>
      </c>
      <c r="G64" s="7" t="e">
        <f t="shared" si="39"/>
        <v>#NUM!</v>
      </c>
      <c r="H64" s="7">
        <f t="shared" si="39"/>
        <v>8.9440283252605948</v>
      </c>
      <c r="I64" s="7">
        <f t="shared" si="39"/>
        <v>9.5527946802749426</v>
      </c>
      <c r="J64" s="7">
        <f t="shared" si="39"/>
        <v>9.6235090644693795</v>
      </c>
      <c r="K64" s="7">
        <f t="shared" si="39"/>
        <v>10.091956839916318</v>
      </c>
      <c r="L64" s="7">
        <f t="shared" si="39"/>
        <v>10.60313853743474</v>
      </c>
      <c r="M64" s="7">
        <f t="shared" si="39"/>
        <v>11.003432286438017</v>
      </c>
      <c r="N64" s="7">
        <f t="shared" si="39"/>
        <v>11.47059191195415</v>
      </c>
      <c r="O64" s="7">
        <f t="shared" si="39"/>
        <v>11.999048476095847</v>
      </c>
      <c r="P64" s="7">
        <f t="shared" si="39"/>
        <v>12.460016945997095</v>
      </c>
      <c r="Q64" s="7">
        <f t="shared" si="39"/>
        <v>13.000286134824922</v>
      </c>
      <c r="R64" s="7">
        <f t="shared" si="39"/>
        <v>13.289774321462529</v>
      </c>
      <c r="S64" s="7">
        <f t="shared" si="39"/>
        <v>13.561804701067425</v>
      </c>
      <c r="T64" s="7">
        <f t="shared" ref="T64:Z64" si="40">LN(T26)</f>
        <v>13.685356313492893</v>
      </c>
      <c r="U64" s="7">
        <f t="shared" si="40"/>
        <v>13.871928697869073</v>
      </c>
      <c r="V64" s="7">
        <f t="shared" si="40"/>
        <v>13.897901276133179</v>
      </c>
      <c r="W64" s="7">
        <f t="shared" si="40"/>
        <v>14.01045214611433</v>
      </c>
      <c r="X64" s="7">
        <f t="shared" si="40"/>
        <v>14.017275200302835</v>
      </c>
      <c r="Y64" s="7">
        <f t="shared" si="40"/>
        <v>14.218198479925142</v>
      </c>
      <c r="Z64" s="7">
        <f t="shared" si="40"/>
        <v>14.071794838268639</v>
      </c>
    </row>
    <row r="65" spans="1:35" x14ac:dyDescent="0.2">
      <c r="A65" s="4" t="s">
        <v>141</v>
      </c>
      <c r="B65" s="7">
        <f t="shared" ref="B65:S65" si="41">LN(B27)</f>
        <v>6.8946700394334819</v>
      </c>
      <c r="C65" s="7">
        <f t="shared" si="41"/>
        <v>6.7499311937885702</v>
      </c>
      <c r="D65" s="7">
        <f t="shared" si="41"/>
        <v>7.1459844677143876</v>
      </c>
      <c r="E65" s="7">
        <f t="shared" si="41"/>
        <v>7.6083744743807831</v>
      </c>
      <c r="F65" s="7">
        <f t="shared" si="41"/>
        <v>8.0307349240985406</v>
      </c>
      <c r="G65" s="7" t="e">
        <f t="shared" si="41"/>
        <v>#NUM!</v>
      </c>
      <c r="H65" s="7">
        <f t="shared" si="41"/>
        <v>8.9407601348883841</v>
      </c>
      <c r="I65" s="7">
        <f t="shared" si="41"/>
        <v>9.5536463481759615</v>
      </c>
      <c r="J65" s="7">
        <f t="shared" si="41"/>
        <v>9.6203285688119315</v>
      </c>
      <c r="K65" s="7">
        <f t="shared" si="41"/>
        <v>10.070272370180954</v>
      </c>
      <c r="L65" s="7">
        <f t="shared" si="41"/>
        <v>10.600701452770835</v>
      </c>
      <c r="M65" s="7">
        <f t="shared" si="41"/>
        <v>10.967111492281759</v>
      </c>
      <c r="N65" s="7">
        <f t="shared" si="41"/>
        <v>11.451549936293793</v>
      </c>
      <c r="O65" s="7">
        <f t="shared" si="41"/>
        <v>12.004690585997476</v>
      </c>
      <c r="P65" s="7">
        <f t="shared" si="41"/>
        <v>12.46851383011616</v>
      </c>
      <c r="Q65" s="7">
        <f t="shared" si="41"/>
        <v>12.977291361510275</v>
      </c>
      <c r="R65" s="7">
        <f t="shared" si="41"/>
        <v>13.276422624480311</v>
      </c>
      <c r="S65" s="7">
        <f t="shared" si="41"/>
        <v>13.556480728085656</v>
      </c>
      <c r="T65" s="7">
        <f t="shared" ref="T65:Z65" si="42">LN(T27)</f>
        <v>13.685925653415582</v>
      </c>
      <c r="U65" s="7">
        <f t="shared" si="42"/>
        <v>13.874628162447364</v>
      </c>
      <c r="V65" s="7">
        <f t="shared" si="42"/>
        <v>13.906812716371061</v>
      </c>
      <c r="W65" s="7">
        <f t="shared" si="42"/>
        <v>13.997815447952672</v>
      </c>
      <c r="X65" s="7">
        <f t="shared" si="42"/>
        <v>14.020848526560686</v>
      </c>
      <c r="Y65" s="7">
        <f t="shared" si="42"/>
        <v>14.217516356220308</v>
      </c>
      <c r="Z65" s="7">
        <f t="shared" si="42"/>
        <v>14.063370136228883</v>
      </c>
    </row>
    <row r="66" spans="1:35" x14ac:dyDescent="0.2">
      <c r="A66" s="4" t="s">
        <v>142</v>
      </c>
      <c r="B66" s="7">
        <f t="shared" ref="B66:S66" si="43">LN(B28)</f>
        <v>6.8101424501151362</v>
      </c>
      <c r="C66" s="7">
        <f t="shared" si="43"/>
        <v>6.7638849085624351</v>
      </c>
      <c r="D66" s="7">
        <f t="shared" si="43"/>
        <v>7.1522688560325394</v>
      </c>
      <c r="E66" s="7">
        <f t="shared" si="43"/>
        <v>7.604396348796338</v>
      </c>
      <c r="F66" s="7">
        <f t="shared" si="43"/>
        <v>8.0330094985966678</v>
      </c>
      <c r="G66" s="7" t="e">
        <f t="shared" si="43"/>
        <v>#NUM!</v>
      </c>
      <c r="H66" s="7">
        <f t="shared" si="43"/>
        <v>8.9254543868264022</v>
      </c>
      <c r="I66" s="7">
        <f t="shared" si="43"/>
        <v>9.5456690978953169</v>
      </c>
      <c r="J66" s="7">
        <f t="shared" si="43"/>
        <v>9.6569474234155219</v>
      </c>
      <c r="K66" s="7">
        <f t="shared" si="43"/>
        <v>10.072343858376511</v>
      </c>
      <c r="L66" s="7">
        <f t="shared" si="43"/>
        <v>10.602865282846709</v>
      </c>
      <c r="M66" s="7">
        <f t="shared" si="43"/>
        <v>11.077717387662826</v>
      </c>
      <c r="N66" s="7">
        <f t="shared" si="43"/>
        <v>11.433535877300715</v>
      </c>
      <c r="O66" s="7">
        <f t="shared" si="43"/>
        <v>12.002486593431495</v>
      </c>
      <c r="P66" s="7">
        <f t="shared" si="43"/>
        <v>12.467513406776728</v>
      </c>
      <c r="Q66" s="7">
        <f t="shared" si="43"/>
        <v>12.971819518504462</v>
      </c>
      <c r="R66" s="7">
        <f t="shared" si="43"/>
        <v>13.274947115934326</v>
      </c>
      <c r="S66" s="7">
        <f t="shared" si="43"/>
        <v>13.550294230228156</v>
      </c>
      <c r="T66" s="7">
        <f t="shared" ref="T66:Z66" si="44">LN(T28)</f>
        <v>13.676087558141598</v>
      </c>
      <c r="U66" s="7">
        <f t="shared" si="44"/>
        <v>13.880099077851886</v>
      </c>
      <c r="V66" s="7">
        <f t="shared" si="44"/>
        <v>13.903997512420473</v>
      </c>
      <c r="W66" s="7">
        <f t="shared" si="44"/>
        <v>14.006230086209271</v>
      </c>
      <c r="X66" s="7">
        <f t="shared" si="44"/>
        <v>14.023288663117627</v>
      </c>
      <c r="Y66" s="7">
        <f t="shared" si="44"/>
        <v>14.081238390059729</v>
      </c>
      <c r="Z66" s="7">
        <f t="shared" si="44"/>
        <v>14.075549042979226</v>
      </c>
    </row>
    <row r="67" spans="1:35" x14ac:dyDescent="0.2">
      <c r="A67" s="4" t="s">
        <v>188</v>
      </c>
      <c r="B67" s="7">
        <f t="shared" ref="B67:Q67" si="45">LN(B29)</f>
        <v>7.2244838865667385</v>
      </c>
      <c r="C67" s="7">
        <f t="shared" si="45"/>
        <v>7.668093709082406</v>
      </c>
      <c r="D67" s="7">
        <f t="shared" si="45"/>
        <v>8.0020248182161104</v>
      </c>
      <c r="E67" s="7">
        <f t="shared" si="45"/>
        <v>8.5241688051526623</v>
      </c>
      <c r="F67" s="7">
        <f t="shared" si="45"/>
        <v>9.2644496976232151</v>
      </c>
      <c r="G67" s="7">
        <f t="shared" si="45"/>
        <v>9.9316375959524734</v>
      </c>
      <c r="H67" s="7">
        <f t="shared" si="45"/>
        <v>10.551218869565592</v>
      </c>
      <c r="I67" s="7">
        <f t="shared" si="45"/>
        <v>11.293275802910275</v>
      </c>
      <c r="J67" s="7">
        <f t="shared" si="45"/>
        <v>11.977665264540866</v>
      </c>
      <c r="K67" s="7">
        <f t="shared" si="45"/>
        <v>12.63160178467408</v>
      </c>
      <c r="L67" s="7">
        <f t="shared" si="45"/>
        <v>13.306416767043043</v>
      </c>
      <c r="M67" s="7">
        <f t="shared" si="45"/>
        <v>13.604542582580198</v>
      </c>
      <c r="N67" s="7">
        <f t="shared" si="45"/>
        <v>13.917164211690775</v>
      </c>
      <c r="O67" s="7">
        <f t="shared" si="45"/>
        <v>14.182026915933864</v>
      </c>
      <c r="P67" s="7">
        <f t="shared" si="45"/>
        <v>14.225618206120433</v>
      </c>
      <c r="Q67" s="7">
        <f t="shared" si="45"/>
        <v>14.287449812677766</v>
      </c>
      <c r="R67" s="7"/>
      <c r="S67" s="7"/>
    </row>
    <row r="68" spans="1:35" x14ac:dyDescent="0.2">
      <c r="A68" s="4" t="s">
        <v>189</v>
      </c>
      <c r="B68" s="7">
        <f t="shared" ref="B68:Q68" si="46">LN(B30)</f>
        <v>7.2244838865667385</v>
      </c>
      <c r="C68" s="7">
        <f t="shared" si="46"/>
        <v>7.6704285221906927</v>
      </c>
      <c r="D68" s="7">
        <f t="shared" si="46"/>
        <v>7.9434277678763729</v>
      </c>
      <c r="E68" s="7">
        <f t="shared" si="46"/>
        <v>8.5161926910826544</v>
      </c>
      <c r="F68" s="7">
        <f t="shared" si="46"/>
        <v>9.2103403719761836</v>
      </c>
      <c r="G68" s="7">
        <f t="shared" si="46"/>
        <v>9.9198529066223919</v>
      </c>
      <c r="H68" s="7">
        <f t="shared" si="46"/>
        <v>10.542495286995425</v>
      </c>
      <c r="I68" s="7">
        <f t="shared" si="46"/>
        <v>11.178850352948738</v>
      </c>
      <c r="J68" s="7">
        <f t="shared" si="46"/>
        <v>11.935575397832494</v>
      </c>
      <c r="K68" s="7">
        <f t="shared" si="46"/>
        <v>12.633690558279472</v>
      </c>
      <c r="L68" s="7">
        <f t="shared" si="46"/>
        <v>13.307148563636256</v>
      </c>
      <c r="M68" s="7">
        <f t="shared" si="46"/>
        <v>13.613639141925605</v>
      </c>
      <c r="N68" s="7">
        <f t="shared" si="46"/>
        <v>13.896389838689897</v>
      </c>
      <c r="O68" s="7">
        <f t="shared" si="46"/>
        <v>14.162201830494048</v>
      </c>
      <c r="P68" s="7">
        <f t="shared" si="46"/>
        <v>14.227580472902309</v>
      </c>
      <c r="Q68" s="7">
        <f t="shared" si="46"/>
        <v>14.292874533282969</v>
      </c>
      <c r="R68" s="7"/>
      <c r="S68" s="7"/>
    </row>
    <row r="69" spans="1:35" x14ac:dyDescent="0.2">
      <c r="A69" s="4" t="s">
        <v>190</v>
      </c>
      <c r="B69" s="7">
        <f t="shared" ref="B69:Q69" si="47">LN(B31)</f>
        <v>7.2244838865667385</v>
      </c>
      <c r="C69" s="7" t="e">
        <f t="shared" si="47"/>
        <v>#NUM!</v>
      </c>
      <c r="D69" s="7">
        <f t="shared" si="47"/>
        <v>7.9624156801210644</v>
      </c>
      <c r="E69" s="7">
        <f t="shared" si="47"/>
        <v>8.5018764873043438</v>
      </c>
      <c r="F69" s="7">
        <f t="shared" si="47"/>
        <v>9.2204887030279981</v>
      </c>
      <c r="G69" s="7">
        <f t="shared" si="47"/>
        <v>9.9239272317735843</v>
      </c>
      <c r="H69" s="7">
        <f t="shared" si="47"/>
        <v>10.543734885735212</v>
      </c>
      <c r="I69" s="7">
        <f t="shared" si="47"/>
        <v>11.220699752468574</v>
      </c>
      <c r="J69" s="7">
        <f t="shared" si="47"/>
        <v>11.936623341339452</v>
      </c>
      <c r="K69" s="7">
        <f t="shared" si="47"/>
        <v>12.611671078083573</v>
      </c>
      <c r="L69" s="7">
        <f t="shared" si="47"/>
        <v>13.287369211988596</v>
      </c>
      <c r="M69" s="7">
        <f t="shared" si="47"/>
        <v>13.608092707111547</v>
      </c>
      <c r="N69" s="7">
        <f t="shared" si="47"/>
        <v>13.902880204101182</v>
      </c>
      <c r="O69" s="7">
        <f t="shared" si="47"/>
        <v>14.154379919185208</v>
      </c>
      <c r="P69" s="7">
        <f t="shared" si="47"/>
        <v>14.236021901611005</v>
      </c>
      <c r="Q69" s="7">
        <f t="shared" si="47"/>
        <v>14.292564276822493</v>
      </c>
      <c r="R69" s="7"/>
      <c r="S69" s="7"/>
    </row>
    <row r="70" spans="1:35" x14ac:dyDescent="0.2">
      <c r="A70" s="4" t="s">
        <v>191</v>
      </c>
      <c r="B70" s="7">
        <f t="shared" ref="B70:Q70" si="48">LN(B32)</f>
        <v>7.2244838865667385</v>
      </c>
      <c r="C70" s="7">
        <f t="shared" si="48"/>
        <v>7.7301747952462216</v>
      </c>
      <c r="D70" s="7">
        <f t="shared" si="48"/>
        <v>8.0965129175015935</v>
      </c>
      <c r="E70" s="7">
        <f t="shared" si="48"/>
        <v>8.6595604327031594</v>
      </c>
      <c r="F70" s="7">
        <f t="shared" si="48"/>
        <v>9.3748373438575854</v>
      </c>
      <c r="G70" s="7">
        <f t="shared" si="48"/>
        <v>10.222886291539478</v>
      </c>
      <c r="H70" s="7">
        <f t="shared" si="48"/>
        <v>10.749656204178475</v>
      </c>
      <c r="I70" s="7">
        <f t="shared" si="48"/>
        <v>11.500447943459116</v>
      </c>
      <c r="J70" s="7">
        <f t="shared" si="48"/>
        <v>12.261128851278253</v>
      </c>
      <c r="K70" s="7">
        <f t="shared" si="48"/>
        <v>12.911938598497894</v>
      </c>
      <c r="L70" s="7">
        <f t="shared" si="48"/>
        <v>13.550450663548773</v>
      </c>
      <c r="M70" s="7">
        <f t="shared" si="48"/>
        <v>13.792937697111881</v>
      </c>
      <c r="N70" s="7">
        <f t="shared" si="48"/>
        <v>14.008458784499444</v>
      </c>
      <c r="O70" s="7">
        <f t="shared" si="48"/>
        <v>14.215145369543126</v>
      </c>
      <c r="P70" s="7">
        <f t="shared" si="48"/>
        <v>14.231308761945558</v>
      </c>
      <c r="Q70" s="7">
        <f t="shared" si="48"/>
        <v>14.248461123007299</v>
      </c>
      <c r="R70" s="7"/>
      <c r="S70" s="7"/>
    </row>
    <row r="71" spans="1:35" x14ac:dyDescent="0.2">
      <c r="A71" s="4" t="s">
        <v>192</v>
      </c>
      <c r="B71" s="7">
        <f t="shared" ref="B71:Q71" si="49">LN(B33)</f>
        <v>7.2244838865667385</v>
      </c>
      <c r="C71" s="7">
        <f t="shared" si="49"/>
        <v>7.6038979685218813</v>
      </c>
      <c r="D71" s="7">
        <f t="shared" si="49"/>
        <v>8.0513409332929786</v>
      </c>
      <c r="E71" s="7">
        <f t="shared" si="49"/>
        <v>8.640648995343156</v>
      </c>
      <c r="F71" s="7">
        <f t="shared" si="49"/>
        <v>9.3638336929332908</v>
      </c>
      <c r="G71" s="7">
        <f t="shared" si="49"/>
        <v>10.140573455973044</v>
      </c>
      <c r="H71" s="7">
        <f t="shared" si="49"/>
        <v>10.742162629061015</v>
      </c>
      <c r="I71" s="7">
        <f t="shared" si="49"/>
        <v>11.475846456728808</v>
      </c>
      <c r="J71" s="7">
        <f t="shared" si="49"/>
        <v>12.266414874536336</v>
      </c>
      <c r="K71" s="7">
        <f t="shared" si="49"/>
        <v>12.914059176286759</v>
      </c>
      <c r="L71" s="7">
        <f t="shared" si="49"/>
        <v>13.546480123877588</v>
      </c>
      <c r="M71" s="7">
        <f t="shared" si="49"/>
        <v>13.780567084366071</v>
      </c>
      <c r="N71" s="7">
        <f t="shared" si="49"/>
        <v>14.00358221784991</v>
      </c>
      <c r="O71" s="7">
        <f t="shared" si="49"/>
        <v>14.206403336889181</v>
      </c>
      <c r="P71" s="7">
        <f t="shared" si="49"/>
        <v>14.233207221336334</v>
      </c>
      <c r="Q71" s="7">
        <f t="shared" si="49"/>
        <v>14.247825300211744</v>
      </c>
      <c r="R71" s="7"/>
      <c r="S71" s="7"/>
    </row>
    <row r="72" spans="1:35" x14ac:dyDescent="0.2">
      <c r="A72" s="4" t="s">
        <v>193</v>
      </c>
      <c r="B72" s="7">
        <f t="shared" ref="B72:Q72" si="50">LN(B34)</f>
        <v>7.2244838865667385</v>
      </c>
      <c r="C72" s="7" t="e">
        <f t="shared" si="50"/>
        <v>#NUM!</v>
      </c>
      <c r="D72" s="7">
        <f t="shared" si="50"/>
        <v>8.0494270571106945</v>
      </c>
      <c r="E72" s="7">
        <f t="shared" si="50"/>
        <v>8.6290922839136464</v>
      </c>
      <c r="F72" s="7">
        <f t="shared" si="50"/>
        <v>9.3377656602314207</v>
      </c>
      <c r="G72" s="7">
        <f t="shared" si="50"/>
        <v>10.134678635429639</v>
      </c>
      <c r="H72" s="7">
        <f t="shared" si="50"/>
        <v>10.737938963793802</v>
      </c>
      <c r="I72" s="7">
        <f t="shared" si="50"/>
        <v>11.472311782084931</v>
      </c>
      <c r="J72" s="7">
        <f t="shared" si="50"/>
        <v>12.244331357647264</v>
      </c>
      <c r="K72" s="7">
        <f t="shared" si="50"/>
        <v>12.885526498958116</v>
      </c>
      <c r="L72" s="7">
        <f t="shared" si="50"/>
        <v>13.54661098481186</v>
      </c>
      <c r="M72" s="7">
        <f t="shared" si="50"/>
        <v>13.788837986548439</v>
      </c>
      <c r="N72" s="7">
        <f t="shared" si="50"/>
        <v>14.001276177160785</v>
      </c>
      <c r="O72" s="7">
        <f t="shared" si="50"/>
        <v>14.199343365945325</v>
      </c>
      <c r="P72" s="7">
        <f t="shared" si="50"/>
        <v>14.227408265802977</v>
      </c>
      <c r="Q72" s="7">
        <f t="shared" si="50"/>
        <v>14.248487066372933</v>
      </c>
      <c r="R72" s="7"/>
      <c r="S72" s="7"/>
    </row>
    <row r="73" spans="1:35" x14ac:dyDescent="0.2">
      <c r="A73" s="4" t="s">
        <v>194</v>
      </c>
      <c r="B73" s="7">
        <f t="shared" ref="B73:Q73" si="51">LN(B35)</f>
        <v>7.2244838865667385</v>
      </c>
      <c r="C73" s="7">
        <f t="shared" si="51"/>
        <v>7.5632005923580712</v>
      </c>
      <c r="D73" s="7">
        <f t="shared" si="51"/>
        <v>7.9355873855891996</v>
      </c>
      <c r="E73" s="7">
        <f t="shared" si="51"/>
        <v>8.5193907749597244</v>
      </c>
      <c r="F73" s="7">
        <f t="shared" si="51"/>
        <v>9.1606247797302505</v>
      </c>
      <c r="G73" s="7">
        <f t="shared" si="51"/>
        <v>9.769899015421748</v>
      </c>
      <c r="H73" s="7">
        <f t="shared" si="51"/>
        <v>10.406351566631425</v>
      </c>
      <c r="I73" s="7">
        <f t="shared" si="51"/>
        <v>11.155678929132538</v>
      </c>
      <c r="J73" s="7">
        <f t="shared" si="51"/>
        <v>11.787826203057277</v>
      </c>
      <c r="K73" s="7">
        <f t="shared" si="51"/>
        <v>12.473960090653776</v>
      </c>
      <c r="L73" s="7">
        <f t="shared" si="51"/>
        <v>13.15610758336849</v>
      </c>
      <c r="M73" s="7">
        <f t="shared" si="51"/>
        <v>13.457406021215947</v>
      </c>
      <c r="N73" s="7">
        <f t="shared" si="51"/>
        <v>13.833527277751072</v>
      </c>
      <c r="O73" s="7">
        <f t="shared" si="51"/>
        <v>14.11597064277527</v>
      </c>
      <c r="P73" s="7">
        <f t="shared" si="51"/>
        <v>14.187170661460078</v>
      </c>
      <c r="Q73" s="7">
        <f t="shared" si="51"/>
        <v>14.252422652209811</v>
      </c>
      <c r="R73" s="7"/>
      <c r="S73" s="7"/>
    </row>
    <row r="74" spans="1:35" x14ac:dyDescent="0.2">
      <c r="A74" s="4" t="s">
        <v>195</v>
      </c>
      <c r="B74" s="7">
        <f t="shared" ref="B74:Q74" si="52">LN(B36)</f>
        <v>7.2244838865667385</v>
      </c>
      <c r="C74" s="7">
        <f t="shared" si="52"/>
        <v>7.5755846515577927</v>
      </c>
      <c r="D74" s="7">
        <f t="shared" si="52"/>
        <v>7.9116905207083388</v>
      </c>
      <c r="E74" s="7">
        <f t="shared" si="52"/>
        <v>8.481358738407021</v>
      </c>
      <c r="F74" s="7">
        <f t="shared" si="52"/>
        <v>9.1104095333511328</v>
      </c>
      <c r="G74" s="7">
        <f t="shared" si="52"/>
        <v>9.7342993741321369</v>
      </c>
      <c r="H74" s="7">
        <f t="shared" si="52"/>
        <v>10.383379629532193</v>
      </c>
      <c r="I74" s="7">
        <f t="shared" si="52"/>
        <v>11.305409169541718</v>
      </c>
      <c r="J74" s="7">
        <f t="shared" si="52"/>
        <v>11.824812226118826</v>
      </c>
      <c r="K74" s="7">
        <f t="shared" si="52"/>
        <v>12.436866855774907</v>
      </c>
      <c r="L74" s="7">
        <f t="shared" si="52"/>
        <v>13.148615748548394</v>
      </c>
      <c r="M74" s="7">
        <f t="shared" si="52"/>
        <v>13.464391579596223</v>
      </c>
      <c r="N74" s="7">
        <f t="shared" si="52"/>
        <v>13.842619760442892</v>
      </c>
      <c r="O74" s="7">
        <f t="shared" si="52"/>
        <v>14.116237179136849</v>
      </c>
      <c r="P74" s="7">
        <f t="shared" si="52"/>
        <v>14.188755458765501</v>
      </c>
      <c r="Q74" s="7">
        <f t="shared" si="52"/>
        <v>14.254320173739021</v>
      </c>
      <c r="R74" s="7"/>
      <c r="S74" s="7"/>
    </row>
    <row r="75" spans="1:35" x14ac:dyDescent="0.2">
      <c r="A75" s="4" t="s">
        <v>196</v>
      </c>
      <c r="B75" s="7">
        <f t="shared" ref="B75:Q75" si="53">LN(B37)</f>
        <v>7.2244838865667385</v>
      </c>
      <c r="C75" s="7" t="e">
        <f t="shared" si="53"/>
        <v>#NUM!</v>
      </c>
      <c r="D75" s="7">
        <f t="shared" si="53"/>
        <v>7.9028571912805816</v>
      </c>
      <c r="E75" s="7">
        <f t="shared" si="53"/>
        <v>8.4992328660392449</v>
      </c>
      <c r="F75" s="7">
        <f t="shared" si="53"/>
        <v>9.1174572444961264</v>
      </c>
      <c r="G75" s="7">
        <f t="shared" si="53"/>
        <v>9.7341217069023891</v>
      </c>
      <c r="H75" s="7">
        <f t="shared" si="53"/>
        <v>10.389702810329402</v>
      </c>
      <c r="I75" s="7">
        <f t="shared" si="53"/>
        <v>11.182196702976082</v>
      </c>
      <c r="J75" s="7">
        <f t="shared" si="53"/>
        <v>11.824226403020644</v>
      </c>
      <c r="K75" s="7">
        <f t="shared" si="53"/>
        <v>12.444223028950905</v>
      </c>
      <c r="L75" s="7">
        <f t="shared" si="53"/>
        <v>13.14389000794861</v>
      </c>
      <c r="M75" s="7">
        <f t="shared" si="53"/>
        <v>13.4411661385139</v>
      </c>
      <c r="N75" s="7">
        <f t="shared" si="53"/>
        <v>13.839168489114909</v>
      </c>
      <c r="O75" s="7">
        <f t="shared" si="53"/>
        <v>14.097586947895222</v>
      </c>
      <c r="P75" s="7">
        <f t="shared" si="53"/>
        <v>14.188342275457735</v>
      </c>
      <c r="Q75" s="7">
        <f t="shared" si="53"/>
        <v>14.250029486463175</v>
      </c>
      <c r="R75" s="7"/>
      <c r="S75" s="7"/>
    </row>
    <row r="78" spans="1:35" s="25" customFormat="1" ht="16" x14ac:dyDescent="0.2">
      <c r="A78" s="24" t="s">
        <v>219</v>
      </c>
      <c r="B78" s="25">
        <v>0</v>
      </c>
      <c r="C78" s="25">
        <v>2</v>
      </c>
      <c r="D78" s="25">
        <v>4</v>
      </c>
      <c r="E78" s="25">
        <v>6</v>
      </c>
      <c r="F78" s="25">
        <v>8</v>
      </c>
      <c r="G78" s="25">
        <v>10</v>
      </c>
      <c r="H78" s="25">
        <v>12</v>
      </c>
      <c r="I78" s="25">
        <v>14</v>
      </c>
      <c r="J78" s="25">
        <v>16</v>
      </c>
      <c r="K78" s="25">
        <v>18</v>
      </c>
      <c r="L78" s="25">
        <v>20</v>
      </c>
      <c r="M78" s="25">
        <v>22</v>
      </c>
      <c r="N78" s="25">
        <v>24</v>
      </c>
      <c r="O78" s="25">
        <v>26</v>
      </c>
      <c r="P78" s="25">
        <v>28</v>
      </c>
      <c r="Q78" s="25">
        <v>30</v>
      </c>
      <c r="R78" s="25">
        <v>32</v>
      </c>
      <c r="S78" s="25">
        <v>34</v>
      </c>
      <c r="T78" s="25">
        <v>36</v>
      </c>
      <c r="U78" s="25">
        <v>38</v>
      </c>
      <c r="V78" s="25">
        <v>40</v>
      </c>
      <c r="W78" s="25">
        <v>42</v>
      </c>
      <c r="X78" s="25">
        <v>44</v>
      </c>
      <c r="Y78" s="25">
        <v>46</v>
      </c>
      <c r="Z78" s="25">
        <v>48</v>
      </c>
      <c r="AF78" s="20" t="s">
        <v>290</v>
      </c>
      <c r="AG78" s="21" t="s">
        <v>291</v>
      </c>
      <c r="AH78" s="21" t="s">
        <v>292</v>
      </c>
      <c r="AI78" s="21" t="s">
        <v>293</v>
      </c>
    </row>
    <row r="79" spans="1:35" s="10" customFormat="1" x14ac:dyDescent="0.2">
      <c r="A79" s="9" t="s">
        <v>242</v>
      </c>
      <c r="B79" s="11">
        <f>AVERAGE(B40:B42)</f>
        <v>7.6350913032787808</v>
      </c>
      <c r="C79" s="11">
        <f t="shared" ref="C79:K79" si="54">AVERAGE(C40:C42)</f>
        <v>7.8016565724421305</v>
      </c>
      <c r="D79" s="11">
        <f t="shared" si="54"/>
        <v>7.7569629671145597</v>
      </c>
      <c r="E79" s="11">
        <f t="shared" si="54"/>
        <v>7.9343850706171564</v>
      </c>
      <c r="F79" s="11">
        <f t="shared" si="54"/>
        <v>7.8446163671426445</v>
      </c>
      <c r="G79" s="11">
        <f t="shared" si="54"/>
        <v>7.9011564378090746</v>
      </c>
      <c r="H79" s="11">
        <f t="shared" si="54"/>
        <v>7.8647176118781053</v>
      </c>
      <c r="I79" s="11">
        <f t="shared" si="54"/>
        <v>7.8561848496039461</v>
      </c>
      <c r="J79" s="11">
        <f t="shared" si="54"/>
        <v>7.8430242358677953</v>
      </c>
      <c r="K79" s="11">
        <f t="shared" si="54"/>
        <v>8.0279842327148927</v>
      </c>
    </row>
    <row r="80" spans="1:35" s="10" customFormat="1" x14ac:dyDescent="0.2">
      <c r="A80" s="9" t="s">
        <v>241</v>
      </c>
      <c r="B80" s="11">
        <f t="shared" ref="B80:K80" si="55">AVERAGE(B43:B45)</f>
        <v>7.6350913032787808</v>
      </c>
      <c r="C80" s="11">
        <f t="shared" si="55"/>
        <v>7.8043713185429509</v>
      </c>
      <c r="D80" s="11">
        <f t="shared" si="55"/>
        <v>7.6790871786183343</v>
      </c>
      <c r="E80" s="11">
        <f t="shared" si="55"/>
        <v>7.8667035800970071</v>
      </c>
      <c r="F80" s="11">
        <f t="shared" si="55"/>
        <v>7.7949977941980224</v>
      </c>
      <c r="G80" s="11">
        <f t="shared" si="55"/>
        <v>7.8186332529522788</v>
      </c>
      <c r="H80" s="11">
        <f t="shared" si="55"/>
        <v>7.8140759189724092</v>
      </c>
      <c r="I80" s="11">
        <f t="shared" si="55"/>
        <v>7.8352743980059607</v>
      </c>
      <c r="J80" s="11">
        <f t="shared" si="55"/>
        <v>7.7615624129822001</v>
      </c>
      <c r="K80" s="11">
        <f t="shared" si="55"/>
        <v>7.8174754042487917</v>
      </c>
      <c r="AF80" s="6"/>
      <c r="AG80" s="6"/>
      <c r="AH80" s="6"/>
      <c r="AI80" s="6"/>
    </row>
    <row r="81" spans="1:35" s="10" customFormat="1" x14ac:dyDescent="0.2">
      <c r="A81" s="9" t="s">
        <v>240</v>
      </c>
      <c r="B81" s="11">
        <f t="shared" ref="B81:K81" si="56">AVERAGE(B46:B48)</f>
        <v>7.6350913032787808</v>
      </c>
      <c r="C81" s="11">
        <f t="shared" si="56"/>
        <v>7.7554384511940624</v>
      </c>
      <c r="D81" s="11">
        <f t="shared" si="56"/>
        <v>7.7068956631224923</v>
      </c>
      <c r="E81" s="11">
        <f t="shared" si="56"/>
        <v>7.7845565636693443</v>
      </c>
      <c r="F81" s="11">
        <f t="shared" si="56"/>
        <v>7.8108781098401501</v>
      </c>
      <c r="G81" s="11">
        <f t="shared" si="56"/>
        <v>7.8864975162758455</v>
      </c>
      <c r="H81" s="11">
        <f t="shared" si="56"/>
        <v>7.8703210917897453</v>
      </c>
      <c r="I81" s="11">
        <f t="shared" si="56"/>
        <v>7.8836063908931848</v>
      </c>
      <c r="J81" s="11">
        <f t="shared" si="56"/>
        <v>7.8054815323664792</v>
      </c>
      <c r="K81" s="11">
        <f t="shared" si="56"/>
        <v>7.8590294093843118</v>
      </c>
      <c r="AF81" s="6"/>
      <c r="AG81" s="6"/>
      <c r="AH81" s="6"/>
      <c r="AI81" s="6"/>
    </row>
    <row r="82" spans="1:35" s="10" customFormat="1" x14ac:dyDescent="0.2">
      <c r="A82" s="9" t="s">
        <v>239</v>
      </c>
      <c r="B82" s="11">
        <f t="shared" ref="B82:K82" si="57">AVERAGE(B49:B51)</f>
        <v>7.6350913032787808</v>
      </c>
      <c r="C82" s="11">
        <f t="shared" si="57"/>
        <v>7.7425132539752246</v>
      </c>
      <c r="D82" s="11">
        <f t="shared" si="57"/>
        <v>7.7784001542734851</v>
      </c>
      <c r="E82" s="11">
        <f t="shared" si="57"/>
        <v>8.0589228393598393</v>
      </c>
      <c r="F82" s="11">
        <f t="shared" si="57"/>
        <v>8.2513986241352857</v>
      </c>
      <c r="G82" s="11">
        <f t="shared" si="57"/>
        <v>8.6459886674859767</v>
      </c>
      <c r="H82" s="11">
        <f t="shared" si="57"/>
        <v>9.1419108515590732</v>
      </c>
      <c r="I82" s="11">
        <f t="shared" si="57"/>
        <v>9.8225376946907179</v>
      </c>
      <c r="J82" s="11">
        <f t="shared" si="57"/>
        <v>10.18680863408621</v>
      </c>
      <c r="K82" s="11">
        <f t="shared" si="57"/>
        <v>10.728816470250726</v>
      </c>
      <c r="L82" s="11">
        <f t="shared" ref="L82:S82" si="58">AVERAGE(L49:L51)</f>
        <v>11.515374665801678</v>
      </c>
      <c r="M82" s="11">
        <f t="shared" si="58"/>
        <v>12.11594814014348</v>
      </c>
      <c r="N82" s="11">
        <f t="shared" si="58"/>
        <v>12.768924181873558</v>
      </c>
      <c r="O82" s="11">
        <f t="shared" si="58"/>
        <v>13.188222152911569</v>
      </c>
      <c r="P82" s="11">
        <f t="shared" si="58"/>
        <v>13.60375669085257</v>
      </c>
      <c r="Q82" s="11">
        <f t="shared" si="58"/>
        <v>13.86400834057428</v>
      </c>
      <c r="R82" s="11">
        <f t="shared" si="58"/>
        <v>14.131141815384479</v>
      </c>
      <c r="S82" s="11">
        <f t="shared" si="58"/>
        <v>14.073064459608673</v>
      </c>
      <c r="U82" s="12">
        <v>0.27060000000000001</v>
      </c>
      <c r="AF82" s="6">
        <v>6</v>
      </c>
      <c r="AG82" s="6">
        <v>28</v>
      </c>
      <c r="AH82" s="6">
        <v>0.27060000000000001</v>
      </c>
      <c r="AI82" s="6">
        <v>0.99211000000000005</v>
      </c>
    </row>
    <row r="83" spans="1:35" s="10" customFormat="1" x14ac:dyDescent="0.2">
      <c r="A83" s="9" t="s">
        <v>238</v>
      </c>
      <c r="B83" s="11">
        <f t="shared" ref="B83:K83" si="59">AVERAGE(B52:B54)</f>
        <v>7.6350913032787808</v>
      </c>
      <c r="C83" s="11">
        <f t="shared" si="59"/>
        <v>7.8989021132504824</v>
      </c>
      <c r="D83" s="11">
        <f t="shared" si="59"/>
        <v>7.7403384369951169</v>
      </c>
      <c r="E83" s="11">
        <f t="shared" si="59"/>
        <v>8.0443276727195681</v>
      </c>
      <c r="F83" s="11">
        <f t="shared" si="59"/>
        <v>8.1776897133168251</v>
      </c>
      <c r="G83" s="11">
        <f t="shared" si="59"/>
        <v>8.5106149970058258</v>
      </c>
      <c r="H83" s="11">
        <f t="shared" si="59"/>
        <v>8.912730856290521</v>
      </c>
      <c r="I83" s="11">
        <f t="shared" si="59"/>
        <v>9.5443926967963097</v>
      </c>
      <c r="J83" s="11">
        <f t="shared" si="59"/>
        <v>9.9603040092503985</v>
      </c>
      <c r="K83" s="11">
        <f t="shared" si="59"/>
        <v>10.552544930056941</v>
      </c>
      <c r="L83" s="11">
        <f t="shared" ref="L83:S83" si="60">AVERAGE(L52:L54)</f>
        <v>11.197853782368655</v>
      </c>
      <c r="M83" s="11">
        <f t="shared" si="60"/>
        <v>11.802254167069622</v>
      </c>
      <c r="N83" s="11">
        <f t="shared" si="60"/>
        <v>12.47327037351449</v>
      </c>
      <c r="O83" s="11">
        <f t="shared" si="60"/>
        <v>12.853042496582978</v>
      </c>
      <c r="P83" s="11">
        <f t="shared" si="60"/>
        <v>13.414264637333227</v>
      </c>
      <c r="Q83" s="11">
        <f t="shared" si="60"/>
        <v>13.723918132870986</v>
      </c>
      <c r="R83" s="11">
        <f t="shared" si="60"/>
        <v>13.994284650137653</v>
      </c>
      <c r="S83" s="11">
        <f t="shared" si="60"/>
        <v>13.994123958254093</v>
      </c>
      <c r="U83" s="12">
        <v>0.26029999999999998</v>
      </c>
      <c r="V83" s="12">
        <f>AVERAGE(U82:U84)</f>
        <v>0.26466666666666666</v>
      </c>
      <c r="W83" s="12">
        <f>STDEV(U82:U84)</f>
        <v>5.3257237379846769E-3</v>
      </c>
      <c r="AF83" s="6">
        <v>6</v>
      </c>
      <c r="AG83" s="6">
        <v>28</v>
      </c>
      <c r="AH83" s="6">
        <v>0.26029999999999998</v>
      </c>
      <c r="AI83" s="6">
        <v>0.98890999999999996</v>
      </c>
    </row>
    <row r="84" spans="1:35" s="10" customFormat="1" x14ac:dyDescent="0.2">
      <c r="A84" s="9" t="s">
        <v>237</v>
      </c>
      <c r="B84" s="11">
        <f t="shared" ref="B84:K84" si="61">AVERAGE(B55:B57)</f>
        <v>7.6350913032787808</v>
      </c>
      <c r="C84" s="11">
        <f t="shared" si="61"/>
        <v>7.8032986968676674</v>
      </c>
      <c r="D84" s="11">
        <f t="shared" si="61"/>
        <v>7.8125380212611901</v>
      </c>
      <c r="E84" s="11">
        <f t="shared" si="61"/>
        <v>8.0605753295566274</v>
      </c>
      <c r="F84" s="11">
        <f t="shared" si="61"/>
        <v>8.2826183285412593</v>
      </c>
      <c r="G84" s="11">
        <f t="shared" si="61"/>
        <v>8.6209863937801963</v>
      </c>
      <c r="H84" s="11">
        <f t="shared" si="61"/>
        <v>9.0642228780481204</v>
      </c>
      <c r="I84" s="11">
        <f t="shared" si="61"/>
        <v>9.6630216318165374</v>
      </c>
      <c r="J84" s="11">
        <f t="shared" si="61"/>
        <v>10.092021005442975</v>
      </c>
      <c r="K84" s="11">
        <f t="shared" si="61"/>
        <v>10.623220553756218</v>
      </c>
      <c r="L84" s="11">
        <f t="shared" ref="L84:S84" si="62">AVERAGE(L55:L57)</f>
        <v>11.322236678816564</v>
      </c>
      <c r="M84" s="11">
        <f t="shared" si="62"/>
        <v>11.93121776022676</v>
      </c>
      <c r="N84" s="11">
        <f t="shared" si="62"/>
        <v>12.59842461032863</v>
      </c>
      <c r="O84" s="11">
        <f t="shared" si="62"/>
        <v>13.045538337681299</v>
      </c>
      <c r="P84" s="11">
        <f t="shared" si="62"/>
        <v>13.507324379785976</v>
      </c>
      <c r="Q84" s="11">
        <f t="shared" si="62"/>
        <v>13.839914966417913</v>
      </c>
      <c r="R84" s="11">
        <f t="shared" si="62"/>
        <v>13.951534288838076</v>
      </c>
      <c r="S84" s="11">
        <f t="shared" si="62"/>
        <v>13.908423288295589</v>
      </c>
      <c r="U84" s="12">
        <v>0.2631</v>
      </c>
      <c r="AF84" s="6">
        <v>6</v>
      </c>
      <c r="AG84" s="6">
        <v>28</v>
      </c>
      <c r="AH84" s="6">
        <v>0.2631</v>
      </c>
      <c r="AI84" s="6">
        <v>0.99104000000000003</v>
      </c>
    </row>
    <row r="85" spans="1:35" s="10" customFormat="1" x14ac:dyDescent="0.2">
      <c r="A85" s="9" t="s">
        <v>236</v>
      </c>
      <c r="B85" s="11">
        <f t="shared" ref="B85:S85" si="63">AVERAGE(B58:B60)</f>
        <v>6.8034347123260126</v>
      </c>
      <c r="C85" s="11">
        <f t="shared" si="63"/>
        <v>6.6601305550772123</v>
      </c>
      <c r="D85" s="11">
        <f t="shared" si="63"/>
        <v>6.8993707231121695</v>
      </c>
      <c r="E85" s="11">
        <f t="shared" si="63"/>
        <v>6.9946991522482103</v>
      </c>
      <c r="F85" s="11">
        <f t="shared" si="63"/>
        <v>7.3401354963069991</v>
      </c>
      <c r="G85" s="11"/>
      <c r="H85" s="11"/>
      <c r="I85" s="11">
        <f t="shared" si="63"/>
        <v>8.5222748801961643</v>
      </c>
      <c r="J85" s="11">
        <f t="shared" si="63"/>
        <v>8.7730117263328413</v>
      </c>
      <c r="K85" s="11">
        <f t="shared" si="63"/>
        <v>9.0979754178387058</v>
      </c>
      <c r="L85" s="11">
        <f t="shared" si="63"/>
        <v>9.6238575989651398</v>
      </c>
      <c r="M85" s="11">
        <f t="shared" si="63"/>
        <v>9.9929870958724649</v>
      </c>
      <c r="N85" s="11">
        <f t="shared" si="63"/>
        <v>10.415740993866686</v>
      </c>
      <c r="O85" s="11">
        <f t="shared" si="63"/>
        <v>10.817348324260593</v>
      </c>
      <c r="P85" s="11">
        <f t="shared" si="63"/>
        <v>11.28074778436879</v>
      </c>
      <c r="Q85" s="11">
        <f t="shared" si="63"/>
        <v>11.641748018260891</v>
      </c>
      <c r="R85" s="11">
        <f t="shared" si="63"/>
        <v>12.119519771169877</v>
      </c>
      <c r="S85" s="11">
        <f t="shared" si="63"/>
        <v>12.469199682984836</v>
      </c>
      <c r="T85" s="11">
        <f t="shared" ref="T85:Z85" si="64">AVERAGE(T58:T60)</f>
        <v>12.791422729637054</v>
      </c>
      <c r="U85" s="11">
        <f t="shared" si="64"/>
        <v>13.188779094013976</v>
      </c>
      <c r="V85" s="11">
        <f t="shared" si="64"/>
        <v>13.386292036009635</v>
      </c>
      <c r="W85" s="11">
        <f t="shared" si="64"/>
        <v>13.576123456379078</v>
      </c>
      <c r="X85" s="11">
        <f t="shared" si="64"/>
        <v>13.670350913685377</v>
      </c>
      <c r="Y85" s="11">
        <f t="shared" si="64"/>
        <v>13.755348623579806</v>
      </c>
      <c r="Z85" s="11">
        <f t="shared" si="64"/>
        <v>13.782948008568818</v>
      </c>
      <c r="AB85" s="12">
        <v>0.1971</v>
      </c>
      <c r="AF85" s="6">
        <v>6</v>
      </c>
      <c r="AG85" s="6">
        <v>38</v>
      </c>
      <c r="AH85" s="6">
        <v>0.1971</v>
      </c>
      <c r="AI85" s="6">
        <v>0.99865000000000004</v>
      </c>
    </row>
    <row r="86" spans="1:35" s="10" customFormat="1" x14ac:dyDescent="0.2">
      <c r="A86" s="9" t="s">
        <v>235</v>
      </c>
      <c r="B86" s="11">
        <f t="shared" ref="B86:S86" si="65">AVERAGE(B61:B63)</f>
        <v>6.5104075964185988</v>
      </c>
      <c r="C86" s="11">
        <f t="shared" si="65"/>
        <v>6.6191482051643158</v>
      </c>
      <c r="D86" s="11">
        <f t="shared" si="65"/>
        <v>6.59118472354674</v>
      </c>
      <c r="E86" s="11">
        <f t="shared" si="65"/>
        <v>7.0869974471917772</v>
      </c>
      <c r="F86" s="11">
        <f t="shared" si="65"/>
        <v>7.2249265461910399</v>
      </c>
      <c r="G86" s="11"/>
      <c r="H86" s="11"/>
      <c r="I86" s="11">
        <f t="shared" si="65"/>
        <v>8.2708886280812717</v>
      </c>
      <c r="J86" s="11">
        <f t="shared" si="65"/>
        <v>8.4438497921386766</v>
      </c>
      <c r="K86" s="11">
        <f t="shared" si="65"/>
        <v>8.7533108255872438</v>
      </c>
      <c r="L86" s="11">
        <f t="shared" si="65"/>
        <v>9.2232953370120327</v>
      </c>
      <c r="M86" s="11">
        <f t="shared" si="65"/>
        <v>9.5580852582182469</v>
      </c>
      <c r="N86" s="11">
        <f t="shared" si="65"/>
        <v>9.9232674223401673</v>
      </c>
      <c r="O86" s="11">
        <f t="shared" si="65"/>
        <v>10.284411890905782</v>
      </c>
      <c r="P86" s="11">
        <f t="shared" si="65"/>
        <v>10.649346558894068</v>
      </c>
      <c r="Q86" s="11">
        <f t="shared" si="65"/>
        <v>11.059446333510293</v>
      </c>
      <c r="R86" s="11">
        <f t="shared" si="65"/>
        <v>11.420066383190621</v>
      </c>
      <c r="S86" s="11">
        <f t="shared" si="65"/>
        <v>11.821963254764947</v>
      </c>
      <c r="T86" s="11">
        <f t="shared" ref="T86:Z86" si="66">AVERAGE(T61:T63)</f>
        <v>12.170331749967096</v>
      </c>
      <c r="U86" s="11">
        <f t="shared" si="66"/>
        <v>12.612581377454596</v>
      </c>
      <c r="V86" s="11">
        <f t="shared" si="66"/>
        <v>12.972916351160377</v>
      </c>
      <c r="W86" s="11">
        <f t="shared" si="66"/>
        <v>13.268042614676874</v>
      </c>
      <c r="X86" s="11">
        <f t="shared" si="66"/>
        <v>13.443439537719534</v>
      </c>
      <c r="Y86" s="11">
        <f t="shared" si="66"/>
        <v>13.631105737008374</v>
      </c>
      <c r="Z86" s="11">
        <f t="shared" si="66"/>
        <v>13.732878840392772</v>
      </c>
      <c r="AB86" s="12">
        <v>0.17630000000000001</v>
      </c>
      <c r="AC86" s="12">
        <f>AVERAGE(AB85:AB87)</f>
        <v>0.19326666666666667</v>
      </c>
      <c r="AD86" s="12">
        <f>STDEV(AB85:AB87)</f>
        <v>1.5411792022128157E-2</v>
      </c>
      <c r="AF86" s="6">
        <v>6</v>
      </c>
      <c r="AG86" s="6">
        <v>38</v>
      </c>
      <c r="AH86" s="6">
        <v>0.17630000000000001</v>
      </c>
      <c r="AI86" s="6">
        <v>0.99570999999999998</v>
      </c>
    </row>
    <row r="87" spans="1:35" s="10" customFormat="1" x14ac:dyDescent="0.2">
      <c r="A87" s="9" t="s">
        <v>234</v>
      </c>
      <c r="B87" s="11">
        <f t="shared" ref="B87:S87" si="67">AVERAGE(B64:B66)</f>
        <v>6.8610463192799811</v>
      </c>
      <c r="C87" s="11">
        <f t="shared" si="67"/>
        <v>6.7561400672796559</v>
      </c>
      <c r="D87" s="11">
        <f t="shared" si="67"/>
        <v>7.1368602561526124</v>
      </c>
      <c r="E87" s="11">
        <f t="shared" si="67"/>
        <v>7.607048432519302</v>
      </c>
      <c r="F87" s="11">
        <f t="shared" si="67"/>
        <v>8.0375109020764697</v>
      </c>
      <c r="G87" s="11"/>
      <c r="H87" s="11">
        <f t="shared" si="67"/>
        <v>8.9367476156584598</v>
      </c>
      <c r="I87" s="11">
        <f t="shared" si="67"/>
        <v>9.5507033754487392</v>
      </c>
      <c r="J87" s="11">
        <f t="shared" si="67"/>
        <v>9.6335950188989443</v>
      </c>
      <c r="K87" s="11">
        <f t="shared" si="67"/>
        <v>10.078191022824596</v>
      </c>
      <c r="L87" s="11">
        <f t="shared" si="67"/>
        <v>10.602235091017427</v>
      </c>
      <c r="M87" s="11">
        <f t="shared" si="67"/>
        <v>11.016087055460867</v>
      </c>
      <c r="N87" s="11">
        <f t="shared" si="67"/>
        <v>11.451892575182887</v>
      </c>
      <c r="O87" s="11">
        <f t="shared" si="67"/>
        <v>12.002075218508272</v>
      </c>
      <c r="P87" s="11">
        <f t="shared" si="67"/>
        <v>12.465348060963327</v>
      </c>
      <c r="Q87" s="11">
        <f t="shared" si="67"/>
        <v>12.983132338279887</v>
      </c>
      <c r="R87" s="11">
        <f t="shared" si="67"/>
        <v>13.280381353959056</v>
      </c>
      <c r="S87" s="11">
        <f t="shared" si="67"/>
        <v>13.556193219793746</v>
      </c>
      <c r="T87" s="11">
        <f t="shared" ref="T87:Z87" si="68">AVERAGE(T64:T66)</f>
        <v>13.682456508350024</v>
      </c>
      <c r="U87" s="11">
        <f t="shared" si="68"/>
        <v>13.875551979389442</v>
      </c>
      <c r="V87" s="11">
        <f t="shared" si="68"/>
        <v>13.902903834974905</v>
      </c>
      <c r="W87" s="11">
        <f t="shared" si="68"/>
        <v>14.00483256009209</v>
      </c>
      <c r="X87" s="11">
        <f t="shared" si="68"/>
        <v>14.020470796660383</v>
      </c>
      <c r="Y87" s="11">
        <f t="shared" si="68"/>
        <v>14.172317742068394</v>
      </c>
      <c r="Z87" s="11">
        <f t="shared" si="68"/>
        <v>14.070238005825582</v>
      </c>
      <c r="AB87" s="12">
        <v>0.2064</v>
      </c>
      <c r="AF87" s="6">
        <v>6</v>
      </c>
      <c r="AG87" s="6">
        <v>38</v>
      </c>
      <c r="AH87" s="6">
        <v>0.2064</v>
      </c>
      <c r="AI87" s="6">
        <v>0.99136999999999997</v>
      </c>
    </row>
    <row r="88" spans="1:35" s="10" customFormat="1" x14ac:dyDescent="0.2">
      <c r="A88" s="9" t="s">
        <v>233</v>
      </c>
      <c r="B88" s="11">
        <f t="shared" ref="B88:Q88" si="69">AVERAGE(B67:B69)</f>
        <v>7.2244838865667385</v>
      </c>
      <c r="C88" s="11"/>
      <c r="D88" s="11">
        <f t="shared" si="69"/>
        <v>7.9692894220711823</v>
      </c>
      <c r="E88" s="11">
        <f t="shared" si="69"/>
        <v>8.5140793278465541</v>
      </c>
      <c r="F88" s="11">
        <f t="shared" si="69"/>
        <v>9.2317595908757983</v>
      </c>
      <c r="G88" s="11">
        <f t="shared" si="69"/>
        <v>9.9251392447828177</v>
      </c>
      <c r="H88" s="11">
        <f t="shared" si="69"/>
        <v>10.545816347432076</v>
      </c>
      <c r="I88" s="11">
        <f t="shared" si="69"/>
        <v>11.230941969442528</v>
      </c>
      <c r="J88" s="11">
        <f t="shared" si="69"/>
        <v>11.949954667904271</v>
      </c>
      <c r="K88" s="11">
        <f t="shared" si="69"/>
        <v>12.625654473679042</v>
      </c>
      <c r="L88" s="11">
        <f t="shared" si="69"/>
        <v>13.300311514222633</v>
      </c>
      <c r="M88" s="11">
        <f t="shared" si="69"/>
        <v>13.60875814387245</v>
      </c>
      <c r="N88" s="11">
        <f t="shared" si="69"/>
        <v>13.905478084827285</v>
      </c>
      <c r="O88" s="11">
        <f t="shared" si="69"/>
        <v>14.166202888537706</v>
      </c>
      <c r="P88" s="11">
        <f t="shared" si="69"/>
        <v>14.229740193544581</v>
      </c>
      <c r="Q88" s="11">
        <f t="shared" si="69"/>
        <v>14.290962874261075</v>
      </c>
      <c r="R88" s="11"/>
      <c r="S88" s="12">
        <v>0.32819999999999999</v>
      </c>
      <c r="AF88" s="6">
        <v>4</v>
      </c>
      <c r="AG88" s="6">
        <v>22</v>
      </c>
      <c r="AH88" s="6">
        <v>0.32719999999999999</v>
      </c>
      <c r="AI88" s="6">
        <v>0.99743999999999999</v>
      </c>
    </row>
    <row r="89" spans="1:35" s="10" customFormat="1" x14ac:dyDescent="0.2">
      <c r="A89" s="9" t="s">
        <v>232</v>
      </c>
      <c r="B89" s="11">
        <f t="shared" ref="B89:Q89" si="70">AVERAGE(B70:B72)</f>
        <v>7.2244838865667385</v>
      </c>
      <c r="C89" s="11"/>
      <c r="D89" s="11">
        <f t="shared" si="70"/>
        <v>8.0657603026350895</v>
      </c>
      <c r="E89" s="11">
        <f t="shared" si="70"/>
        <v>8.6431005706533206</v>
      </c>
      <c r="F89" s="11">
        <f t="shared" si="70"/>
        <v>9.3588122323407656</v>
      </c>
      <c r="G89" s="11">
        <f t="shared" si="70"/>
        <v>10.166046127647386</v>
      </c>
      <c r="H89" s="11">
        <f t="shared" si="70"/>
        <v>10.743252599011099</v>
      </c>
      <c r="I89" s="11">
        <f t="shared" si="70"/>
        <v>11.482868727424284</v>
      </c>
      <c r="J89" s="11">
        <f t="shared" si="70"/>
        <v>12.257291694487284</v>
      </c>
      <c r="K89" s="11">
        <f t="shared" si="70"/>
        <v>12.903841424580923</v>
      </c>
      <c r="L89" s="11">
        <f t="shared" si="70"/>
        <v>13.547847257412741</v>
      </c>
      <c r="M89" s="11">
        <f t="shared" si="70"/>
        <v>13.787447589342129</v>
      </c>
      <c r="N89" s="11">
        <f t="shared" si="70"/>
        <v>14.004439059836713</v>
      </c>
      <c r="O89" s="11">
        <f t="shared" si="70"/>
        <v>14.206964024125876</v>
      </c>
      <c r="P89" s="11">
        <f t="shared" si="70"/>
        <v>14.230641416361623</v>
      </c>
      <c r="Q89" s="11">
        <f t="shared" si="70"/>
        <v>14.248257829863993</v>
      </c>
      <c r="R89" s="11"/>
      <c r="S89" s="12">
        <v>0.33450000000000002</v>
      </c>
      <c r="T89" s="12">
        <f>AVERAGE(S88:S90)</f>
        <v>0.32843333333333335</v>
      </c>
      <c r="U89" s="12">
        <f>STDEV(S88:S90)</f>
        <v>5.9534303836807781E-3</v>
      </c>
      <c r="AF89" s="6">
        <v>4</v>
      </c>
      <c r="AG89" s="6">
        <v>22</v>
      </c>
      <c r="AH89" s="6">
        <v>0.33510000000000001</v>
      </c>
      <c r="AI89" s="6">
        <v>0.99509999999999998</v>
      </c>
    </row>
    <row r="90" spans="1:35" s="10" customFormat="1" x14ac:dyDescent="0.2">
      <c r="A90" s="9" t="s">
        <v>231</v>
      </c>
      <c r="B90" s="11">
        <f t="shared" ref="B90:P90" si="71">AVERAGE(B73:B75)</f>
        <v>7.2244838865667385</v>
      </c>
      <c r="C90" s="11"/>
      <c r="D90" s="11">
        <f t="shared" si="71"/>
        <v>7.9167116991927067</v>
      </c>
      <c r="E90" s="11">
        <f t="shared" si="71"/>
        <v>8.499994126468664</v>
      </c>
      <c r="F90" s="11">
        <f t="shared" si="71"/>
        <v>9.1294971858591705</v>
      </c>
      <c r="G90" s="11">
        <f t="shared" si="71"/>
        <v>9.7461066988187586</v>
      </c>
      <c r="H90" s="11">
        <f t="shared" si="71"/>
        <v>10.393144668831006</v>
      </c>
      <c r="I90" s="11">
        <f t="shared" si="71"/>
        <v>11.21442826721678</v>
      </c>
      <c r="J90" s="11">
        <f t="shared" si="71"/>
        <v>11.812288277398915</v>
      </c>
      <c r="K90" s="11">
        <f t="shared" si="71"/>
        <v>12.451683325126529</v>
      </c>
      <c r="L90" s="11">
        <f t="shared" si="71"/>
        <v>13.149537779955162</v>
      </c>
      <c r="M90" s="11">
        <f t="shared" si="71"/>
        <v>13.454321246442023</v>
      </c>
      <c r="N90" s="11">
        <f t="shared" si="71"/>
        <v>13.838438509102957</v>
      </c>
      <c r="O90" s="11">
        <f t="shared" si="71"/>
        <v>14.109931589935782</v>
      </c>
      <c r="P90" s="11">
        <f t="shared" si="71"/>
        <v>14.188089465227771</v>
      </c>
      <c r="Q90" s="11">
        <f>AVERAGE(Q73:Q75)</f>
        <v>14.25225743747067</v>
      </c>
      <c r="R90" s="11"/>
      <c r="S90" s="12">
        <v>0.3226</v>
      </c>
      <c r="AF90" s="6">
        <v>4</v>
      </c>
      <c r="AG90" s="6">
        <v>22</v>
      </c>
      <c r="AH90" s="6">
        <v>0.32129999999999997</v>
      </c>
      <c r="AI90" s="6">
        <v>0.99717999999999996</v>
      </c>
    </row>
    <row r="91" spans="1:35" x14ac:dyDescent="0.2">
      <c r="B91" s="7"/>
      <c r="C91" s="7"/>
      <c r="D91" s="7"/>
      <c r="E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1:35" s="16" customFormat="1" x14ac:dyDescent="0.2">
      <c r="A92" s="15" t="s">
        <v>267</v>
      </c>
      <c r="B92" s="16">
        <v>0</v>
      </c>
      <c r="C92" s="16">
        <v>2</v>
      </c>
      <c r="D92" s="16">
        <v>4</v>
      </c>
      <c r="E92" s="17">
        <v>6</v>
      </c>
      <c r="F92" s="17">
        <v>8</v>
      </c>
      <c r="G92" s="17">
        <v>10</v>
      </c>
      <c r="H92" s="17">
        <v>12</v>
      </c>
      <c r="I92" s="17">
        <v>14</v>
      </c>
      <c r="J92" s="17">
        <v>16</v>
      </c>
      <c r="K92" s="17">
        <v>18</v>
      </c>
      <c r="L92" s="17">
        <v>20</v>
      </c>
      <c r="M92" s="17">
        <v>22</v>
      </c>
      <c r="N92" s="17">
        <v>24</v>
      </c>
      <c r="O92" s="17">
        <v>26</v>
      </c>
      <c r="P92" s="17">
        <v>28</v>
      </c>
      <c r="Q92" s="17">
        <v>30</v>
      </c>
      <c r="R92" s="17">
        <v>32</v>
      </c>
      <c r="S92" s="17">
        <v>34</v>
      </c>
      <c r="T92" s="17">
        <v>36</v>
      </c>
      <c r="U92" s="17">
        <v>38</v>
      </c>
      <c r="V92" s="17">
        <v>40</v>
      </c>
      <c r="W92" s="17">
        <v>42</v>
      </c>
      <c r="X92" s="17">
        <v>44</v>
      </c>
      <c r="Y92" s="17">
        <v>46</v>
      </c>
      <c r="Z92" s="17">
        <v>48</v>
      </c>
    </row>
    <row r="93" spans="1:35" s="16" customFormat="1" x14ac:dyDescent="0.2">
      <c r="A93" s="15" t="s">
        <v>242</v>
      </c>
      <c r="B93" s="18">
        <f>AVERAGE(B2:B4)</f>
        <v>2069.56</v>
      </c>
      <c r="C93" s="18">
        <f t="shared" ref="C93:K93" si="72">AVERAGE(C2:C4)</f>
        <v>2444.6666666666665</v>
      </c>
      <c r="D93" s="18">
        <f t="shared" si="72"/>
        <v>2338</v>
      </c>
      <c r="E93" s="18">
        <f t="shared" si="72"/>
        <v>2791.6666666666665</v>
      </c>
      <c r="F93" s="18">
        <f t="shared" si="72"/>
        <v>2552.6666666666665</v>
      </c>
      <c r="G93" s="18">
        <f t="shared" si="72"/>
        <v>2700.6666666666665</v>
      </c>
      <c r="H93" s="18">
        <f t="shared" si="72"/>
        <v>2605</v>
      </c>
      <c r="I93" s="18">
        <f t="shared" si="72"/>
        <v>2581.6666666666665</v>
      </c>
      <c r="J93" s="18">
        <f t="shared" si="72"/>
        <v>2548</v>
      </c>
      <c r="K93" s="18">
        <f t="shared" si="72"/>
        <v>3066</v>
      </c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35" s="16" customFormat="1" x14ac:dyDescent="0.2">
      <c r="A94" s="15" t="s">
        <v>241</v>
      </c>
      <c r="B94" s="18">
        <f>AVERAGE(B5:B7)</f>
        <v>2069.56</v>
      </c>
      <c r="C94" s="18">
        <f t="shared" ref="C94:K94" si="73">AVERAGE(C5:C7)</f>
        <v>2451.3333333333335</v>
      </c>
      <c r="D94" s="18">
        <f t="shared" si="73"/>
        <v>2162.6666666666665</v>
      </c>
      <c r="E94" s="18">
        <f t="shared" si="73"/>
        <v>2609.6666666666665</v>
      </c>
      <c r="F94" s="18">
        <f t="shared" si="73"/>
        <v>2428.6666666666665</v>
      </c>
      <c r="G94" s="18">
        <f t="shared" si="73"/>
        <v>2487</v>
      </c>
      <c r="H94" s="18">
        <f t="shared" si="73"/>
        <v>2475.6666666666665</v>
      </c>
      <c r="I94" s="18">
        <f t="shared" si="73"/>
        <v>2528.3333333333335</v>
      </c>
      <c r="J94" s="18">
        <f t="shared" si="73"/>
        <v>2348.6666666666665</v>
      </c>
      <c r="K94" s="18">
        <f t="shared" si="73"/>
        <v>2483.6666666666665</v>
      </c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35" s="16" customFormat="1" x14ac:dyDescent="0.2">
      <c r="A95" s="15" t="s">
        <v>240</v>
      </c>
      <c r="B95" s="18">
        <f>AVERAGE(B8:B10)</f>
        <v>2069.56</v>
      </c>
      <c r="C95" s="18">
        <f t="shared" ref="C95:J95" si="74">AVERAGE(C8:C10)</f>
        <v>2334.3333333333335</v>
      </c>
      <c r="D95" s="18">
        <f t="shared" si="74"/>
        <v>2224</v>
      </c>
      <c r="E95" s="18">
        <f t="shared" si="74"/>
        <v>2403.3333333333335</v>
      </c>
      <c r="F95" s="18">
        <f t="shared" si="74"/>
        <v>2467.6666666666665</v>
      </c>
      <c r="G95" s="18">
        <f t="shared" si="74"/>
        <v>2661.3333333333335</v>
      </c>
      <c r="H95" s="18">
        <f t="shared" si="74"/>
        <v>2618.6666666666665</v>
      </c>
      <c r="I95" s="18">
        <f t="shared" si="74"/>
        <v>2653.6666666666665</v>
      </c>
      <c r="J95" s="18">
        <f t="shared" si="74"/>
        <v>2454.3333333333335</v>
      </c>
      <c r="K95" s="18">
        <f>AVERAGE(K8:K10)</f>
        <v>2590.3333333333335</v>
      </c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35" s="16" customFormat="1" x14ac:dyDescent="0.2">
      <c r="A96" s="15" t="s">
        <v>239</v>
      </c>
      <c r="B96" s="18">
        <f>AVERAGE(B11:B13)</f>
        <v>2069.56</v>
      </c>
      <c r="C96" s="18">
        <f t="shared" ref="C96:R96" si="75">AVERAGE(C11:C13)</f>
        <v>2304.6666666666665</v>
      </c>
      <c r="D96" s="18">
        <f t="shared" si="75"/>
        <v>2389</v>
      </c>
      <c r="E96" s="18">
        <f t="shared" si="75"/>
        <v>3162</v>
      </c>
      <c r="F96" s="18">
        <f t="shared" si="75"/>
        <v>3833</v>
      </c>
      <c r="G96" s="18">
        <f t="shared" si="75"/>
        <v>5687.333333333333</v>
      </c>
      <c r="H96" s="18">
        <f t="shared" si="75"/>
        <v>9338.6666666666661</v>
      </c>
      <c r="I96" s="18">
        <f t="shared" si="75"/>
        <v>18445.333333333332</v>
      </c>
      <c r="J96" s="18">
        <f t="shared" si="75"/>
        <v>26553</v>
      </c>
      <c r="K96" s="18">
        <f t="shared" si="75"/>
        <v>45782</v>
      </c>
      <c r="L96" s="18">
        <f t="shared" si="75"/>
        <v>100246.66666666667</v>
      </c>
      <c r="M96" s="18">
        <f t="shared" si="75"/>
        <v>182780</v>
      </c>
      <c r="N96" s="18">
        <f t="shared" si="75"/>
        <v>351180</v>
      </c>
      <c r="O96" s="18">
        <f t="shared" si="75"/>
        <v>534106.66666666663</v>
      </c>
      <c r="P96" s="18">
        <f t="shared" si="75"/>
        <v>809166.66666666663</v>
      </c>
      <c r="Q96" s="18">
        <f t="shared" si="75"/>
        <v>1049733.3333333333</v>
      </c>
      <c r="R96" s="18">
        <f t="shared" si="75"/>
        <v>1371133.3333333333</v>
      </c>
      <c r="S96" s="18">
        <f>AVERAGE(S11:S13)</f>
        <v>1293780</v>
      </c>
      <c r="T96" s="18"/>
      <c r="U96" s="18"/>
      <c r="V96" s="18"/>
      <c r="W96" s="18"/>
      <c r="X96" s="18"/>
      <c r="Y96" s="18"/>
      <c r="Z96" s="18"/>
    </row>
    <row r="97" spans="1:26" s="16" customFormat="1" x14ac:dyDescent="0.2">
      <c r="A97" s="15" t="s">
        <v>238</v>
      </c>
      <c r="B97" s="18">
        <f>AVERAGE(B14:B16)</f>
        <v>2069.56</v>
      </c>
      <c r="C97" s="18">
        <f t="shared" ref="C97:S97" si="76">AVERAGE(C14:C16)</f>
        <v>2694.3333333333335</v>
      </c>
      <c r="D97" s="18">
        <f t="shared" si="76"/>
        <v>2299.3333333333335</v>
      </c>
      <c r="E97" s="18">
        <f t="shared" si="76"/>
        <v>3116.6666666666665</v>
      </c>
      <c r="F97" s="18">
        <f t="shared" si="76"/>
        <v>3560.6666666666665</v>
      </c>
      <c r="G97" s="18">
        <f t="shared" si="76"/>
        <v>4967.666666666667</v>
      </c>
      <c r="H97" s="18">
        <f t="shared" si="76"/>
        <v>7426</v>
      </c>
      <c r="I97" s="18">
        <f t="shared" si="76"/>
        <v>13966.333333333334</v>
      </c>
      <c r="J97" s="18">
        <f t="shared" si="76"/>
        <v>21170</v>
      </c>
      <c r="K97" s="18">
        <f t="shared" si="76"/>
        <v>38277.333333333336</v>
      </c>
      <c r="L97" s="18">
        <f t="shared" si="76"/>
        <v>72980</v>
      </c>
      <c r="M97" s="18">
        <f t="shared" si="76"/>
        <v>133620</v>
      </c>
      <c r="N97" s="18">
        <f t="shared" si="76"/>
        <v>261300</v>
      </c>
      <c r="O97" s="18">
        <f t="shared" si="76"/>
        <v>381953.33333333331</v>
      </c>
      <c r="P97" s="18">
        <f t="shared" si="76"/>
        <v>669640</v>
      </c>
      <c r="Q97" s="18">
        <f t="shared" si="76"/>
        <v>912506.66666666663</v>
      </c>
      <c r="R97" s="18">
        <f t="shared" si="76"/>
        <v>1195753.3333333333</v>
      </c>
      <c r="S97" s="18">
        <f t="shared" si="76"/>
        <v>1195573.3333333333</v>
      </c>
      <c r="T97" s="18"/>
      <c r="U97" s="18"/>
      <c r="V97" s="18"/>
      <c r="W97" s="18"/>
      <c r="X97" s="18"/>
      <c r="Y97" s="18"/>
      <c r="Z97" s="18"/>
    </row>
    <row r="98" spans="1:26" s="16" customFormat="1" x14ac:dyDescent="0.2">
      <c r="A98" s="15" t="s">
        <v>237</v>
      </c>
      <c r="B98" s="18">
        <f>AVERAGE(B17:B19)</f>
        <v>2069.56</v>
      </c>
      <c r="C98" s="18">
        <f t="shared" ref="C98:S98" si="77">AVERAGE(C17:C19)</f>
        <v>2448.6666666666665</v>
      </c>
      <c r="D98" s="18">
        <f t="shared" si="77"/>
        <v>2472.3333333333335</v>
      </c>
      <c r="E98" s="18">
        <f t="shared" si="77"/>
        <v>3167.3333333333335</v>
      </c>
      <c r="F98" s="18">
        <f t="shared" si="77"/>
        <v>3954.6666666666665</v>
      </c>
      <c r="G98" s="18">
        <f t="shared" si="77"/>
        <v>5547.333333333333</v>
      </c>
      <c r="H98" s="18">
        <f t="shared" si="77"/>
        <v>8640.6666666666661</v>
      </c>
      <c r="I98" s="18">
        <f t="shared" si="77"/>
        <v>15725.666666666666</v>
      </c>
      <c r="J98" s="18">
        <f t="shared" si="77"/>
        <v>24149.666666666668</v>
      </c>
      <c r="K98" s="18">
        <f t="shared" si="77"/>
        <v>41078.666666666664</v>
      </c>
      <c r="L98" s="18">
        <f t="shared" si="77"/>
        <v>82640</v>
      </c>
      <c r="M98" s="18">
        <f t="shared" si="77"/>
        <v>151940</v>
      </c>
      <c r="N98" s="18">
        <f t="shared" si="77"/>
        <v>296100</v>
      </c>
      <c r="O98" s="18">
        <f t="shared" si="77"/>
        <v>463033.33333333331</v>
      </c>
      <c r="P98" s="18">
        <f t="shared" si="77"/>
        <v>734780</v>
      </c>
      <c r="Q98" s="18">
        <f t="shared" si="77"/>
        <v>1024713.3333333334</v>
      </c>
      <c r="R98" s="18">
        <f t="shared" si="77"/>
        <v>1145720</v>
      </c>
      <c r="S98" s="18">
        <f t="shared" si="77"/>
        <v>1097393.3333333333</v>
      </c>
      <c r="T98" s="18"/>
      <c r="U98" s="18"/>
      <c r="V98" s="18"/>
      <c r="W98" s="18"/>
      <c r="X98" s="18"/>
      <c r="Y98" s="18"/>
      <c r="Z98" s="18"/>
    </row>
    <row r="99" spans="1:26" s="16" customFormat="1" x14ac:dyDescent="0.2">
      <c r="A99" s="15" t="s">
        <v>236</v>
      </c>
      <c r="B99" s="18">
        <f>AVERAGE(B20:B22)</f>
        <v>901.33333333333337</v>
      </c>
      <c r="C99" s="18">
        <f t="shared" ref="C99:Z99" si="78">AVERAGE(C20:C22)</f>
        <v>781</v>
      </c>
      <c r="D99" s="18">
        <f t="shared" si="78"/>
        <v>992</v>
      </c>
      <c r="E99" s="18">
        <f t="shared" si="78"/>
        <v>1092</v>
      </c>
      <c r="F99" s="18">
        <f t="shared" si="78"/>
        <v>1541</v>
      </c>
      <c r="G99" s="18"/>
      <c r="H99" s="18">
        <f t="shared" si="78"/>
        <v>3071.5</v>
      </c>
      <c r="I99" s="18">
        <f t="shared" si="78"/>
        <v>5025.666666666667</v>
      </c>
      <c r="J99" s="18">
        <f t="shared" si="78"/>
        <v>6463.666666666667</v>
      </c>
      <c r="K99" s="18">
        <f t="shared" si="78"/>
        <v>8937.3333333333339</v>
      </c>
      <c r="L99" s="18">
        <f t="shared" si="78"/>
        <v>15123.333333333334</v>
      </c>
      <c r="M99" s="18">
        <f t="shared" si="78"/>
        <v>21873.333333333332</v>
      </c>
      <c r="N99" s="18">
        <f t="shared" si="78"/>
        <v>33382</v>
      </c>
      <c r="O99" s="18">
        <f t="shared" si="78"/>
        <v>49879</v>
      </c>
      <c r="P99" s="18">
        <f t="shared" si="78"/>
        <v>79286.666666666672</v>
      </c>
      <c r="Q99" s="18">
        <f t="shared" si="78"/>
        <v>113760</v>
      </c>
      <c r="R99" s="18">
        <f t="shared" si="78"/>
        <v>183420</v>
      </c>
      <c r="S99" s="18">
        <f t="shared" si="78"/>
        <v>260200</v>
      </c>
      <c r="T99" s="18">
        <f t="shared" si="78"/>
        <v>359126.66666666669</v>
      </c>
      <c r="U99" s="18">
        <f t="shared" si="78"/>
        <v>534340</v>
      </c>
      <c r="V99" s="18">
        <f t="shared" si="78"/>
        <v>651020</v>
      </c>
      <c r="W99" s="18">
        <f t="shared" si="78"/>
        <v>787120</v>
      </c>
      <c r="X99" s="18">
        <f t="shared" si="78"/>
        <v>864886.66666666663</v>
      </c>
      <c r="Y99" s="18">
        <f t="shared" si="78"/>
        <v>941613.33333333337</v>
      </c>
      <c r="Z99" s="18">
        <f t="shared" si="78"/>
        <v>967966.66666666663</v>
      </c>
    </row>
    <row r="100" spans="1:26" s="16" customFormat="1" x14ac:dyDescent="0.2">
      <c r="A100" s="15" t="s">
        <v>235</v>
      </c>
      <c r="B100" s="18">
        <f>AVERAGE(B23:B25)</f>
        <v>672.66666666666663</v>
      </c>
      <c r="C100" s="18">
        <f t="shared" ref="C100:Z100" si="79">AVERAGE(C23:C25)</f>
        <v>749.33333333333337</v>
      </c>
      <c r="D100" s="18">
        <f t="shared" si="79"/>
        <v>728.66666666666663</v>
      </c>
      <c r="E100" s="18">
        <f t="shared" si="79"/>
        <v>1196.3333333333333</v>
      </c>
      <c r="F100" s="18">
        <f t="shared" si="79"/>
        <v>1373.6666666666667</v>
      </c>
      <c r="G100" s="18"/>
      <c r="H100" s="18">
        <f t="shared" si="79"/>
        <v>1988</v>
      </c>
      <c r="I100" s="18">
        <f t="shared" si="79"/>
        <v>3918</v>
      </c>
      <c r="J100" s="18">
        <f t="shared" si="79"/>
        <v>4647</v>
      </c>
      <c r="K100" s="18">
        <f t="shared" si="79"/>
        <v>6333</v>
      </c>
      <c r="L100" s="18">
        <f t="shared" si="79"/>
        <v>10131.666666666666</v>
      </c>
      <c r="M100" s="18">
        <f t="shared" si="79"/>
        <v>14165</v>
      </c>
      <c r="N100" s="18">
        <f t="shared" si="79"/>
        <v>20400.666666666668</v>
      </c>
      <c r="O100" s="18">
        <f t="shared" si="79"/>
        <v>29281.333333333332</v>
      </c>
      <c r="P100" s="18">
        <f t="shared" si="79"/>
        <v>42173.333333333336</v>
      </c>
      <c r="Q100" s="18">
        <f t="shared" si="79"/>
        <v>63546.666666666664</v>
      </c>
      <c r="R100" s="18">
        <f t="shared" si="79"/>
        <v>91146.666666666672</v>
      </c>
      <c r="S100" s="18">
        <f t="shared" si="79"/>
        <v>136226.66666666666</v>
      </c>
      <c r="T100" s="18">
        <f t="shared" si="79"/>
        <v>192980</v>
      </c>
      <c r="U100" s="18">
        <f t="shared" si="79"/>
        <v>300320</v>
      </c>
      <c r="V100" s="18">
        <f t="shared" si="79"/>
        <v>430593.33333333331</v>
      </c>
      <c r="W100" s="18">
        <f t="shared" si="79"/>
        <v>578413.33333333337</v>
      </c>
      <c r="X100" s="18">
        <f t="shared" si="79"/>
        <v>689306.66666666663</v>
      </c>
      <c r="Y100" s="18">
        <f t="shared" si="79"/>
        <v>831600</v>
      </c>
      <c r="Z100" s="18">
        <f t="shared" si="79"/>
        <v>920700</v>
      </c>
    </row>
    <row r="101" spans="1:26" s="16" customFormat="1" x14ac:dyDescent="0.2">
      <c r="A101" s="15" t="s">
        <v>234</v>
      </c>
      <c r="B101" s="18">
        <f>AVERAGE(B26:B28)</f>
        <v>955</v>
      </c>
      <c r="C101" s="18">
        <f t="shared" ref="C101:Z101" si="80">AVERAGE(C26:C28)</f>
        <v>859.33333333333337</v>
      </c>
      <c r="D101" s="18">
        <f t="shared" si="80"/>
        <v>1257.6666666666667</v>
      </c>
      <c r="E101" s="18">
        <f t="shared" si="80"/>
        <v>2012.3333333333333</v>
      </c>
      <c r="F101" s="18">
        <f t="shared" si="80"/>
        <v>3095</v>
      </c>
      <c r="G101" s="18"/>
      <c r="H101" s="18">
        <f t="shared" si="80"/>
        <v>7606.666666666667</v>
      </c>
      <c r="I101" s="18">
        <f t="shared" si="80"/>
        <v>14054.666666666666</v>
      </c>
      <c r="J101" s="18">
        <f t="shared" si="80"/>
        <v>15271.333333333334</v>
      </c>
      <c r="K101" s="18">
        <f t="shared" si="80"/>
        <v>23819</v>
      </c>
      <c r="L101" s="18">
        <f t="shared" si="80"/>
        <v>40224.666666666664</v>
      </c>
      <c r="M101" s="18">
        <f t="shared" si="80"/>
        <v>60910</v>
      </c>
      <c r="N101" s="18">
        <f t="shared" si="80"/>
        <v>94090</v>
      </c>
      <c r="O101" s="18">
        <f t="shared" si="80"/>
        <v>163093.33333333334</v>
      </c>
      <c r="P101" s="18">
        <f t="shared" si="80"/>
        <v>259200</v>
      </c>
      <c r="Q101" s="18">
        <f t="shared" si="80"/>
        <v>435046.66666666669</v>
      </c>
      <c r="R101" s="18">
        <f t="shared" si="80"/>
        <v>585606.66666666663</v>
      </c>
      <c r="S101" s="18">
        <f t="shared" si="80"/>
        <v>771586.66666666663</v>
      </c>
      <c r="T101" s="18">
        <f t="shared" si="80"/>
        <v>875426.66666666663</v>
      </c>
      <c r="U101" s="18">
        <f t="shared" si="80"/>
        <v>1061886.6666666667</v>
      </c>
      <c r="V101" s="18">
        <f t="shared" si="80"/>
        <v>1091333.3333333333</v>
      </c>
      <c r="W101" s="18">
        <f t="shared" si="80"/>
        <v>1208446.6666666667</v>
      </c>
      <c r="X101" s="18">
        <f t="shared" si="80"/>
        <v>1227480</v>
      </c>
      <c r="Y101" s="18">
        <f t="shared" si="80"/>
        <v>1431680</v>
      </c>
      <c r="Z101" s="18">
        <f t="shared" si="80"/>
        <v>1290126.6666666667</v>
      </c>
    </row>
    <row r="102" spans="1:26" s="16" customFormat="1" x14ac:dyDescent="0.2">
      <c r="A102" s="15" t="s">
        <v>233</v>
      </c>
      <c r="B102" s="18">
        <f>AVERAGE(B29:B31)</f>
        <v>1372.63</v>
      </c>
      <c r="C102" s="18">
        <f t="shared" ref="C102:P102" si="81">AVERAGE(C29:C31)</f>
        <v>2141.5</v>
      </c>
      <c r="D102" s="18">
        <f t="shared" si="81"/>
        <v>2891.6666666666665</v>
      </c>
      <c r="E102" s="18">
        <f t="shared" si="81"/>
        <v>4984.666666666667</v>
      </c>
      <c r="F102" s="18">
        <f t="shared" si="81"/>
        <v>10219.333333333334</v>
      </c>
      <c r="G102" s="18">
        <f t="shared" si="81"/>
        <v>20438</v>
      </c>
      <c r="H102" s="18">
        <f t="shared" si="81"/>
        <v>38018.333333333336</v>
      </c>
      <c r="I102" s="18">
        <f t="shared" si="81"/>
        <v>75513.333333333328</v>
      </c>
      <c r="J102" s="18">
        <f t="shared" si="81"/>
        <v>154840</v>
      </c>
      <c r="K102" s="18">
        <f t="shared" si="81"/>
        <v>304280</v>
      </c>
      <c r="L102" s="18">
        <f t="shared" si="81"/>
        <v>597406.66666666663</v>
      </c>
      <c r="M102" s="18">
        <f t="shared" si="81"/>
        <v>813226.66666666663</v>
      </c>
      <c r="N102" s="18">
        <f t="shared" si="81"/>
        <v>1094180</v>
      </c>
      <c r="O102" s="18">
        <f t="shared" si="81"/>
        <v>1420146.6666666667</v>
      </c>
      <c r="P102" s="18">
        <f t="shared" si="81"/>
        <v>1513220</v>
      </c>
      <c r="Q102" s="18">
        <f>AVERAGE(Q29:Q31)</f>
        <v>1608746.6666666667</v>
      </c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s="16" customFormat="1" x14ac:dyDescent="0.2">
      <c r="A103" s="15" t="s">
        <v>232</v>
      </c>
      <c r="B103" s="18">
        <f>AVERAGE(B32:B34)</f>
        <v>1372.63</v>
      </c>
      <c r="C103" s="18">
        <f t="shared" ref="C103:Q103" si="82">AVERAGE(C32:C34)</f>
        <v>2141</v>
      </c>
      <c r="D103" s="18">
        <f t="shared" si="82"/>
        <v>3184.3333333333335</v>
      </c>
      <c r="E103" s="18">
        <f t="shared" si="82"/>
        <v>5671.333333333333</v>
      </c>
      <c r="F103" s="18">
        <f t="shared" si="82"/>
        <v>11602</v>
      </c>
      <c r="G103" s="18">
        <f t="shared" si="82"/>
        <v>26026.333333333332</v>
      </c>
      <c r="H103" s="18">
        <f t="shared" si="82"/>
        <v>46317</v>
      </c>
      <c r="I103" s="18">
        <f t="shared" si="82"/>
        <v>97046.666666666672</v>
      </c>
      <c r="J103" s="18">
        <f t="shared" si="82"/>
        <v>210520</v>
      </c>
      <c r="K103" s="18">
        <f t="shared" si="82"/>
        <v>401886.66666666669</v>
      </c>
      <c r="L103" s="18">
        <f t="shared" si="82"/>
        <v>765166.66666666663</v>
      </c>
      <c r="M103" s="18">
        <f t="shared" si="82"/>
        <v>972340</v>
      </c>
      <c r="N103" s="18">
        <f t="shared" si="82"/>
        <v>1207960</v>
      </c>
      <c r="O103" s="18">
        <f t="shared" si="82"/>
        <v>1479160</v>
      </c>
      <c r="P103" s="18">
        <f t="shared" si="82"/>
        <v>1514573.3333333333</v>
      </c>
      <c r="Q103" s="18">
        <f t="shared" si="82"/>
        <v>1541486.6666666667</v>
      </c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s="16" customFormat="1" x14ac:dyDescent="0.2">
      <c r="A104" s="15" t="s">
        <v>231</v>
      </c>
      <c r="B104" s="18">
        <f>AVERAGE(B35:B37)</f>
        <v>1372.63</v>
      </c>
      <c r="C104" s="18">
        <f t="shared" ref="C104:Q104" si="83">AVERAGE(C35:C37)</f>
        <v>1938</v>
      </c>
      <c r="D104" s="18">
        <f t="shared" si="83"/>
        <v>2743</v>
      </c>
      <c r="E104" s="18">
        <f t="shared" si="83"/>
        <v>4915.333333333333</v>
      </c>
      <c r="F104" s="18">
        <f t="shared" si="83"/>
        <v>9225.6666666666661</v>
      </c>
      <c r="G104" s="18">
        <f t="shared" si="83"/>
        <v>17090</v>
      </c>
      <c r="H104" s="18">
        <f t="shared" si="83"/>
        <v>32636.666666666668</v>
      </c>
      <c r="I104" s="18">
        <f t="shared" si="83"/>
        <v>74353.333333333328</v>
      </c>
      <c r="J104" s="18">
        <f t="shared" si="83"/>
        <v>134920</v>
      </c>
      <c r="K104" s="18">
        <f t="shared" si="83"/>
        <v>255713.33333333334</v>
      </c>
      <c r="L104" s="18">
        <f t="shared" si="83"/>
        <v>513780</v>
      </c>
      <c r="M104" s="18">
        <f t="shared" si="83"/>
        <v>696880</v>
      </c>
      <c r="N104" s="18">
        <f t="shared" si="83"/>
        <v>1023200</v>
      </c>
      <c r="O104" s="18">
        <f t="shared" si="83"/>
        <v>1342400</v>
      </c>
      <c r="P104" s="18">
        <f t="shared" si="83"/>
        <v>1451473.3333333333</v>
      </c>
      <c r="Q104" s="18">
        <f t="shared" si="83"/>
        <v>1547666.6666666667</v>
      </c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s="16" customFormat="1" x14ac:dyDescent="0.2">
      <c r="A105" s="15"/>
      <c r="F105" s="19"/>
    </row>
    <row r="106" spans="1:26" s="16" customFormat="1" x14ac:dyDescent="0.2">
      <c r="A106" s="15"/>
      <c r="B106" s="16">
        <v>0</v>
      </c>
      <c r="C106" s="16">
        <v>2</v>
      </c>
      <c r="D106" s="16">
        <v>4</v>
      </c>
      <c r="E106" s="17">
        <v>6</v>
      </c>
      <c r="F106" s="17">
        <v>8</v>
      </c>
      <c r="G106" s="17">
        <v>10</v>
      </c>
      <c r="H106" s="17">
        <v>12</v>
      </c>
      <c r="I106" s="17">
        <v>14</v>
      </c>
      <c r="J106" s="17">
        <v>16</v>
      </c>
      <c r="K106" s="17">
        <v>18</v>
      </c>
      <c r="L106" s="17">
        <v>20</v>
      </c>
      <c r="M106" s="17">
        <v>22</v>
      </c>
      <c r="N106" s="17">
        <v>24</v>
      </c>
      <c r="O106" s="17">
        <v>26</v>
      </c>
      <c r="P106" s="17">
        <v>28</v>
      </c>
      <c r="Q106" s="17">
        <v>30</v>
      </c>
      <c r="R106" s="17">
        <v>32</v>
      </c>
      <c r="S106" s="17">
        <v>34</v>
      </c>
      <c r="T106" s="17">
        <v>36</v>
      </c>
      <c r="U106" s="17">
        <v>38</v>
      </c>
      <c r="V106" s="17">
        <v>40</v>
      </c>
      <c r="W106" s="17">
        <v>42</v>
      </c>
      <c r="X106" s="17">
        <v>44</v>
      </c>
      <c r="Y106" s="17">
        <v>46</v>
      </c>
      <c r="Z106" s="17">
        <v>48</v>
      </c>
    </row>
    <row r="107" spans="1:26" s="16" customFormat="1" x14ac:dyDescent="0.2">
      <c r="A107" s="15" t="s">
        <v>278</v>
      </c>
      <c r="B107" s="18">
        <f>AVERAGE(B93:B95)</f>
        <v>2069.56</v>
      </c>
      <c r="C107" s="18">
        <f t="shared" ref="C107:J107" si="84">AVERAGE(C93:C95)</f>
        <v>2410.1111111111113</v>
      </c>
      <c r="D107" s="18">
        <f t="shared" si="84"/>
        <v>2241.5555555555552</v>
      </c>
      <c r="E107" s="18">
        <f t="shared" si="84"/>
        <v>2601.5555555555552</v>
      </c>
      <c r="F107" s="18">
        <f t="shared" si="84"/>
        <v>2483</v>
      </c>
      <c r="G107" s="18">
        <f t="shared" si="84"/>
        <v>2616.3333333333335</v>
      </c>
      <c r="H107" s="18">
        <f t="shared" si="84"/>
        <v>2566.4444444444439</v>
      </c>
      <c r="I107" s="18">
        <f t="shared" si="84"/>
        <v>2587.8888888888887</v>
      </c>
      <c r="J107" s="18">
        <f t="shared" si="84"/>
        <v>2450.3333333333335</v>
      </c>
      <c r="K107" s="18">
        <f>AVERAGE(K93:K95)</f>
        <v>2713.3333333333335</v>
      </c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s="16" customFormat="1" x14ac:dyDescent="0.2">
      <c r="A108" s="15" t="s">
        <v>270</v>
      </c>
      <c r="B108" s="18">
        <f>STDEV(B93:B95)</f>
        <v>0</v>
      </c>
      <c r="C108" s="18">
        <f t="shared" ref="C108:K108" si="85">STDEV(C93:C95)</f>
        <v>65.710081531031477</v>
      </c>
      <c r="D108" s="18">
        <f t="shared" si="85"/>
        <v>88.975235838926579</v>
      </c>
      <c r="E108" s="18">
        <f t="shared" si="85"/>
        <v>194.29368758927032</v>
      </c>
      <c r="F108" s="18">
        <f t="shared" si="85"/>
        <v>63.406098550008053</v>
      </c>
      <c r="G108" s="18">
        <f t="shared" si="85"/>
        <v>113.71944033942088</v>
      </c>
      <c r="H108" s="18">
        <f t="shared" si="85"/>
        <v>78.912281351815921</v>
      </c>
      <c r="I108" s="18">
        <f t="shared" si="85"/>
        <v>62.897918472300255</v>
      </c>
      <c r="J108" s="18">
        <f t="shared" si="85"/>
        <v>99.726849165329895</v>
      </c>
      <c r="K108" s="18">
        <f t="shared" si="85"/>
        <v>310.03996158201574</v>
      </c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s="16" customFormat="1" x14ac:dyDescent="0.2">
      <c r="A109" s="15" t="s">
        <v>279</v>
      </c>
      <c r="B109" s="18">
        <f>AVERAGE(B99:B101)</f>
        <v>843</v>
      </c>
      <c r="C109" s="18">
        <f t="shared" ref="C109:F109" si="86">AVERAGE(C99:C101)</f>
        <v>796.55555555555566</v>
      </c>
      <c r="D109" s="18">
        <f t="shared" si="86"/>
        <v>992.77777777777771</v>
      </c>
      <c r="E109" s="18">
        <f t="shared" si="86"/>
        <v>1433.5555555555554</v>
      </c>
      <c r="F109" s="18">
        <f t="shared" si="86"/>
        <v>2003.2222222222224</v>
      </c>
      <c r="G109" s="18"/>
      <c r="H109" s="18">
        <f>AVERAGE(H99:H100)</f>
        <v>2529.75</v>
      </c>
      <c r="I109" s="18">
        <f t="shared" ref="I109:Z109" si="87">AVERAGE(I99:I100)</f>
        <v>4471.8333333333339</v>
      </c>
      <c r="J109" s="18">
        <f t="shared" si="87"/>
        <v>5555.3333333333339</v>
      </c>
      <c r="K109" s="18">
        <f t="shared" si="87"/>
        <v>7635.166666666667</v>
      </c>
      <c r="L109" s="18">
        <f t="shared" si="87"/>
        <v>12627.5</v>
      </c>
      <c r="M109" s="18">
        <f t="shared" si="87"/>
        <v>18019.166666666664</v>
      </c>
      <c r="N109" s="18">
        <f t="shared" si="87"/>
        <v>26891.333333333336</v>
      </c>
      <c r="O109" s="18">
        <f t="shared" si="87"/>
        <v>39580.166666666664</v>
      </c>
      <c r="P109" s="18">
        <f t="shared" si="87"/>
        <v>60730</v>
      </c>
      <c r="Q109" s="18">
        <f t="shared" si="87"/>
        <v>88653.333333333328</v>
      </c>
      <c r="R109" s="18">
        <f t="shared" si="87"/>
        <v>137283.33333333334</v>
      </c>
      <c r="S109" s="18">
        <f t="shared" si="87"/>
        <v>198213.33333333331</v>
      </c>
      <c r="T109" s="18">
        <f t="shared" si="87"/>
        <v>276053.33333333337</v>
      </c>
      <c r="U109" s="18">
        <f t="shared" si="87"/>
        <v>417330</v>
      </c>
      <c r="V109" s="18">
        <f t="shared" si="87"/>
        <v>540806.66666666663</v>
      </c>
      <c r="W109" s="18">
        <f t="shared" si="87"/>
        <v>682766.66666666674</v>
      </c>
      <c r="X109" s="18">
        <f t="shared" si="87"/>
        <v>777096.66666666663</v>
      </c>
      <c r="Y109" s="18">
        <f t="shared" si="87"/>
        <v>886606.66666666674</v>
      </c>
      <c r="Z109" s="18">
        <f t="shared" si="87"/>
        <v>944333.33333333326</v>
      </c>
    </row>
    <row r="110" spans="1:26" s="16" customFormat="1" x14ac:dyDescent="0.2">
      <c r="A110" s="15" t="s">
        <v>270</v>
      </c>
      <c r="B110" s="18">
        <f>STDEV(B99:B101)</f>
        <v>149.93368904656154</v>
      </c>
      <c r="C110" s="18">
        <f t="shared" ref="C110:F110" si="88">STDEV(C99:C101)</f>
        <v>56.62580225905397</v>
      </c>
      <c r="D110" s="18">
        <f t="shared" si="88"/>
        <v>264.50085766156656</v>
      </c>
      <c r="E110" s="18">
        <f t="shared" si="88"/>
        <v>503.94359619718233</v>
      </c>
      <c r="F110" s="18">
        <f t="shared" si="88"/>
        <v>949.20184794813179</v>
      </c>
      <c r="G110" s="18"/>
      <c r="H110" s="18">
        <f>STDEV(H99:H100)</f>
        <v>766.15019741562423</v>
      </c>
      <c r="I110" s="18">
        <f t="shared" ref="I110:Z110" si="89">STDEV(I99:I100)</f>
        <v>783.23861129429542</v>
      </c>
      <c r="J110" s="18">
        <f t="shared" si="89"/>
        <v>1284.5773191555581</v>
      </c>
      <c r="K110" s="18">
        <f t="shared" si="89"/>
        <v>1841.5417604701643</v>
      </c>
      <c r="L110" s="18">
        <f t="shared" si="89"/>
        <v>3529.6413494228536</v>
      </c>
      <c r="M110" s="18">
        <f t="shared" si="89"/>
        <v>5450.6147716463101</v>
      </c>
      <c r="N110" s="18">
        <f t="shared" si="89"/>
        <v>9179.1888288429582</v>
      </c>
      <c r="O110" s="18">
        <f t="shared" si="89"/>
        <v>14564.74977662012</v>
      </c>
      <c r="P110" s="18">
        <f t="shared" si="89"/>
        <v>26243.089672436749</v>
      </c>
      <c r="Q110" s="18">
        <f t="shared" si="89"/>
        <v>35506.188505980521</v>
      </c>
      <c r="R110" s="18">
        <f t="shared" si="89"/>
        <v>65247.099722686631</v>
      </c>
      <c r="S110" s="18">
        <f t="shared" si="89"/>
        <v>87662.384686300313</v>
      </c>
      <c r="T110" s="18">
        <f t="shared" si="89"/>
        <v>117483.43467154082</v>
      </c>
      <c r="U110" s="18">
        <f t="shared" si="89"/>
        <v>165477.12893327585</v>
      </c>
      <c r="V110" s="18">
        <f t="shared" si="89"/>
        <v>155865.19075434681</v>
      </c>
      <c r="W110" s="18">
        <f t="shared" si="89"/>
        <v>147577.8992788399</v>
      </c>
      <c r="X110" s="18">
        <f t="shared" si="89"/>
        <v>124153.80864073402</v>
      </c>
      <c r="Y110" s="18">
        <f t="shared" si="89"/>
        <v>77791.174020936072</v>
      </c>
      <c r="Z110" s="18">
        <f t="shared" si="89"/>
        <v>33422.580524084115</v>
      </c>
    </row>
    <row r="111" spans="1:26" s="16" customFormat="1" x14ac:dyDescent="0.2">
      <c r="A111" s="15" t="s">
        <v>280</v>
      </c>
      <c r="B111" s="18">
        <f>AVERAGE(B96:B98)</f>
        <v>2069.56</v>
      </c>
      <c r="C111" s="18">
        <f t="shared" ref="C111:R111" si="90">AVERAGE(C96:C98)</f>
        <v>2482.5555555555552</v>
      </c>
      <c r="D111" s="18">
        <f t="shared" si="90"/>
        <v>2386.8888888888891</v>
      </c>
      <c r="E111" s="18">
        <f t="shared" si="90"/>
        <v>3148.6666666666665</v>
      </c>
      <c r="F111" s="18">
        <f t="shared" si="90"/>
        <v>3782.7777777777774</v>
      </c>
      <c r="G111" s="18">
        <f t="shared" si="90"/>
        <v>5400.7777777777774</v>
      </c>
      <c r="H111" s="18">
        <f t="shared" si="90"/>
        <v>8468.4444444444434</v>
      </c>
      <c r="I111" s="18">
        <f t="shared" si="90"/>
        <v>16045.777777777776</v>
      </c>
      <c r="J111" s="18">
        <f t="shared" si="90"/>
        <v>23957.555555555558</v>
      </c>
      <c r="K111" s="18">
        <f t="shared" si="90"/>
        <v>41712.666666666664</v>
      </c>
      <c r="L111" s="18">
        <f t="shared" si="90"/>
        <v>85288.888888888891</v>
      </c>
      <c r="M111" s="18">
        <f t="shared" si="90"/>
        <v>156113.33333333334</v>
      </c>
      <c r="N111" s="18">
        <f t="shared" si="90"/>
        <v>302860</v>
      </c>
      <c r="O111" s="18">
        <f t="shared" si="90"/>
        <v>459697.77777777775</v>
      </c>
      <c r="P111" s="18">
        <f t="shared" si="90"/>
        <v>737862.22222222213</v>
      </c>
      <c r="Q111" s="18">
        <f t="shared" si="90"/>
        <v>995651.11111111112</v>
      </c>
      <c r="R111" s="18">
        <f t="shared" si="90"/>
        <v>1237535.5555555555</v>
      </c>
      <c r="S111" s="18">
        <f>AVERAGE(S96:S98)</f>
        <v>1195582.222222222</v>
      </c>
      <c r="T111" s="18"/>
      <c r="U111" s="18"/>
      <c r="V111" s="18"/>
      <c r="W111" s="18"/>
      <c r="X111" s="18"/>
      <c r="Y111" s="18"/>
      <c r="Z111" s="18"/>
    </row>
    <row r="112" spans="1:26" s="16" customFormat="1" x14ac:dyDescent="0.2">
      <c r="A112" s="15" t="s">
        <v>270</v>
      </c>
      <c r="B112" s="18">
        <f>STDEV(B96:B98)</f>
        <v>0</v>
      </c>
      <c r="C112" s="18">
        <f t="shared" ref="C112:S112" si="91">STDEV(C96:C98)</f>
        <v>197.0313943775723</v>
      </c>
      <c r="D112" s="18">
        <f t="shared" si="91"/>
        <v>86.519319187061299</v>
      </c>
      <c r="E112" s="18">
        <f t="shared" si="91"/>
        <v>27.840817357094938</v>
      </c>
      <c r="F112" s="18">
        <f t="shared" si="91"/>
        <v>201.74415407566016</v>
      </c>
      <c r="G112" s="18">
        <f t="shared" si="91"/>
        <v>381.56116931093197</v>
      </c>
      <c r="H112" s="18">
        <f t="shared" si="91"/>
        <v>967.89401011413133</v>
      </c>
      <c r="I112" s="18">
        <f t="shared" si="91"/>
        <v>2256.5933600435405</v>
      </c>
      <c r="J112" s="18">
        <f t="shared" si="91"/>
        <v>2696.6372131340286</v>
      </c>
      <c r="K112" s="18">
        <f t="shared" si="91"/>
        <v>3792.291186663339</v>
      </c>
      <c r="L112" s="18">
        <f t="shared" si="91"/>
        <v>13824.985968782572</v>
      </c>
      <c r="M112" s="18">
        <f t="shared" si="91"/>
        <v>24844.293778116051</v>
      </c>
      <c r="N112" s="18">
        <f t="shared" si="91"/>
        <v>45319.717563109327</v>
      </c>
      <c r="O112" s="18">
        <f t="shared" si="91"/>
        <v>76131.489275195956</v>
      </c>
      <c r="P112" s="18">
        <f t="shared" si="91"/>
        <v>69814.380668656988</v>
      </c>
      <c r="Q112" s="18">
        <f t="shared" si="91"/>
        <v>73083.849662435561</v>
      </c>
      <c r="R112" s="18">
        <f t="shared" si="91"/>
        <v>118372.75143157515</v>
      </c>
      <c r="S112" s="18">
        <f t="shared" si="91"/>
        <v>98193.333635081246</v>
      </c>
      <c r="T112" s="18"/>
      <c r="U112" s="18"/>
      <c r="V112" s="18"/>
      <c r="W112" s="18"/>
      <c r="X112" s="18"/>
      <c r="Y112" s="18"/>
      <c r="Z112" s="18"/>
    </row>
    <row r="113" spans="1:30" s="16" customFormat="1" x14ac:dyDescent="0.2">
      <c r="A113" s="15" t="s">
        <v>281</v>
      </c>
      <c r="B113" s="18">
        <f>AVERAGE(B102:B104)</f>
        <v>1372.63</v>
      </c>
      <c r="C113" s="18">
        <f t="shared" ref="C113:P113" si="92">AVERAGE(C102:C104)</f>
        <v>2073.5</v>
      </c>
      <c r="D113" s="18">
        <f t="shared" si="92"/>
        <v>2939.6666666666665</v>
      </c>
      <c r="E113" s="18">
        <f t="shared" si="92"/>
        <v>5190.4444444444443</v>
      </c>
      <c r="F113" s="18">
        <f t="shared" si="92"/>
        <v>10349</v>
      </c>
      <c r="G113" s="18">
        <f t="shared" si="92"/>
        <v>21184.777777777777</v>
      </c>
      <c r="H113" s="18">
        <f t="shared" si="92"/>
        <v>38990.666666666672</v>
      </c>
      <c r="I113" s="18">
        <f t="shared" si="92"/>
        <v>82304.444444444438</v>
      </c>
      <c r="J113" s="18">
        <f t="shared" si="92"/>
        <v>166760</v>
      </c>
      <c r="K113" s="18">
        <f t="shared" si="92"/>
        <v>320626.66666666669</v>
      </c>
      <c r="L113" s="18">
        <f t="shared" si="92"/>
        <v>625451.11111111112</v>
      </c>
      <c r="M113" s="18">
        <f t="shared" si="92"/>
        <v>827482.22222222213</v>
      </c>
      <c r="N113" s="18">
        <f t="shared" si="92"/>
        <v>1108446.6666666667</v>
      </c>
      <c r="O113" s="18">
        <f t="shared" si="92"/>
        <v>1413902.2222222222</v>
      </c>
      <c r="P113" s="18">
        <f t="shared" si="92"/>
        <v>1493088.8888888888</v>
      </c>
      <c r="Q113" s="18">
        <f>AVERAGE(Q102:Q104)</f>
        <v>1565966.6666666667</v>
      </c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30" s="16" customFormat="1" x14ac:dyDescent="0.2">
      <c r="A114" s="15" t="s">
        <v>270</v>
      </c>
      <c r="B114" s="18">
        <f>STDEV(B102:B104)</f>
        <v>0</v>
      </c>
      <c r="C114" s="18">
        <f t="shared" ref="C114:Q114" si="93">STDEV(C102:C104)</f>
        <v>117.34670851796398</v>
      </c>
      <c r="D114" s="18">
        <f t="shared" si="93"/>
        <v>224.54794093417519</v>
      </c>
      <c r="E114" s="18">
        <f t="shared" si="93"/>
        <v>417.90234549517697</v>
      </c>
      <c r="F114" s="18">
        <f t="shared" si="93"/>
        <v>1193.4613990871726</v>
      </c>
      <c r="G114" s="18">
        <f t="shared" si="93"/>
        <v>4514.7282474306448</v>
      </c>
      <c r="H114" s="18">
        <f t="shared" si="93"/>
        <v>6891.8034004975943</v>
      </c>
      <c r="I114" s="18">
        <f t="shared" si="93"/>
        <v>12780.306609664683</v>
      </c>
      <c r="J114" s="18">
        <f t="shared" si="93"/>
        <v>39184.241730573274</v>
      </c>
      <c r="K114" s="18">
        <f t="shared" si="93"/>
        <v>74445.086995568359</v>
      </c>
      <c r="L114" s="18">
        <f t="shared" si="93"/>
        <v>128018.28850829294</v>
      </c>
      <c r="M114" s="18">
        <f t="shared" si="93"/>
        <v>138282.20618773883</v>
      </c>
      <c r="N114" s="18">
        <f t="shared" si="93"/>
        <v>93202.562911828412</v>
      </c>
      <c r="O114" s="18">
        <f t="shared" si="93"/>
        <v>68593.507089336199</v>
      </c>
      <c r="P114" s="18">
        <f t="shared" si="93"/>
        <v>36046.480076783191</v>
      </c>
      <c r="Q114" s="18">
        <f t="shared" si="93"/>
        <v>37177.202691972401</v>
      </c>
      <c r="R114" s="18"/>
      <c r="S114" s="18"/>
      <c r="T114" s="18"/>
      <c r="U114" s="18"/>
      <c r="V114" s="18"/>
      <c r="W114" s="18"/>
      <c r="X114" s="18"/>
      <c r="Y114" s="18"/>
      <c r="Z114" s="18"/>
    </row>
    <row r="116" spans="1:30" x14ac:dyDescent="0.2">
      <c r="B116" s="4"/>
      <c r="C116" s="4" t="s">
        <v>278</v>
      </c>
      <c r="D116" s="4" t="s">
        <v>270</v>
      </c>
      <c r="E116" s="4" t="s">
        <v>279</v>
      </c>
      <c r="F116" s="4" t="s">
        <v>270</v>
      </c>
      <c r="G116" s="4" t="s">
        <v>280</v>
      </c>
      <c r="H116" s="4" t="s">
        <v>270</v>
      </c>
      <c r="I116" s="4" t="s">
        <v>281</v>
      </c>
      <c r="J116" s="4" t="s">
        <v>270</v>
      </c>
    </row>
    <row r="117" spans="1:30" x14ac:dyDescent="0.2">
      <c r="B117" s="6">
        <v>0</v>
      </c>
      <c r="C117" s="5">
        <v>2069.56</v>
      </c>
      <c r="D117" s="5">
        <v>0</v>
      </c>
      <c r="E117" s="5">
        <v>843</v>
      </c>
      <c r="F117" s="5">
        <v>149.93368904656154</v>
      </c>
      <c r="G117" s="5">
        <v>2069.56</v>
      </c>
      <c r="H117" s="5">
        <v>0</v>
      </c>
      <c r="I117" s="5">
        <v>1372.63</v>
      </c>
      <c r="J117" s="5">
        <v>0</v>
      </c>
    </row>
    <row r="118" spans="1:30" x14ac:dyDescent="0.2">
      <c r="B118" s="6">
        <v>2</v>
      </c>
      <c r="C118" s="5">
        <v>2410.1111111111113</v>
      </c>
      <c r="D118" s="5">
        <v>65.710081531031477</v>
      </c>
      <c r="E118" s="5">
        <v>796.55555555555566</v>
      </c>
      <c r="F118" s="5">
        <v>56.62580225905397</v>
      </c>
      <c r="G118" s="5">
        <v>2482.5555555555552</v>
      </c>
      <c r="H118" s="5">
        <v>197.0313943775723</v>
      </c>
      <c r="I118" s="5">
        <v>2073.5</v>
      </c>
      <c r="J118" s="5">
        <v>117.34670851796398</v>
      </c>
    </row>
    <row r="119" spans="1:30" x14ac:dyDescent="0.2">
      <c r="B119" s="6">
        <v>4</v>
      </c>
      <c r="C119" s="5">
        <v>2241.5555555555552</v>
      </c>
      <c r="D119" s="5">
        <v>88.975235838926579</v>
      </c>
      <c r="E119" s="5">
        <v>992.77777777777771</v>
      </c>
      <c r="F119" s="5">
        <v>264.50085766156656</v>
      </c>
      <c r="G119" s="5">
        <v>2386.8888888888891</v>
      </c>
      <c r="H119" s="5">
        <v>86.519319187061299</v>
      </c>
      <c r="I119" s="5">
        <v>2939.6666666666665</v>
      </c>
      <c r="J119" s="5">
        <v>224.54794093417519</v>
      </c>
    </row>
    <row r="120" spans="1:30" x14ac:dyDescent="0.2">
      <c r="B120" s="6">
        <v>6</v>
      </c>
      <c r="C120" s="5">
        <v>2601.5555555555552</v>
      </c>
      <c r="D120" s="5">
        <v>194.29368758927032</v>
      </c>
      <c r="E120" s="5">
        <v>1433.5555555555554</v>
      </c>
      <c r="F120" s="5">
        <v>503.94359619718233</v>
      </c>
      <c r="G120" s="5">
        <v>3148.6666666666665</v>
      </c>
      <c r="H120" s="5">
        <v>27.840817357094938</v>
      </c>
      <c r="I120" s="5">
        <v>5190.4444444444443</v>
      </c>
      <c r="J120" s="5">
        <v>417.90234549517697</v>
      </c>
      <c r="L120" s="6">
        <v>2529.75</v>
      </c>
      <c r="M120" s="6">
        <v>4471.8333333333339</v>
      </c>
      <c r="N120" s="6">
        <v>5555.3333333333339</v>
      </c>
      <c r="O120" s="6">
        <v>7635.166666666667</v>
      </c>
      <c r="P120" s="6">
        <v>12627.5</v>
      </c>
      <c r="Q120" s="6">
        <v>18019.166666666664</v>
      </c>
      <c r="R120" s="6">
        <v>26891.333333333336</v>
      </c>
      <c r="S120" s="6">
        <v>39580.166666666664</v>
      </c>
      <c r="T120" s="6">
        <v>60730</v>
      </c>
      <c r="U120" s="6">
        <v>88653.333333333328</v>
      </c>
      <c r="V120" s="6">
        <v>137283.33333333334</v>
      </c>
      <c r="W120" s="6">
        <v>198213.33333333331</v>
      </c>
      <c r="X120" s="6">
        <v>276053.33333333337</v>
      </c>
      <c r="Y120" s="6">
        <v>417330</v>
      </c>
      <c r="Z120" s="6">
        <v>540806.66666666663</v>
      </c>
      <c r="AA120" s="6">
        <v>682766.66666666674</v>
      </c>
      <c r="AB120" s="6">
        <v>777096.66666666663</v>
      </c>
      <c r="AC120" s="6">
        <v>886606.66666666674</v>
      </c>
      <c r="AD120" s="6">
        <v>944333.33333333326</v>
      </c>
    </row>
    <row r="121" spans="1:30" x14ac:dyDescent="0.2">
      <c r="B121" s="5">
        <v>8</v>
      </c>
      <c r="C121" s="5">
        <v>2483</v>
      </c>
      <c r="D121" s="5">
        <v>63.406098550008053</v>
      </c>
      <c r="E121" s="5">
        <v>2003.2222222222224</v>
      </c>
      <c r="F121" s="5">
        <v>949.20184794813179</v>
      </c>
      <c r="G121" s="5">
        <v>3782.7777777777774</v>
      </c>
      <c r="H121" s="5">
        <v>201.74415407566016</v>
      </c>
      <c r="I121" s="5">
        <v>10349</v>
      </c>
      <c r="J121" s="5">
        <v>1193.4613990871726</v>
      </c>
      <c r="L121" s="6">
        <v>766.15019741562423</v>
      </c>
      <c r="M121" s="6">
        <v>783.23861129429542</v>
      </c>
      <c r="N121" s="6">
        <v>1284.5773191555581</v>
      </c>
      <c r="O121" s="6">
        <v>1841.5417604701643</v>
      </c>
      <c r="P121" s="6">
        <v>3529.6413494228536</v>
      </c>
      <c r="Q121" s="6">
        <v>5450.6147716463101</v>
      </c>
      <c r="R121" s="6">
        <v>9179.1888288429582</v>
      </c>
      <c r="S121" s="6">
        <v>14564.74977662012</v>
      </c>
      <c r="T121" s="6">
        <v>26243.089672436749</v>
      </c>
      <c r="U121" s="6">
        <v>35506.188505980521</v>
      </c>
      <c r="V121" s="6">
        <v>65247.099722686631</v>
      </c>
      <c r="W121" s="6">
        <v>87662.384686300313</v>
      </c>
      <c r="X121" s="6">
        <v>117483.43467154082</v>
      </c>
      <c r="Y121" s="6">
        <v>165477.12893327585</v>
      </c>
      <c r="Z121" s="6">
        <v>155865.19075434681</v>
      </c>
      <c r="AA121" s="6">
        <v>147577.8992788399</v>
      </c>
      <c r="AB121" s="6">
        <v>124153.80864073402</v>
      </c>
      <c r="AC121" s="6">
        <v>77791.174020936072</v>
      </c>
      <c r="AD121" s="6">
        <v>33422.580524084115</v>
      </c>
    </row>
    <row r="122" spans="1:30" x14ac:dyDescent="0.2">
      <c r="B122" s="6">
        <v>10</v>
      </c>
      <c r="C122" s="5">
        <v>2616.3333333333335</v>
      </c>
      <c r="D122" s="5">
        <v>113.71944033942088</v>
      </c>
      <c r="E122" s="5"/>
      <c r="F122" s="5"/>
      <c r="G122" s="5">
        <v>5400.7777777777774</v>
      </c>
      <c r="H122" s="5">
        <v>381.56116931093197</v>
      </c>
      <c r="I122" s="5">
        <v>21184.777777777777</v>
      </c>
      <c r="J122" s="5">
        <v>4514.7282474306448</v>
      </c>
    </row>
    <row r="123" spans="1:30" x14ac:dyDescent="0.2">
      <c r="B123" s="6">
        <v>12</v>
      </c>
      <c r="C123" s="5">
        <v>2566.4444444444439</v>
      </c>
      <c r="D123" s="5">
        <v>78.912281351815921</v>
      </c>
      <c r="E123" s="5">
        <v>2529.75</v>
      </c>
      <c r="F123" s="5">
        <v>766.15019741562423</v>
      </c>
      <c r="G123" s="5">
        <v>8468.4444444444434</v>
      </c>
      <c r="H123" s="5">
        <v>967.89401011413133</v>
      </c>
      <c r="I123" s="5">
        <v>38990.666666666672</v>
      </c>
      <c r="J123" s="5">
        <v>6891.8034004975943</v>
      </c>
    </row>
    <row r="124" spans="1:30" x14ac:dyDescent="0.2">
      <c r="B124" s="6">
        <v>14</v>
      </c>
      <c r="C124" s="5">
        <v>2587.8888888888887</v>
      </c>
      <c r="D124" s="5">
        <v>62.897918472300255</v>
      </c>
      <c r="E124" s="5">
        <v>4471.8333333333339</v>
      </c>
      <c r="F124" s="5">
        <v>783.23861129429542</v>
      </c>
      <c r="G124" s="5">
        <v>16045.777777777776</v>
      </c>
      <c r="H124" s="5">
        <v>2256.5933600435405</v>
      </c>
      <c r="I124" s="5">
        <v>82304.444444444438</v>
      </c>
      <c r="J124" s="5">
        <v>12780.306609664683</v>
      </c>
    </row>
    <row r="125" spans="1:30" x14ac:dyDescent="0.2">
      <c r="B125" s="6">
        <v>16</v>
      </c>
      <c r="C125" s="5">
        <v>2450.3333333333335</v>
      </c>
      <c r="D125" s="5">
        <v>99.726849165329895</v>
      </c>
      <c r="E125" s="5">
        <v>5555.3333333333339</v>
      </c>
      <c r="F125" s="5">
        <v>1284.5773191555581</v>
      </c>
      <c r="G125" s="5">
        <v>23957.555555555558</v>
      </c>
      <c r="H125" s="5">
        <v>2696.6372131340286</v>
      </c>
      <c r="I125" s="5">
        <v>166760</v>
      </c>
      <c r="J125" s="5">
        <v>39184.241730573274</v>
      </c>
    </row>
    <row r="126" spans="1:30" x14ac:dyDescent="0.2">
      <c r="B126" s="6">
        <v>18</v>
      </c>
      <c r="C126" s="5">
        <v>2713.3333333333335</v>
      </c>
      <c r="D126" s="5">
        <v>310.03996158201574</v>
      </c>
      <c r="E126" s="5">
        <v>7635.166666666667</v>
      </c>
      <c r="F126" s="5">
        <v>1841.5417604701643</v>
      </c>
      <c r="G126" s="5">
        <v>41712.666666666664</v>
      </c>
      <c r="H126" s="5">
        <v>3792.291186663339</v>
      </c>
      <c r="I126" s="5">
        <v>320626.66666666669</v>
      </c>
      <c r="J126" s="5">
        <v>74445.086995568359</v>
      </c>
    </row>
    <row r="127" spans="1:30" x14ac:dyDescent="0.2">
      <c r="B127" s="6">
        <v>20</v>
      </c>
      <c r="C127" s="5"/>
      <c r="D127" s="5"/>
      <c r="E127" s="5">
        <v>12627.5</v>
      </c>
      <c r="F127" s="5">
        <v>3529.6413494228536</v>
      </c>
      <c r="G127" s="5">
        <v>85288.888888888891</v>
      </c>
      <c r="H127" s="5">
        <v>13824.985968782572</v>
      </c>
      <c r="I127" s="5">
        <v>625451.11111111112</v>
      </c>
      <c r="J127" s="5">
        <v>128018.28850829294</v>
      </c>
    </row>
    <row r="128" spans="1:30" x14ac:dyDescent="0.2">
      <c r="B128" s="6">
        <v>22</v>
      </c>
      <c r="C128" s="5"/>
      <c r="D128" s="5"/>
      <c r="E128" s="5">
        <v>18019.166666666664</v>
      </c>
      <c r="F128" s="5">
        <v>5450.6147716463101</v>
      </c>
      <c r="G128" s="5">
        <v>156113.33333333334</v>
      </c>
      <c r="H128" s="5">
        <v>24844.293778116051</v>
      </c>
      <c r="I128" s="5">
        <v>827482.22222222213</v>
      </c>
      <c r="J128" s="5">
        <v>138282.20618773883</v>
      </c>
    </row>
    <row r="129" spans="2:10" x14ac:dyDescent="0.2">
      <c r="B129" s="6">
        <v>24</v>
      </c>
      <c r="C129" s="5"/>
      <c r="D129" s="5"/>
      <c r="E129" s="5">
        <v>26891.333333333336</v>
      </c>
      <c r="F129" s="5">
        <v>9179.1888288429582</v>
      </c>
      <c r="G129" s="5">
        <v>302860</v>
      </c>
      <c r="H129" s="5">
        <v>45319.717563109327</v>
      </c>
      <c r="I129" s="5">
        <v>1108446.6666666667</v>
      </c>
      <c r="J129" s="5">
        <v>93202.562911828412</v>
      </c>
    </row>
    <row r="130" spans="2:10" x14ac:dyDescent="0.2">
      <c r="B130" s="6">
        <v>26</v>
      </c>
      <c r="C130" s="5"/>
      <c r="D130" s="5"/>
      <c r="E130" s="5">
        <v>39580.166666666664</v>
      </c>
      <c r="F130" s="5">
        <v>14564.74977662012</v>
      </c>
      <c r="G130" s="5">
        <v>459697.77777777775</v>
      </c>
      <c r="H130" s="5">
        <v>76131.489275195956</v>
      </c>
      <c r="I130" s="5">
        <v>1413902.2222222222</v>
      </c>
      <c r="J130" s="5">
        <v>68593.507089336199</v>
      </c>
    </row>
    <row r="131" spans="2:10" x14ac:dyDescent="0.2">
      <c r="B131" s="6">
        <v>28</v>
      </c>
      <c r="C131" s="5"/>
      <c r="D131" s="5"/>
      <c r="E131" s="5">
        <v>60730</v>
      </c>
      <c r="F131" s="5">
        <v>26243.089672436749</v>
      </c>
      <c r="G131" s="5">
        <v>737862.22222222213</v>
      </c>
      <c r="H131" s="5">
        <v>69814.380668656988</v>
      </c>
      <c r="I131" s="5">
        <v>1493088.8888888888</v>
      </c>
      <c r="J131" s="5">
        <v>36046.480076783191</v>
      </c>
    </row>
    <row r="132" spans="2:10" x14ac:dyDescent="0.2">
      <c r="B132" s="6">
        <v>30</v>
      </c>
      <c r="C132" s="5"/>
      <c r="D132" s="5"/>
      <c r="E132" s="5">
        <v>88653.333333333328</v>
      </c>
      <c r="F132" s="5">
        <v>35506.188505980521</v>
      </c>
      <c r="G132" s="5">
        <v>995651.11111111112</v>
      </c>
      <c r="H132" s="5">
        <v>73083.849662435561</v>
      </c>
      <c r="I132" s="5">
        <v>1565966.6666666667</v>
      </c>
      <c r="J132" s="5">
        <v>37177.202691972401</v>
      </c>
    </row>
    <row r="133" spans="2:10" x14ac:dyDescent="0.2">
      <c r="B133" s="6">
        <v>32</v>
      </c>
      <c r="C133" s="5"/>
      <c r="D133" s="5"/>
      <c r="E133" s="5">
        <v>137283.33333333334</v>
      </c>
      <c r="F133" s="5">
        <v>65247.099722686631</v>
      </c>
      <c r="G133" s="5">
        <v>1237535.5555555555</v>
      </c>
      <c r="H133" s="5">
        <v>118372.75143157515</v>
      </c>
      <c r="I133" s="5"/>
      <c r="J133" s="5"/>
    </row>
    <row r="134" spans="2:10" x14ac:dyDescent="0.2">
      <c r="B134" s="6">
        <v>34</v>
      </c>
      <c r="C134" s="5"/>
      <c r="D134" s="5"/>
      <c r="E134" s="5">
        <v>198213.33333333331</v>
      </c>
      <c r="F134" s="5">
        <v>87662.384686300313</v>
      </c>
      <c r="G134" s="5">
        <v>1195582.222222222</v>
      </c>
      <c r="H134" s="5">
        <v>98193.333635081246</v>
      </c>
      <c r="I134" s="5"/>
      <c r="J134" s="5"/>
    </row>
    <row r="135" spans="2:10" x14ac:dyDescent="0.2">
      <c r="B135" s="6">
        <v>36</v>
      </c>
      <c r="C135" s="5"/>
      <c r="D135" s="5"/>
      <c r="E135" s="5">
        <v>276053.33333333337</v>
      </c>
      <c r="F135" s="5">
        <v>117483.43467154082</v>
      </c>
      <c r="G135" s="5"/>
      <c r="H135" s="5"/>
      <c r="I135" s="5"/>
      <c r="J135" s="5"/>
    </row>
    <row r="136" spans="2:10" x14ac:dyDescent="0.2">
      <c r="B136" s="6">
        <v>38</v>
      </c>
      <c r="C136" s="5"/>
      <c r="D136" s="5"/>
      <c r="E136" s="5">
        <v>417330</v>
      </c>
      <c r="F136" s="5">
        <v>165477.12893327585</v>
      </c>
      <c r="G136" s="5"/>
      <c r="H136" s="5"/>
      <c r="I136" s="5"/>
      <c r="J136" s="5"/>
    </row>
    <row r="137" spans="2:10" x14ac:dyDescent="0.2">
      <c r="B137" s="6">
        <v>40</v>
      </c>
      <c r="C137" s="5"/>
      <c r="D137" s="5"/>
      <c r="E137" s="5">
        <v>540806.66666666663</v>
      </c>
      <c r="F137" s="5">
        <v>155865.19075434681</v>
      </c>
      <c r="G137" s="5"/>
      <c r="H137" s="5"/>
      <c r="I137" s="5"/>
      <c r="J137" s="5"/>
    </row>
    <row r="138" spans="2:10" x14ac:dyDescent="0.2">
      <c r="B138" s="6">
        <v>42</v>
      </c>
      <c r="C138" s="5"/>
      <c r="D138" s="5"/>
      <c r="E138" s="5">
        <v>682766.66666666674</v>
      </c>
      <c r="F138" s="5">
        <v>147577.8992788399</v>
      </c>
      <c r="G138" s="5"/>
      <c r="H138" s="5"/>
      <c r="I138" s="5"/>
      <c r="J138" s="5"/>
    </row>
    <row r="139" spans="2:10" x14ac:dyDescent="0.2">
      <c r="B139" s="6">
        <v>44</v>
      </c>
      <c r="C139" s="5"/>
      <c r="D139" s="5"/>
      <c r="E139" s="5">
        <v>777096.66666666663</v>
      </c>
      <c r="F139" s="5">
        <v>124153.80864073402</v>
      </c>
      <c r="G139" s="5"/>
      <c r="H139" s="5"/>
      <c r="I139" s="5"/>
      <c r="J139" s="5"/>
    </row>
    <row r="140" spans="2:10" x14ac:dyDescent="0.2">
      <c r="B140" s="6">
        <v>46</v>
      </c>
      <c r="C140" s="5"/>
      <c r="D140" s="5"/>
      <c r="E140" s="5">
        <v>886606.66666666674</v>
      </c>
      <c r="F140" s="5">
        <v>77791.174020936072</v>
      </c>
      <c r="G140" s="5"/>
      <c r="H140" s="5"/>
      <c r="I140" s="5"/>
      <c r="J140" s="5"/>
    </row>
    <row r="141" spans="2:10" x14ac:dyDescent="0.2">
      <c r="B141" s="6">
        <v>48</v>
      </c>
      <c r="C141" s="5"/>
      <c r="D141" s="5"/>
      <c r="E141" s="5">
        <v>944333.33333333326</v>
      </c>
      <c r="F141" s="5">
        <v>33422.580524084115</v>
      </c>
      <c r="G141" s="5"/>
      <c r="H141" s="5"/>
      <c r="I141" s="5"/>
      <c r="J141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B135"/>
  <sheetViews>
    <sheetView topLeftCell="N70" zoomScale="80" zoomScaleNormal="80" zoomScalePageLayoutView="80" workbookViewId="0">
      <selection activeCell="Y78" sqref="Y78:AB78"/>
    </sheetView>
  </sheetViews>
  <sheetFormatPr baseColWidth="10" defaultColWidth="12.5" defaultRowHeight="15" x14ac:dyDescent="0.2"/>
  <cols>
    <col min="1" max="1" width="18.5" style="4" customWidth="1"/>
    <col min="2" max="2" width="18.5" style="6" customWidth="1"/>
    <col min="3" max="3" width="18.6640625" style="6" customWidth="1"/>
    <col min="4" max="4" width="15.5" style="6" customWidth="1"/>
    <col min="5" max="5" width="16.6640625" style="6" customWidth="1"/>
    <col min="6" max="6" width="15.33203125" style="7" customWidth="1"/>
    <col min="7" max="8" width="13.5" style="6" bestFit="1" customWidth="1"/>
    <col min="9" max="9" width="14.83203125" style="6" bestFit="1" customWidth="1"/>
    <col min="10" max="10" width="12.5" style="6" bestFit="1" customWidth="1"/>
    <col min="11" max="16384" width="12.5" style="6"/>
  </cols>
  <sheetData>
    <row r="1" spans="1:26" s="2" customFormat="1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x14ac:dyDescent="0.2">
      <c r="A2" s="4" t="s">
        <v>80</v>
      </c>
      <c r="B2" s="5">
        <f>([1]innoculationdensity!$D$11*2)/1000</f>
        <v>1406.8133333333335</v>
      </c>
      <c r="C2" s="6">
        <v>1055</v>
      </c>
      <c r="D2" s="6">
        <v>1154</v>
      </c>
      <c r="E2" s="6">
        <v>1062</v>
      </c>
      <c r="F2" s="7">
        <v>1077</v>
      </c>
      <c r="G2" s="6">
        <v>1104</v>
      </c>
      <c r="H2" s="6">
        <v>1237</v>
      </c>
      <c r="I2" s="6">
        <v>989</v>
      </c>
      <c r="J2" s="6">
        <v>944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">
      <c r="A3" s="4" t="s">
        <v>81</v>
      </c>
      <c r="B3" s="5">
        <f>([1]innoculationdensity!$D$11*2)/1000</f>
        <v>1406.8133333333335</v>
      </c>
      <c r="C3" s="6">
        <v>1099</v>
      </c>
      <c r="D3" s="6">
        <v>1198</v>
      </c>
      <c r="E3" s="6">
        <v>1107</v>
      </c>
      <c r="F3" s="7">
        <v>1115</v>
      </c>
      <c r="G3" s="6">
        <v>1084</v>
      </c>
      <c r="H3" s="6">
        <v>1252</v>
      </c>
      <c r="I3" s="6">
        <v>1008</v>
      </c>
      <c r="J3" s="6">
        <v>967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">
      <c r="A4" s="4" t="s">
        <v>82</v>
      </c>
      <c r="B4" s="5">
        <f>([1]innoculationdensity!$D$11*2)/1000</f>
        <v>1406.8133333333335</v>
      </c>
      <c r="C4" s="6">
        <v>1118</v>
      </c>
      <c r="D4" s="6">
        <v>1218</v>
      </c>
      <c r="E4" s="6">
        <v>1283</v>
      </c>
      <c r="F4" s="7">
        <v>1153</v>
      </c>
      <c r="G4" s="6">
        <v>1103</v>
      </c>
      <c r="H4" s="6">
        <v>1172</v>
      </c>
      <c r="I4" s="6">
        <v>1003</v>
      </c>
      <c r="J4" s="6">
        <v>1028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">
      <c r="A5" s="4" t="s">
        <v>83</v>
      </c>
      <c r="B5" s="5">
        <f>([1]innoculationdensity!$D$11*2)/1000</f>
        <v>1406.8133333333335</v>
      </c>
      <c r="C5" s="6">
        <v>1337</v>
      </c>
      <c r="D5" s="6">
        <v>1384</v>
      </c>
      <c r="E5" s="6">
        <v>1027</v>
      </c>
      <c r="F5" s="7">
        <v>1029</v>
      </c>
      <c r="G5" s="6">
        <v>903</v>
      </c>
      <c r="H5" s="6">
        <v>1097</v>
      </c>
      <c r="I5" s="6">
        <v>933</v>
      </c>
      <c r="J5" s="6">
        <v>996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">
      <c r="A6" s="4" t="s">
        <v>84</v>
      </c>
      <c r="B6" s="5">
        <f>([1]innoculationdensity!$D$11*2)/1000</f>
        <v>1406.8133333333335</v>
      </c>
      <c r="C6" s="6">
        <v>1354</v>
      </c>
      <c r="D6" s="6">
        <v>1301</v>
      </c>
      <c r="E6" s="6">
        <v>980</v>
      </c>
      <c r="F6" s="7">
        <v>1026</v>
      </c>
      <c r="G6" s="6">
        <v>894</v>
      </c>
      <c r="H6" s="6">
        <v>1038</v>
      </c>
      <c r="I6" s="6">
        <v>935</v>
      </c>
      <c r="J6" s="6">
        <v>995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">
      <c r="A7" s="4" t="s">
        <v>85</v>
      </c>
      <c r="B7" s="5">
        <f>([1]innoculationdensity!$D$11*2)/1000</f>
        <v>1406.8133333333335</v>
      </c>
      <c r="C7" s="6">
        <v>1292</v>
      </c>
      <c r="D7" s="6">
        <v>1260</v>
      </c>
      <c r="E7" s="6">
        <v>965</v>
      </c>
      <c r="F7" s="7">
        <v>1018</v>
      </c>
      <c r="G7" s="6">
        <v>898</v>
      </c>
      <c r="H7" s="6">
        <v>1089</v>
      </c>
      <c r="I7" s="6">
        <v>959</v>
      </c>
      <c r="J7" s="6">
        <v>994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">
      <c r="A8" s="4" t="s">
        <v>86</v>
      </c>
      <c r="B8" s="5">
        <f>([1]innoculationdensity!$D$11*2)/1000</f>
        <v>1406.8133333333335</v>
      </c>
      <c r="C8" s="6">
        <v>1509</v>
      </c>
      <c r="D8" s="6">
        <v>1211</v>
      </c>
      <c r="E8" s="6">
        <v>1083</v>
      </c>
      <c r="F8" s="7">
        <v>1058</v>
      </c>
      <c r="G8" s="6">
        <v>1082</v>
      </c>
      <c r="H8" s="6">
        <v>857</v>
      </c>
      <c r="I8" s="6">
        <v>893</v>
      </c>
      <c r="J8" s="6">
        <v>839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">
      <c r="A9" s="4" t="s">
        <v>87</v>
      </c>
      <c r="B9" s="5">
        <f>([1]innoculationdensity!$D$11*2)/1000</f>
        <v>1406.8133333333335</v>
      </c>
      <c r="C9" s="6">
        <v>1486</v>
      </c>
      <c r="D9" s="6">
        <v>1200</v>
      </c>
      <c r="E9" s="6">
        <v>1086</v>
      </c>
      <c r="F9" s="7">
        <v>1042</v>
      </c>
      <c r="G9" s="6">
        <v>1106</v>
      </c>
      <c r="H9" s="6">
        <v>946</v>
      </c>
      <c r="I9" s="6">
        <v>946</v>
      </c>
      <c r="J9" s="6">
        <v>899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">
      <c r="A10" s="4" t="s">
        <v>88</v>
      </c>
      <c r="B10" s="5">
        <f>([1]innoculationdensity!$D$11*2)/1000</f>
        <v>1406.8133333333335</v>
      </c>
      <c r="C10" s="6">
        <v>1465</v>
      </c>
      <c r="D10" s="6">
        <v>1214</v>
      </c>
      <c r="E10" s="6">
        <v>1090</v>
      </c>
      <c r="F10" s="7">
        <v>1033</v>
      </c>
      <c r="G10" s="6">
        <v>1061</v>
      </c>
      <c r="H10" s="6">
        <v>909</v>
      </c>
      <c r="I10" s="6">
        <v>899</v>
      </c>
      <c r="J10" s="6">
        <v>902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">
      <c r="A11" s="4" t="s">
        <v>89</v>
      </c>
      <c r="B11" s="5">
        <f>([1]innoculationdensity!$D$11*2)/1000</f>
        <v>1406.8133333333335</v>
      </c>
      <c r="C11" s="6">
        <v>1228</v>
      </c>
      <c r="D11" s="6">
        <v>1135</v>
      </c>
      <c r="E11" s="6">
        <v>1173</v>
      </c>
      <c r="F11" s="7">
        <v>1688</v>
      </c>
      <c r="G11" s="6">
        <v>3018</v>
      </c>
      <c r="H11" s="6">
        <v>7388</v>
      </c>
      <c r="I11" s="6">
        <v>15490</v>
      </c>
      <c r="J11" s="6">
        <v>38938</v>
      </c>
      <c r="K11" s="6">
        <f>4342*20</f>
        <v>86840</v>
      </c>
      <c r="L11" s="6">
        <f>10644*20</f>
        <v>212880</v>
      </c>
      <c r="M11" s="6">
        <f>18398*20</f>
        <v>367960</v>
      </c>
      <c r="N11" s="6">
        <f>24123*20</f>
        <v>482460</v>
      </c>
      <c r="O11" s="6">
        <f>26352*20</f>
        <v>527040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">
      <c r="A12" s="4" t="s">
        <v>90</v>
      </c>
      <c r="B12" s="5">
        <f>([1]innoculationdensity!$D$11*2)/1000</f>
        <v>1406.8133333333335</v>
      </c>
      <c r="C12" s="6">
        <v>1192</v>
      </c>
      <c r="D12" s="6">
        <v>1163</v>
      </c>
      <c r="E12" s="6">
        <v>1232</v>
      </c>
      <c r="F12" s="7">
        <v>1607</v>
      </c>
      <c r="G12" s="6">
        <v>2910</v>
      </c>
      <c r="H12" s="6">
        <v>7164</v>
      </c>
      <c r="I12" s="6">
        <v>15822</v>
      </c>
      <c r="J12" s="6">
        <v>39198</v>
      </c>
      <c r="K12" s="6">
        <f>4150*20</f>
        <v>83000</v>
      </c>
      <c r="L12" s="6">
        <f>10610*20</f>
        <v>212200</v>
      </c>
      <c r="M12" s="6">
        <f>18785*20</f>
        <v>375700</v>
      </c>
      <c r="N12" s="6">
        <f>24160*20</f>
        <v>483200</v>
      </c>
      <c r="O12" s="6">
        <f>26192*20</f>
        <v>523840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">
      <c r="A13" s="4" t="s">
        <v>91</v>
      </c>
      <c r="B13" s="5">
        <f>([1]innoculationdensity!$D$11*2)/1000</f>
        <v>1406.8133333333335</v>
      </c>
      <c r="C13" s="6">
        <v>1182</v>
      </c>
      <c r="D13" s="6">
        <v>1037</v>
      </c>
      <c r="E13" s="6">
        <v>1276</v>
      </c>
      <c r="F13" s="7">
        <v>1592</v>
      </c>
      <c r="G13" s="6">
        <v>2996</v>
      </c>
      <c r="H13" s="6">
        <v>7226</v>
      </c>
      <c r="I13" s="6">
        <v>15642</v>
      </c>
      <c r="J13" s="6">
        <v>35365</v>
      </c>
      <c r="K13" s="6">
        <f>4093*20</f>
        <v>81860</v>
      </c>
      <c r="L13" s="6">
        <f>10694*20</f>
        <v>213880</v>
      </c>
      <c r="M13" s="6">
        <f>18629*20</f>
        <v>372580</v>
      </c>
      <c r="N13" s="6">
        <f>23829*20</f>
        <v>476580</v>
      </c>
      <c r="O13" s="6">
        <f>26309*20</f>
        <v>526180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">
      <c r="A14" s="4" t="s">
        <v>92</v>
      </c>
      <c r="B14" s="5">
        <f>([1]innoculationdensity!$D$11*2)/1000</f>
        <v>1406.8133333333335</v>
      </c>
      <c r="C14" s="6">
        <v>1084</v>
      </c>
      <c r="D14" s="6">
        <v>1086</v>
      </c>
      <c r="E14" s="6">
        <v>1296</v>
      </c>
      <c r="F14" s="7">
        <v>2104</v>
      </c>
      <c r="G14" s="6">
        <v>3856</v>
      </c>
      <c r="H14" s="6">
        <v>10853</v>
      </c>
      <c r="I14" s="6">
        <v>28983</v>
      </c>
      <c r="J14" s="6">
        <v>69885</v>
      </c>
      <c r="K14" s="6">
        <f>8371*20</f>
        <v>167420</v>
      </c>
      <c r="L14" s="6">
        <f>17858*20</f>
        <v>357160</v>
      </c>
      <c r="M14" s="6">
        <f>29981*20</f>
        <v>599620</v>
      </c>
      <c r="N14" s="6">
        <f>34163*20</f>
        <v>683260</v>
      </c>
      <c r="O14" s="6">
        <f>33331*20</f>
        <v>666620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">
      <c r="A15" s="4" t="s">
        <v>93</v>
      </c>
      <c r="B15" s="5">
        <f>([1]innoculationdensity!$D$11*2)/1000</f>
        <v>1406.8133333333335</v>
      </c>
      <c r="C15" s="6">
        <v>1145</v>
      </c>
      <c r="D15" s="6">
        <v>1036</v>
      </c>
      <c r="E15" s="6">
        <v>1231</v>
      </c>
      <c r="F15" s="7">
        <v>2027</v>
      </c>
      <c r="G15" s="6">
        <v>3950</v>
      </c>
      <c r="H15" s="6">
        <v>10976</v>
      </c>
      <c r="I15" s="6">
        <v>29419</v>
      </c>
      <c r="J15" s="6">
        <v>63922</v>
      </c>
      <c r="K15" s="6">
        <f>8517*20</f>
        <v>170340</v>
      </c>
      <c r="L15" s="6">
        <f>17901*20</f>
        <v>358020</v>
      </c>
      <c r="M15" s="6">
        <f>29930*20</f>
        <v>598600</v>
      </c>
      <c r="N15" s="6">
        <f>34450*20</f>
        <v>689000</v>
      </c>
      <c r="O15" s="6">
        <f>33939*20</f>
        <v>678780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">
      <c r="A16" s="4" t="s">
        <v>94</v>
      </c>
      <c r="B16" s="5">
        <f>([1]innoculationdensity!$D$11*2)/1000</f>
        <v>1406.8133333333335</v>
      </c>
      <c r="C16" s="6">
        <v>1074</v>
      </c>
      <c r="D16" s="6">
        <v>1003</v>
      </c>
      <c r="E16" s="6">
        <v>1252</v>
      </c>
      <c r="F16" s="7">
        <v>2065</v>
      </c>
      <c r="G16" s="6">
        <v>3888</v>
      </c>
      <c r="H16" s="6">
        <v>11080</v>
      </c>
      <c r="I16" s="6">
        <v>28399</v>
      </c>
      <c r="J16" s="6">
        <v>64399</v>
      </c>
      <c r="K16" s="6">
        <f>8848*20</f>
        <v>176960</v>
      </c>
      <c r="L16" s="6">
        <f>18038*20</f>
        <v>360760</v>
      </c>
      <c r="M16" s="6">
        <f>29790*20</f>
        <v>595800</v>
      </c>
      <c r="N16" s="6">
        <f>33659*20</f>
        <v>673180</v>
      </c>
      <c r="O16" s="6">
        <f>33645*20</f>
        <v>672900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">
      <c r="A17" s="4" t="s">
        <v>95</v>
      </c>
      <c r="B17" s="5">
        <f>([1]innoculationdensity!$D$11*2)/1000</f>
        <v>1406.8133333333335</v>
      </c>
      <c r="C17" s="6">
        <v>1269</v>
      </c>
      <c r="D17" s="6">
        <v>1398</v>
      </c>
      <c r="E17" s="6">
        <v>1217</v>
      </c>
      <c r="F17" s="7">
        <v>1890</v>
      </c>
      <c r="G17" s="6">
        <v>2913</v>
      </c>
      <c r="H17" s="6">
        <v>7609</v>
      </c>
      <c r="I17" s="6">
        <v>19012</v>
      </c>
      <c r="J17" s="6">
        <v>49164</v>
      </c>
      <c r="K17" s="6">
        <f>6325*20</f>
        <v>126500</v>
      </c>
      <c r="L17" s="6">
        <f>13707*20</f>
        <v>274140</v>
      </c>
      <c r="M17" s="6">
        <f>24589*20</f>
        <v>491780</v>
      </c>
      <c r="N17" s="6">
        <f>31622*20</f>
        <v>632440</v>
      </c>
      <c r="O17" s="6">
        <f>34454*20</f>
        <v>689080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">
      <c r="A18" s="4" t="s">
        <v>96</v>
      </c>
      <c r="B18" s="5">
        <f>([1]innoculationdensity!$D$11*2)/1000</f>
        <v>1406.8133333333335</v>
      </c>
      <c r="C18" s="6">
        <v>1256</v>
      </c>
      <c r="D18" s="6">
        <v>1312</v>
      </c>
      <c r="E18" s="6">
        <v>1227</v>
      </c>
      <c r="F18" s="7">
        <v>1921</v>
      </c>
      <c r="G18" s="6">
        <v>2832</v>
      </c>
      <c r="H18" s="6">
        <v>7663</v>
      </c>
      <c r="I18" s="6">
        <v>19047</v>
      </c>
      <c r="J18" s="6">
        <v>46626</v>
      </c>
      <c r="K18" s="6">
        <f>6334*20</f>
        <v>126680</v>
      </c>
      <c r="L18" s="6">
        <f>13500*20</f>
        <v>270000</v>
      </c>
      <c r="M18" s="6">
        <f>24099*20</f>
        <v>481980</v>
      </c>
      <c r="N18" s="6">
        <f>31697*20</f>
        <v>633940</v>
      </c>
      <c r="O18" s="6">
        <f>33875*20</f>
        <v>677500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">
      <c r="A19" s="4" t="s">
        <v>97</v>
      </c>
      <c r="B19" s="5">
        <f>([1]innoculationdensity!$D$11*2)/1000</f>
        <v>1406.8133333333335</v>
      </c>
      <c r="C19" s="6">
        <v>1272</v>
      </c>
      <c r="D19" s="6">
        <v>1318</v>
      </c>
      <c r="E19" s="6">
        <v>1277</v>
      </c>
      <c r="F19" s="7">
        <v>1944</v>
      </c>
      <c r="G19" s="6">
        <v>2871</v>
      </c>
      <c r="H19" s="6">
        <v>7770</v>
      </c>
      <c r="I19" s="6">
        <v>19320</v>
      </c>
      <c r="J19" s="6">
        <v>46943</v>
      </c>
      <c r="K19" s="6">
        <f>6117*20</f>
        <v>122340</v>
      </c>
      <c r="L19" s="6">
        <f>13366*20</f>
        <v>267320</v>
      </c>
      <c r="M19" s="6">
        <f>23963*20</f>
        <v>479260</v>
      </c>
      <c r="N19" s="6">
        <f>31967*20</f>
        <v>639340</v>
      </c>
      <c r="O19" s="6">
        <f>33088*20</f>
        <v>661760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">
      <c r="A20" s="4" t="s">
        <v>161</v>
      </c>
      <c r="B20" s="5">
        <f>((22000*64)/1000)</f>
        <v>1408</v>
      </c>
      <c r="C20" s="6">
        <v>1485</v>
      </c>
      <c r="D20" s="6">
        <v>1022</v>
      </c>
      <c r="E20" s="6">
        <v>1524</v>
      </c>
      <c r="F20" s="7">
        <v>2428</v>
      </c>
      <c r="G20" s="6">
        <v>3464</v>
      </c>
      <c r="H20" s="6">
        <v>6055</v>
      </c>
      <c r="I20" s="6">
        <v>9501</v>
      </c>
      <c r="J20" s="6">
        <v>13810</v>
      </c>
      <c r="K20" s="6">
        <v>21407</v>
      </c>
      <c r="L20" s="6">
        <v>32783</v>
      </c>
      <c r="M20" s="6">
        <f>2346*20</f>
        <v>46920</v>
      </c>
      <c r="N20" s="6">
        <f>3706*20</f>
        <v>74120</v>
      </c>
      <c r="O20" s="6">
        <f>5039*20</f>
        <v>100780</v>
      </c>
      <c r="P20" s="6">
        <f>8322*20</f>
        <v>166440</v>
      </c>
      <c r="Q20" s="6">
        <f>9247*20</f>
        <v>184940</v>
      </c>
      <c r="R20" s="6">
        <f>9862*20</f>
        <v>197240</v>
      </c>
      <c r="S20" s="6">
        <f>8077*20</f>
        <v>161540</v>
      </c>
      <c r="T20" s="8"/>
      <c r="U20" s="8"/>
      <c r="V20" s="8"/>
      <c r="W20" s="8"/>
      <c r="X20" s="8"/>
      <c r="Y20" s="8"/>
      <c r="Z20" s="8"/>
    </row>
    <row r="21" spans="1:26" x14ac:dyDescent="0.2">
      <c r="A21" s="4" t="s">
        <v>162</v>
      </c>
      <c r="B21" s="5">
        <f t="shared" ref="B21:B28" si="0">((22000*64)/1000)</f>
        <v>1408</v>
      </c>
      <c r="C21" s="6">
        <v>1424</v>
      </c>
      <c r="D21" s="6">
        <v>1251</v>
      </c>
      <c r="E21" s="6">
        <v>1449</v>
      </c>
      <c r="F21" s="7">
        <v>2537</v>
      </c>
      <c r="G21" s="6">
        <v>3552</v>
      </c>
      <c r="H21" s="6">
        <v>6029</v>
      </c>
      <c r="I21" s="6">
        <v>9592</v>
      </c>
      <c r="J21" s="6">
        <v>13496</v>
      </c>
      <c r="K21" s="6">
        <v>20920</v>
      </c>
      <c r="L21" s="6">
        <v>31953</v>
      </c>
      <c r="M21" s="6">
        <f>2314*20</f>
        <v>46280</v>
      </c>
      <c r="N21" s="6">
        <f>3755*20</f>
        <v>75100</v>
      </c>
      <c r="O21" s="6">
        <f>5024*20</f>
        <v>100480</v>
      </c>
      <c r="P21" s="6">
        <f>8165*20</f>
        <v>163300</v>
      </c>
      <c r="Q21" s="6">
        <f>9083*20</f>
        <v>181660</v>
      </c>
      <c r="R21" s="6">
        <f>9864*20</f>
        <v>197280</v>
      </c>
      <c r="S21" s="6">
        <f>8073*20</f>
        <v>161460</v>
      </c>
      <c r="T21" s="8"/>
      <c r="U21" s="8"/>
      <c r="V21" s="8"/>
      <c r="W21" s="8"/>
      <c r="X21" s="8"/>
      <c r="Y21" s="8"/>
      <c r="Z21" s="8"/>
    </row>
    <row r="22" spans="1:26" x14ac:dyDescent="0.2">
      <c r="A22" s="4" t="s">
        <v>163</v>
      </c>
      <c r="B22" s="5">
        <f t="shared" si="0"/>
        <v>1408</v>
      </c>
      <c r="C22" s="6">
        <v>1298</v>
      </c>
      <c r="D22" s="6">
        <v>1131</v>
      </c>
      <c r="E22" s="6">
        <v>1271</v>
      </c>
      <c r="F22" s="7">
        <v>2547</v>
      </c>
      <c r="G22" s="6">
        <v>3410</v>
      </c>
      <c r="H22" s="6">
        <v>6069</v>
      </c>
      <c r="I22" s="6">
        <v>9403</v>
      </c>
      <c r="J22" s="6">
        <v>13922</v>
      </c>
      <c r="K22" s="6">
        <v>20688</v>
      </c>
      <c r="L22" s="6">
        <v>31174</v>
      </c>
      <c r="M22" s="6">
        <f>2325*20</f>
        <v>46500</v>
      </c>
      <c r="N22" s="6">
        <f>3654*20</f>
        <v>73080</v>
      </c>
      <c r="O22" s="6">
        <f>4884*20</f>
        <v>97680</v>
      </c>
      <c r="P22" s="6">
        <f>8061*20</f>
        <v>161220</v>
      </c>
      <c r="Q22" s="6">
        <f>9272*20</f>
        <v>185440</v>
      </c>
      <c r="R22" s="6">
        <f>9731*20</f>
        <v>194620</v>
      </c>
      <c r="S22" s="6">
        <f>7889*20</f>
        <v>157780</v>
      </c>
      <c r="T22" s="8"/>
      <c r="U22" s="8"/>
      <c r="V22" s="8"/>
      <c r="W22" s="8"/>
      <c r="X22" s="8"/>
      <c r="Y22" s="8"/>
      <c r="Z22" s="8"/>
    </row>
    <row r="23" spans="1:26" x14ac:dyDescent="0.2">
      <c r="A23" s="4" t="s">
        <v>164</v>
      </c>
      <c r="B23" s="5">
        <f t="shared" si="0"/>
        <v>1408</v>
      </c>
      <c r="C23" s="6">
        <v>997</v>
      </c>
      <c r="D23" s="6">
        <v>1289</v>
      </c>
      <c r="E23" s="6">
        <v>1407</v>
      </c>
      <c r="F23" s="7">
        <v>2929</v>
      </c>
      <c r="G23" s="6">
        <v>5232</v>
      </c>
      <c r="H23" s="6">
        <v>9890</v>
      </c>
      <c r="I23" s="6">
        <v>15445</v>
      </c>
      <c r="J23" s="6">
        <v>24210</v>
      </c>
      <c r="K23" s="6">
        <v>38413</v>
      </c>
      <c r="L23" s="6">
        <v>61269</v>
      </c>
      <c r="M23" s="6">
        <f>4954*20</f>
        <v>99080</v>
      </c>
      <c r="N23" s="6">
        <f>9078*20</f>
        <v>181560</v>
      </c>
      <c r="O23" s="6">
        <f>11369*20</f>
        <v>227380</v>
      </c>
      <c r="P23" s="6">
        <f>15369*20</f>
        <v>307380</v>
      </c>
      <c r="Q23" s="6">
        <f>13445*20</f>
        <v>268900</v>
      </c>
      <c r="R23" s="6">
        <f>12990*20</f>
        <v>259800</v>
      </c>
      <c r="S23" s="6">
        <f>10872*20</f>
        <v>217440</v>
      </c>
      <c r="T23" s="8"/>
      <c r="U23" s="8"/>
      <c r="V23" s="8"/>
      <c r="W23" s="8"/>
      <c r="X23" s="8"/>
      <c r="Y23" s="8"/>
      <c r="Z23" s="8"/>
    </row>
    <row r="24" spans="1:26" x14ac:dyDescent="0.2">
      <c r="A24" s="4" t="s">
        <v>165</v>
      </c>
      <c r="B24" s="5">
        <f t="shared" si="0"/>
        <v>1408</v>
      </c>
      <c r="C24" s="6">
        <v>957</v>
      </c>
      <c r="D24" s="6">
        <v>1073</v>
      </c>
      <c r="E24" s="6">
        <v>1308</v>
      </c>
      <c r="F24" s="7">
        <v>2895</v>
      </c>
      <c r="G24" s="6">
        <v>5197</v>
      </c>
      <c r="H24" s="6">
        <v>13123</v>
      </c>
      <c r="I24" s="6">
        <v>15608</v>
      </c>
      <c r="J24" s="6">
        <v>24134</v>
      </c>
      <c r="K24" s="6">
        <v>38392</v>
      </c>
      <c r="L24" s="6">
        <v>60216</v>
      </c>
      <c r="M24" s="6">
        <f>4906*20</f>
        <v>98120</v>
      </c>
      <c r="N24" s="6">
        <f>9304*20</f>
        <v>186080</v>
      </c>
      <c r="O24" s="6">
        <f>11413*20</f>
        <v>228260</v>
      </c>
      <c r="P24" s="6">
        <f>15350*20</f>
        <v>307000</v>
      </c>
      <c r="Q24" s="6">
        <f>13481*20</f>
        <v>269620</v>
      </c>
      <c r="R24" s="6">
        <f>13105*20</f>
        <v>262100</v>
      </c>
      <c r="S24" s="6">
        <f>11028*20</f>
        <v>220560</v>
      </c>
      <c r="T24" s="8"/>
      <c r="U24" s="8"/>
      <c r="V24" s="8"/>
      <c r="W24" s="8"/>
      <c r="X24" s="8"/>
      <c r="Y24" s="8"/>
      <c r="Z24" s="8"/>
    </row>
    <row r="25" spans="1:26" x14ac:dyDescent="0.2">
      <c r="A25" s="4" t="s">
        <v>166</v>
      </c>
      <c r="B25" s="5">
        <f t="shared" si="0"/>
        <v>1408</v>
      </c>
      <c r="C25" s="6">
        <v>1272</v>
      </c>
      <c r="D25" s="6">
        <v>1027</v>
      </c>
      <c r="E25" s="6">
        <v>1324</v>
      </c>
      <c r="F25" s="7">
        <v>2759</v>
      </c>
      <c r="G25" s="6">
        <v>4966</v>
      </c>
      <c r="H25" s="6">
        <v>13089</v>
      </c>
      <c r="I25" s="6">
        <v>15286</v>
      </c>
      <c r="J25" s="6">
        <v>22698</v>
      </c>
      <c r="K25" s="6">
        <v>38250</v>
      </c>
      <c r="L25" s="6">
        <v>61268</v>
      </c>
      <c r="M25" s="6">
        <f>5026*20</f>
        <v>100520</v>
      </c>
      <c r="N25" s="6">
        <f>9266*20</f>
        <v>185320</v>
      </c>
      <c r="O25" s="6">
        <f>11081*20</f>
        <v>221620</v>
      </c>
      <c r="P25" s="6">
        <f>15400*20</f>
        <v>308000</v>
      </c>
      <c r="Q25" s="6">
        <f>13797*20</f>
        <v>275940</v>
      </c>
      <c r="R25" s="6">
        <f>12910*20</f>
        <v>258200</v>
      </c>
      <c r="S25" s="6">
        <f>10830*20</f>
        <v>216600</v>
      </c>
      <c r="T25" s="8"/>
      <c r="U25" s="8"/>
      <c r="V25" s="8"/>
      <c r="W25" s="8"/>
      <c r="X25" s="8"/>
      <c r="Y25" s="8"/>
      <c r="Z25" s="8"/>
    </row>
    <row r="26" spans="1:26" x14ac:dyDescent="0.2">
      <c r="A26" s="4" t="s">
        <v>167</v>
      </c>
      <c r="B26" s="5">
        <f t="shared" si="0"/>
        <v>1408</v>
      </c>
      <c r="C26" s="6">
        <v>1144</v>
      </c>
      <c r="D26" s="6">
        <v>860</v>
      </c>
      <c r="E26" s="6">
        <v>1313</v>
      </c>
      <c r="F26" s="7">
        <v>2262</v>
      </c>
      <c r="G26" s="6">
        <v>3393</v>
      </c>
      <c r="H26" s="6">
        <v>6818</v>
      </c>
      <c r="I26" s="6">
        <v>8732</v>
      </c>
      <c r="J26" s="6">
        <v>12540</v>
      </c>
      <c r="K26" s="6">
        <v>18957</v>
      </c>
      <c r="L26" s="6">
        <v>30353</v>
      </c>
      <c r="M26" s="6">
        <f>2236*20</f>
        <v>44720</v>
      </c>
      <c r="N26" s="6">
        <f>3394*20</f>
        <v>67880</v>
      </c>
      <c r="O26" s="6">
        <f>5056*20</f>
        <v>101120</v>
      </c>
      <c r="P26" s="6">
        <f>8628*20</f>
        <v>172560</v>
      </c>
      <c r="Q26" s="6">
        <f>12966*20</f>
        <v>259320</v>
      </c>
      <c r="R26" s="6">
        <f>14098*20</f>
        <v>281960</v>
      </c>
      <c r="S26" s="6">
        <f>13036*20</f>
        <v>260720</v>
      </c>
      <c r="T26" s="8"/>
      <c r="U26" s="8"/>
      <c r="V26" s="8"/>
      <c r="W26" s="8"/>
      <c r="X26" s="8"/>
      <c r="Y26" s="8"/>
      <c r="Z26" s="8"/>
    </row>
    <row r="27" spans="1:26" x14ac:dyDescent="0.2">
      <c r="A27" s="4" t="s">
        <v>168</v>
      </c>
      <c r="B27" s="5">
        <f t="shared" si="0"/>
        <v>1408</v>
      </c>
      <c r="C27" s="6">
        <v>1109</v>
      </c>
      <c r="D27" s="6">
        <v>785</v>
      </c>
      <c r="E27" s="6">
        <v>1170</v>
      </c>
      <c r="F27" s="7">
        <v>2221</v>
      </c>
      <c r="G27" s="6">
        <v>3217</v>
      </c>
      <c r="H27" s="6">
        <v>6097</v>
      </c>
      <c r="I27" s="6">
        <v>8443</v>
      </c>
      <c r="J27" s="6">
        <v>12441</v>
      </c>
      <c r="K27" s="6">
        <v>18649</v>
      </c>
      <c r="L27" s="6">
        <v>29646</v>
      </c>
      <c r="M27" s="6">
        <f>2073*20</f>
        <v>41460</v>
      </c>
      <c r="N27" s="6">
        <f>3327*20</f>
        <v>66540</v>
      </c>
      <c r="O27" s="6">
        <f>4783*20</f>
        <v>95660</v>
      </c>
      <c r="P27" s="6">
        <f>8430*20</f>
        <v>168600</v>
      </c>
      <c r="Q27" s="6">
        <f>12581*20</f>
        <v>251620</v>
      </c>
      <c r="R27" s="6">
        <f>14153*20</f>
        <v>283060</v>
      </c>
      <c r="S27" s="6">
        <f>13204*20</f>
        <v>264080</v>
      </c>
      <c r="T27" s="8"/>
      <c r="U27" s="8"/>
      <c r="V27" s="8"/>
      <c r="W27" s="8"/>
      <c r="X27" s="8"/>
      <c r="Y27" s="8"/>
      <c r="Z27" s="8"/>
    </row>
    <row r="28" spans="1:26" x14ac:dyDescent="0.2">
      <c r="A28" s="4" t="s">
        <v>169</v>
      </c>
      <c r="B28" s="5">
        <f t="shared" si="0"/>
        <v>1408</v>
      </c>
      <c r="D28" s="6">
        <v>775</v>
      </c>
      <c r="E28" s="6">
        <v>1226</v>
      </c>
      <c r="F28" s="7">
        <v>2132</v>
      </c>
      <c r="G28" s="6">
        <v>3174</v>
      </c>
      <c r="H28" s="6">
        <v>5636</v>
      </c>
      <c r="I28" s="6">
        <v>8362</v>
      </c>
      <c r="J28" s="6">
        <v>11971</v>
      </c>
      <c r="K28" s="6">
        <v>18243</v>
      </c>
      <c r="L28" s="6">
        <v>29150</v>
      </c>
      <c r="M28" s="6">
        <f>2162*20</f>
        <v>43240</v>
      </c>
      <c r="N28" s="6">
        <f>3321*20</f>
        <v>66420</v>
      </c>
      <c r="O28" s="6">
        <f>4815*20</f>
        <v>96300</v>
      </c>
      <c r="P28" s="6">
        <f>8417*20</f>
        <v>168340</v>
      </c>
      <c r="Q28" s="6">
        <f>12623*20</f>
        <v>252460</v>
      </c>
      <c r="R28" s="6">
        <f>14044*20</f>
        <v>280880</v>
      </c>
      <c r="S28" s="6">
        <f>12877*20</f>
        <v>257540</v>
      </c>
      <c r="T28" s="8"/>
      <c r="U28" s="8"/>
      <c r="V28" s="8"/>
      <c r="W28" s="8"/>
      <c r="X28" s="8"/>
      <c r="Y28" s="8"/>
      <c r="Z28" s="8"/>
    </row>
    <row r="29" spans="1:26" x14ac:dyDescent="0.2">
      <c r="A29" s="4" t="s">
        <v>170</v>
      </c>
      <c r="B29" s="5">
        <f>([1]innoculationdensity!$D$50*10)/1000</f>
        <v>1188.0666666666666</v>
      </c>
      <c r="C29" s="6">
        <f>2475-432</f>
        <v>2043</v>
      </c>
      <c r="D29" s="6">
        <v>3461</v>
      </c>
      <c r="E29" s="6">
        <v>18456</v>
      </c>
      <c r="F29" s="7">
        <v>43582</v>
      </c>
      <c r="G29" s="6">
        <f>5221*20</f>
        <v>104420</v>
      </c>
      <c r="H29" s="6">
        <f>16484*20</f>
        <v>329680</v>
      </c>
      <c r="I29" s="6">
        <f>32307*20</f>
        <v>646140</v>
      </c>
      <c r="J29" s="6">
        <f>51084*20</f>
        <v>1021680</v>
      </c>
      <c r="K29" s="6">
        <f>60803*20</f>
        <v>1216060</v>
      </c>
      <c r="L29" s="6">
        <f>57985*20</f>
        <v>1159700</v>
      </c>
      <c r="M29" s="6">
        <f>44894*20</f>
        <v>897880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">
      <c r="A30" s="4" t="s">
        <v>171</v>
      </c>
      <c r="B30" s="5">
        <f>([1]innoculationdensity!$D$50*10)/1000</f>
        <v>1188.0666666666666</v>
      </c>
      <c r="C30" s="6">
        <f>2409-432</f>
        <v>1977</v>
      </c>
      <c r="D30" s="6">
        <v>3530</v>
      </c>
      <c r="E30" s="6">
        <v>17635</v>
      </c>
      <c r="F30" s="7">
        <v>40842</v>
      </c>
      <c r="G30" s="6">
        <f>5745*20</f>
        <v>114900</v>
      </c>
      <c r="H30" s="6">
        <f>16636*20</f>
        <v>332720</v>
      </c>
      <c r="I30" s="6">
        <f>32814*20</f>
        <v>656280</v>
      </c>
      <c r="J30" s="6">
        <f>50984*20</f>
        <v>1019680</v>
      </c>
      <c r="K30" s="6">
        <f>60616*20</f>
        <v>1212320</v>
      </c>
      <c r="L30" s="6">
        <f>58575*20</f>
        <v>1171500</v>
      </c>
      <c r="M30" s="6">
        <f>43907*20</f>
        <v>878140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">
      <c r="A31" s="4" t="s">
        <v>172</v>
      </c>
      <c r="B31" s="5">
        <f>([1]innoculationdensity!$D$50*10)/1000</f>
        <v>1188.0666666666666</v>
      </c>
      <c r="C31" s="6">
        <f>2390-432</f>
        <v>1958</v>
      </c>
      <c r="D31" s="6">
        <v>3425</v>
      </c>
      <c r="E31" s="6">
        <v>17678</v>
      </c>
      <c r="F31" s="7">
        <v>39868</v>
      </c>
      <c r="G31" s="6">
        <f>4983*20</f>
        <v>99660</v>
      </c>
      <c r="H31" s="6">
        <f>16191*20</f>
        <v>323820</v>
      </c>
      <c r="I31" s="6">
        <f>32888*20</f>
        <v>657760</v>
      </c>
      <c r="J31" s="6">
        <f>50679*20</f>
        <v>1013580</v>
      </c>
      <c r="K31" s="6">
        <f>60067*20</f>
        <v>1201340</v>
      </c>
      <c r="L31" s="6">
        <f>58578*20</f>
        <v>1171560</v>
      </c>
      <c r="M31" s="6">
        <f>43976*20</f>
        <v>879520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">
      <c r="A32" s="4" t="s">
        <v>173</v>
      </c>
      <c r="B32" s="5">
        <f>([1]innoculationdensity!$D$50*10)/1000</f>
        <v>1188.0666666666666</v>
      </c>
      <c r="C32" s="6">
        <f>2579-432</f>
        <v>2147</v>
      </c>
      <c r="D32" s="6">
        <v>3477</v>
      </c>
      <c r="E32" s="6">
        <v>17783</v>
      </c>
      <c r="F32" s="7">
        <v>42345</v>
      </c>
      <c r="G32" s="6">
        <f>5409*20</f>
        <v>108180</v>
      </c>
      <c r="H32" s="6">
        <f>16131*20</f>
        <v>322620</v>
      </c>
      <c r="I32" s="6">
        <f>28394*20</f>
        <v>567880</v>
      </c>
      <c r="J32" s="6">
        <f>44020*20</f>
        <v>880400</v>
      </c>
      <c r="K32" s="6">
        <f>53443*20</f>
        <v>1068860</v>
      </c>
      <c r="L32" s="6">
        <f>51108*20</f>
        <v>1022160</v>
      </c>
      <c r="M32" s="6">
        <f>34666*20</f>
        <v>693320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">
      <c r="A33" s="4" t="s">
        <v>174</v>
      </c>
      <c r="B33" s="5">
        <f>([1]innoculationdensity!$D$50*10)/1000</f>
        <v>1188.0666666666666</v>
      </c>
      <c r="C33" s="6">
        <f>2629-432</f>
        <v>2197</v>
      </c>
      <c r="D33" s="6">
        <v>3432</v>
      </c>
      <c r="E33" s="6">
        <v>17180</v>
      </c>
      <c r="F33" s="7">
        <v>41109</v>
      </c>
      <c r="G33" s="6">
        <f>5228*20</f>
        <v>104560</v>
      </c>
      <c r="H33" s="6">
        <f>16071*20</f>
        <v>321420</v>
      </c>
      <c r="I33" s="6">
        <f>28716*20</f>
        <v>574320</v>
      </c>
      <c r="J33" s="6">
        <f>44106*20</f>
        <v>882120</v>
      </c>
      <c r="K33" s="6">
        <f>53626*20</f>
        <v>1072520</v>
      </c>
      <c r="L33" s="6">
        <f>50878*20</f>
        <v>1017560</v>
      </c>
      <c r="M33" s="6">
        <f>35315*20</f>
        <v>706300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">
      <c r="A34" s="4" t="s">
        <v>175</v>
      </c>
      <c r="B34" s="5">
        <f>([1]innoculationdensity!$D$50*10)/1000</f>
        <v>1188.0666666666666</v>
      </c>
      <c r="C34" s="6">
        <f>2381-432</f>
        <v>1949</v>
      </c>
      <c r="D34" s="6">
        <v>3430</v>
      </c>
      <c r="E34" s="6">
        <v>17053</v>
      </c>
      <c r="F34" s="7">
        <v>39463</v>
      </c>
      <c r="G34" s="6">
        <f>4942*20</f>
        <v>98840</v>
      </c>
      <c r="H34" s="6">
        <f>15887*20</f>
        <v>317740</v>
      </c>
      <c r="I34" s="6">
        <f>28340*20</f>
        <v>566800</v>
      </c>
      <c r="J34" s="6">
        <f>44139*20</f>
        <v>882780</v>
      </c>
      <c r="K34" s="6">
        <f>52836*20</f>
        <v>1056720</v>
      </c>
      <c r="L34" s="6">
        <f>51112*20</f>
        <v>1022240</v>
      </c>
      <c r="M34" s="6">
        <f>35726*20</f>
        <v>714520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2">
      <c r="A35" s="4" t="s">
        <v>176</v>
      </c>
      <c r="B35" s="5">
        <f>([1]innoculationdensity!$D$50*10)/1000</f>
        <v>1188.0666666666666</v>
      </c>
      <c r="C35" s="6">
        <f>2336-432</f>
        <v>1904</v>
      </c>
      <c r="D35" s="6">
        <v>4069</v>
      </c>
      <c r="E35" s="6">
        <v>20062</v>
      </c>
      <c r="F35" s="7">
        <v>46080</v>
      </c>
      <c r="G35" s="6">
        <f>4580*20</f>
        <v>91600</v>
      </c>
      <c r="H35" s="6">
        <f>16835*20</f>
        <v>336700</v>
      </c>
      <c r="I35" s="6">
        <f>31754*20</f>
        <v>635080</v>
      </c>
      <c r="J35" s="6">
        <f>48806*20</f>
        <v>976120</v>
      </c>
      <c r="K35" s="6">
        <f>59240*20</f>
        <v>1184800</v>
      </c>
      <c r="L35" s="6">
        <f>55286*20</f>
        <v>1105720</v>
      </c>
      <c r="M35" s="6">
        <f>43199*20</f>
        <v>863980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">
      <c r="A36" s="4" t="s">
        <v>177</v>
      </c>
      <c r="B36" s="5">
        <f>([1]innoculationdensity!$D$50*10)/1000</f>
        <v>1188.0666666666666</v>
      </c>
      <c r="C36" s="6">
        <f>2554-432</f>
        <v>2122</v>
      </c>
      <c r="D36" s="6">
        <v>4097</v>
      </c>
      <c r="E36" s="6">
        <v>18702</v>
      </c>
      <c r="F36" s="7">
        <v>45010</v>
      </c>
      <c r="G36" s="6">
        <f>4527*20</f>
        <v>90540</v>
      </c>
      <c r="H36" s="6">
        <f>16446*20</f>
        <v>328920</v>
      </c>
      <c r="I36" s="6">
        <f>31529*20</f>
        <v>630580</v>
      </c>
      <c r="J36" s="6">
        <f>48225*20</f>
        <v>964500</v>
      </c>
      <c r="K36" s="6">
        <f>59335*20</f>
        <v>1186700</v>
      </c>
      <c r="L36" s="6">
        <f>55298*20</f>
        <v>1105960</v>
      </c>
      <c r="M36" s="6">
        <f>42940*20</f>
        <v>858800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">
      <c r="A37" s="4" t="s">
        <v>178</v>
      </c>
      <c r="B37" s="5">
        <f>([1]innoculationdensity!$D$50*10)/1000</f>
        <v>1188.0666666666666</v>
      </c>
      <c r="C37" s="6">
        <f>2606-432</f>
        <v>2174</v>
      </c>
      <c r="D37" s="6">
        <v>4045</v>
      </c>
      <c r="E37" s="6">
        <v>19254</v>
      </c>
      <c r="F37" s="7">
        <v>45823</v>
      </c>
      <c r="G37" s="6">
        <f>4360*20</f>
        <v>87200</v>
      </c>
      <c r="H37" s="6">
        <f>16356*20</f>
        <v>327120</v>
      </c>
      <c r="I37" s="6">
        <f>30654*20</f>
        <v>613080</v>
      </c>
      <c r="J37" s="6">
        <f>47848*20</f>
        <v>956960</v>
      </c>
      <c r="K37" s="6">
        <f>58775*20</f>
        <v>1175500</v>
      </c>
      <c r="L37" s="6">
        <f>55420*20</f>
        <v>1108400</v>
      </c>
      <c r="M37" s="6">
        <f>42694*20</f>
        <v>853880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9" spans="1:26" x14ac:dyDescent="0.2">
      <c r="A39" s="4" t="s">
        <v>206</v>
      </c>
    </row>
    <row r="40" spans="1:26" x14ac:dyDescent="0.2">
      <c r="A40" s="4" t="s">
        <v>80</v>
      </c>
      <c r="B40" s="7">
        <f>LN(B2)</f>
        <v>7.2490823783295326</v>
      </c>
      <c r="C40" s="7">
        <f t="shared" ref="C40:J40" si="1">LN(C2)</f>
        <v>6.9612960459101672</v>
      </c>
      <c r="D40" s="7">
        <f t="shared" si="1"/>
        <v>7.0509894470680452</v>
      </c>
      <c r="E40" s="7">
        <f t="shared" si="1"/>
        <v>6.9679092018018842</v>
      </c>
      <c r="F40" s="7">
        <f t="shared" si="1"/>
        <v>6.9819346771563886</v>
      </c>
      <c r="G40" s="7">
        <f t="shared" si="1"/>
        <v>7.0066952268370404</v>
      </c>
      <c r="H40" s="7">
        <f t="shared" si="1"/>
        <v>7.1204443723924875</v>
      </c>
      <c r="I40" s="7">
        <f t="shared" si="1"/>
        <v>6.8966943316227125</v>
      </c>
      <c r="J40" s="7">
        <f t="shared" si="1"/>
        <v>6.8501261661455004</v>
      </c>
    </row>
    <row r="41" spans="1:26" x14ac:dyDescent="0.2">
      <c r="A41" s="4" t="s">
        <v>81</v>
      </c>
      <c r="B41" s="7">
        <f t="shared" ref="B41:J41" si="2">LN(B3)</f>
        <v>7.2490823783295326</v>
      </c>
      <c r="C41" s="7">
        <f t="shared" si="2"/>
        <v>7.0021559544036212</v>
      </c>
      <c r="D41" s="7">
        <f t="shared" si="2"/>
        <v>7.0884087786753947</v>
      </c>
      <c r="E41" s="7">
        <f t="shared" si="2"/>
        <v>7.0094089327086371</v>
      </c>
      <c r="F41" s="7">
        <f t="shared" si="2"/>
        <v>7.0166096838942194</v>
      </c>
      <c r="G41" s="7">
        <f t="shared" si="2"/>
        <v>6.9884131819995918</v>
      </c>
      <c r="H41" s="7">
        <f t="shared" si="2"/>
        <v>7.1324975516600437</v>
      </c>
      <c r="I41" s="7">
        <f t="shared" si="2"/>
        <v>6.9157234486313142</v>
      </c>
      <c r="J41" s="7">
        <f t="shared" si="2"/>
        <v>6.8741984954532942</v>
      </c>
    </row>
    <row r="42" spans="1:26" x14ac:dyDescent="0.2">
      <c r="A42" s="4" t="s">
        <v>82</v>
      </c>
      <c r="B42" s="7">
        <f t="shared" ref="B42:J42" si="3">LN(B4)</f>
        <v>7.2490823783295326</v>
      </c>
      <c r="C42" s="7">
        <f t="shared" si="3"/>
        <v>7.0192966537150445</v>
      </c>
      <c r="D42" s="7">
        <f t="shared" si="3"/>
        <v>7.1049654482698426</v>
      </c>
      <c r="E42" s="7">
        <f t="shared" si="3"/>
        <v>7.1569563646156364</v>
      </c>
      <c r="F42" s="7">
        <f t="shared" si="3"/>
        <v>7.0501225202690589</v>
      </c>
      <c r="G42" s="7">
        <f t="shared" si="3"/>
        <v>7.0057890192535028</v>
      </c>
      <c r="H42" s="7">
        <f t="shared" si="3"/>
        <v>7.0664669701369576</v>
      </c>
      <c r="I42" s="7">
        <f t="shared" si="3"/>
        <v>6.9107507879619359</v>
      </c>
      <c r="J42" s="7">
        <f t="shared" si="3"/>
        <v>6.93537044601511</v>
      </c>
    </row>
    <row r="43" spans="1:26" x14ac:dyDescent="0.2">
      <c r="A43" s="4" t="s">
        <v>83</v>
      </c>
      <c r="B43" s="7">
        <f t="shared" ref="B43:J43" si="4">LN(B5)</f>
        <v>7.2490823783295326</v>
      </c>
      <c r="C43" s="7">
        <f t="shared" si="4"/>
        <v>7.1981835771019433</v>
      </c>
      <c r="D43" s="7">
        <f t="shared" si="4"/>
        <v>7.2327331361776146</v>
      </c>
      <c r="E43" s="7">
        <f t="shared" si="4"/>
        <v>6.9343972099285578</v>
      </c>
      <c r="F43" s="7">
        <f t="shared" si="4"/>
        <v>6.9363427358340495</v>
      </c>
      <c r="G43" s="7">
        <f t="shared" si="4"/>
        <v>6.8057225534169854</v>
      </c>
      <c r="H43" s="7">
        <f t="shared" si="4"/>
        <v>7.00033446027523</v>
      </c>
      <c r="I43" s="7">
        <f t="shared" si="4"/>
        <v>6.8384052008473439</v>
      </c>
      <c r="J43" s="7">
        <f t="shared" si="4"/>
        <v>6.9037472575845982</v>
      </c>
    </row>
    <row r="44" spans="1:26" x14ac:dyDescent="0.2">
      <c r="A44" s="4" t="s">
        <v>84</v>
      </c>
      <c r="B44" s="7">
        <f t="shared" ref="B44:J44" si="5">LN(B6)</f>
        <v>7.2490823783295326</v>
      </c>
      <c r="C44" s="7">
        <f t="shared" si="5"/>
        <v>7.2108184534722204</v>
      </c>
      <c r="D44" s="7">
        <f t="shared" si="5"/>
        <v>7.1708884785125049</v>
      </c>
      <c r="E44" s="7">
        <f t="shared" si="5"/>
        <v>6.8875525716646173</v>
      </c>
      <c r="F44" s="7">
        <f t="shared" si="5"/>
        <v>6.9334230257307148</v>
      </c>
      <c r="G44" s="7">
        <f t="shared" si="5"/>
        <v>6.7957057751735137</v>
      </c>
      <c r="H44" s="7">
        <f t="shared" si="5"/>
        <v>6.9450510637258338</v>
      </c>
      <c r="I44" s="7">
        <f t="shared" si="5"/>
        <v>6.8405465292886873</v>
      </c>
      <c r="J44" s="7">
        <f t="shared" si="5"/>
        <v>6.9027427371585928</v>
      </c>
    </row>
    <row r="45" spans="1:26" x14ac:dyDescent="0.2">
      <c r="A45" s="4" t="s">
        <v>85</v>
      </c>
      <c r="B45" s="7">
        <f t="shared" ref="B45:J45" si="6">LN(B7)</f>
        <v>7.2490823783295326</v>
      </c>
      <c r="C45" s="7">
        <f t="shared" si="6"/>
        <v>7.1639466843425472</v>
      </c>
      <c r="D45" s="7">
        <f t="shared" si="6"/>
        <v>7.1388669999455239</v>
      </c>
      <c r="E45" s="7">
        <f t="shared" si="6"/>
        <v>6.8721281013389861</v>
      </c>
      <c r="F45" s="7">
        <f t="shared" si="6"/>
        <v>6.9255951971104679</v>
      </c>
      <c r="G45" s="7">
        <f t="shared" si="6"/>
        <v>6.8001700683021999</v>
      </c>
      <c r="H45" s="7">
        <f t="shared" si="6"/>
        <v>6.9930151229329605</v>
      </c>
      <c r="I45" s="7">
        <f t="shared" si="6"/>
        <v>6.8658910748834385</v>
      </c>
      <c r="J45" s="7">
        <f t="shared" si="6"/>
        <v>6.9017372066565743</v>
      </c>
    </row>
    <row r="46" spans="1:26" x14ac:dyDescent="0.2">
      <c r="A46" s="4" t="s">
        <v>86</v>
      </c>
      <c r="B46" s="7">
        <f t="shared" ref="B46:J46" si="7">LN(B8)</f>
        <v>7.2490823783295326</v>
      </c>
      <c r="C46" s="7">
        <f t="shared" si="7"/>
        <v>7.3192024587678493</v>
      </c>
      <c r="D46" s="7">
        <f t="shared" si="7"/>
        <v>7.0992017435530919</v>
      </c>
      <c r="E46" s="7">
        <f t="shared" si="7"/>
        <v>6.9874902470009905</v>
      </c>
      <c r="F46" s="7">
        <f t="shared" si="7"/>
        <v>6.9641356124182447</v>
      </c>
      <c r="G46" s="7">
        <f t="shared" si="7"/>
        <v>6.9865664594064265</v>
      </c>
      <c r="H46" s="7">
        <f t="shared" si="7"/>
        <v>6.75343791859778</v>
      </c>
      <c r="I46" s="7">
        <f t="shared" si="7"/>
        <v>6.7945865808764987</v>
      </c>
      <c r="J46" s="7">
        <f t="shared" si="7"/>
        <v>6.7322107064672059</v>
      </c>
    </row>
    <row r="47" spans="1:26" x14ac:dyDescent="0.2">
      <c r="A47" s="4" t="s">
        <v>87</v>
      </c>
      <c r="B47" s="7">
        <f t="shared" ref="B47:J47" si="8">LN(B9)</f>
        <v>7.2490823783295326</v>
      </c>
      <c r="C47" s="7">
        <f t="shared" si="8"/>
        <v>7.3038432252777046</v>
      </c>
      <c r="D47" s="7">
        <f t="shared" si="8"/>
        <v>7.0900768357760917</v>
      </c>
      <c r="E47" s="7">
        <f t="shared" si="8"/>
        <v>6.9902565004938806</v>
      </c>
      <c r="F47" s="7">
        <f t="shared" si="8"/>
        <v>6.9488972223133123</v>
      </c>
      <c r="G47" s="7">
        <f t="shared" si="8"/>
        <v>7.0085051820822803</v>
      </c>
      <c r="H47" s="7">
        <f t="shared" si="8"/>
        <v>6.852242569051878</v>
      </c>
      <c r="I47" s="7">
        <f t="shared" si="8"/>
        <v>6.852242569051878</v>
      </c>
      <c r="J47" s="7">
        <f t="shared" si="8"/>
        <v>6.80128303447162</v>
      </c>
    </row>
    <row r="48" spans="1:26" x14ac:dyDescent="0.2">
      <c r="A48" s="4" t="s">
        <v>88</v>
      </c>
      <c r="B48" s="7">
        <f t="shared" ref="B48:J48" si="9">LN(B10)</f>
        <v>7.2490823783295326</v>
      </c>
      <c r="C48" s="7">
        <f t="shared" si="9"/>
        <v>7.2896105214511673</v>
      </c>
      <c r="D48" s="7">
        <f t="shared" si="9"/>
        <v>7.1016759716194438</v>
      </c>
      <c r="E48" s="7">
        <f t="shared" si="9"/>
        <v>6.9939329752231894</v>
      </c>
      <c r="F48" s="7">
        <f t="shared" si="9"/>
        <v>6.9402224691196386</v>
      </c>
      <c r="G48" s="7">
        <f t="shared" si="9"/>
        <v>6.9669671386139829</v>
      </c>
      <c r="H48" s="7">
        <f t="shared" si="9"/>
        <v>6.8123450941774788</v>
      </c>
      <c r="I48" s="7">
        <f t="shared" si="9"/>
        <v>6.80128303447162</v>
      </c>
      <c r="J48" s="7">
        <f t="shared" si="9"/>
        <v>6.804614520062624</v>
      </c>
    </row>
    <row r="49" spans="1:19" x14ac:dyDescent="0.2">
      <c r="A49" s="4" t="s">
        <v>89</v>
      </c>
      <c r="B49" s="7">
        <f t="shared" ref="B49:O49" si="10">LN(B11)</f>
        <v>7.2490823783295326</v>
      </c>
      <c r="C49" s="7">
        <f t="shared" si="10"/>
        <v>7.1131421087070876</v>
      </c>
      <c r="D49" s="7">
        <f t="shared" si="10"/>
        <v>7.0343879299155034</v>
      </c>
      <c r="E49" s="7">
        <f t="shared" si="10"/>
        <v>7.0673198486534758</v>
      </c>
      <c r="F49" s="7">
        <f t="shared" si="10"/>
        <v>7.4312996751559028</v>
      </c>
      <c r="G49" s="7">
        <f t="shared" si="10"/>
        <v>8.0123496393277946</v>
      </c>
      <c r="H49" s="7">
        <f t="shared" si="10"/>
        <v>8.9076123413191297</v>
      </c>
      <c r="I49" s="7">
        <f t="shared" si="10"/>
        <v>9.6479499334109136</v>
      </c>
      <c r="J49" s="7">
        <f t="shared" si="10"/>
        <v>10.569725916538856</v>
      </c>
      <c r="K49" s="7">
        <f t="shared" si="10"/>
        <v>11.371822623992228</v>
      </c>
      <c r="L49" s="7">
        <f t="shared" si="10"/>
        <v>12.268483905651571</v>
      </c>
      <c r="M49" s="7">
        <f t="shared" si="10"/>
        <v>12.815729515591094</v>
      </c>
      <c r="N49" s="7">
        <f t="shared" si="10"/>
        <v>13.086653294770249</v>
      </c>
      <c r="O49" s="7">
        <f t="shared" si="10"/>
        <v>13.175031725971413</v>
      </c>
    </row>
    <row r="50" spans="1:19" x14ac:dyDescent="0.2">
      <c r="A50" s="4" t="s">
        <v>90</v>
      </c>
      <c r="B50" s="7">
        <f t="shared" ref="B50:O50" si="11">LN(B12)</f>
        <v>7.2490823783295326</v>
      </c>
      <c r="C50" s="7">
        <f t="shared" si="11"/>
        <v>7.0833878476252954</v>
      </c>
      <c r="D50" s="7">
        <f t="shared" si="11"/>
        <v>7.0587581525186645</v>
      </c>
      <c r="E50" s="7">
        <f t="shared" si="11"/>
        <v>7.1163941440934648</v>
      </c>
      <c r="F50" s="7">
        <f t="shared" si="11"/>
        <v>7.3821243657375124</v>
      </c>
      <c r="G50" s="7">
        <f t="shared" si="11"/>
        <v>7.9759083601655378</v>
      </c>
      <c r="H50" s="7">
        <f t="shared" si="11"/>
        <v>8.8768237631806031</v>
      </c>
      <c r="I50" s="7">
        <f t="shared" si="11"/>
        <v>9.6691566555813413</v>
      </c>
      <c r="J50" s="7">
        <f t="shared" si="11"/>
        <v>10.576381004068805</v>
      </c>
      <c r="K50" s="7">
        <f t="shared" si="11"/>
        <v>11.326595886778735</v>
      </c>
      <c r="L50" s="7">
        <f t="shared" si="11"/>
        <v>12.26528450516202</v>
      </c>
      <c r="M50" s="7">
        <f t="shared" si="11"/>
        <v>12.83654623156206</v>
      </c>
      <c r="N50" s="7">
        <f t="shared" si="11"/>
        <v>13.088185925602742</v>
      </c>
      <c r="O50" s="7">
        <f t="shared" si="11"/>
        <v>13.168941573164908</v>
      </c>
    </row>
    <row r="51" spans="1:19" x14ac:dyDescent="0.2">
      <c r="A51" s="4" t="s">
        <v>91</v>
      </c>
      <c r="B51" s="7">
        <f t="shared" ref="B51:O51" si="12">LN(B13)</f>
        <v>7.2490823783295326</v>
      </c>
      <c r="C51" s="7">
        <f t="shared" si="12"/>
        <v>7.0749631979660439</v>
      </c>
      <c r="D51" s="7">
        <f t="shared" si="12"/>
        <v>6.9440872082295275</v>
      </c>
      <c r="E51" s="7">
        <f t="shared" si="12"/>
        <v>7.1514854639047352</v>
      </c>
      <c r="F51" s="7">
        <f t="shared" si="12"/>
        <v>7.3727463664043285</v>
      </c>
      <c r="G51" s="7">
        <f t="shared" si="12"/>
        <v>8.0050333446371109</v>
      </c>
      <c r="H51" s="7">
        <f t="shared" si="12"/>
        <v>8.885440911707585</v>
      </c>
      <c r="I51" s="7">
        <f t="shared" si="12"/>
        <v>9.6577148831615567</v>
      </c>
      <c r="J51" s="7">
        <f t="shared" si="12"/>
        <v>10.473477909470091</v>
      </c>
      <c r="K51" s="7">
        <f t="shared" si="12"/>
        <v>11.312765750046394</v>
      </c>
      <c r="L51" s="7">
        <f t="shared" si="12"/>
        <v>12.273170389062669</v>
      </c>
      <c r="M51" s="7">
        <f t="shared" si="12"/>
        <v>12.828207058843699</v>
      </c>
      <c r="N51" s="7">
        <f t="shared" si="12"/>
        <v>13.074390878855233</v>
      </c>
      <c r="O51" s="7">
        <f t="shared" si="12"/>
        <v>13.173398638504153</v>
      </c>
    </row>
    <row r="52" spans="1:19" x14ac:dyDescent="0.2">
      <c r="A52" s="4" t="s">
        <v>92</v>
      </c>
      <c r="B52" s="7">
        <f t="shared" ref="B52:O52" si="13">LN(B14)</f>
        <v>7.2490823783295326</v>
      </c>
      <c r="C52" s="7">
        <f t="shared" si="13"/>
        <v>6.9884131819995918</v>
      </c>
      <c r="D52" s="7">
        <f t="shared" si="13"/>
        <v>6.9902565004938806</v>
      </c>
      <c r="E52" s="7">
        <f t="shared" si="13"/>
        <v>7.1670378769122198</v>
      </c>
      <c r="F52" s="7">
        <f t="shared" si="13"/>
        <v>7.6515955738576009</v>
      </c>
      <c r="G52" s="7">
        <f t="shared" si="13"/>
        <v>8.2573856557304364</v>
      </c>
      <c r="H52" s="7">
        <f t="shared" si="13"/>
        <v>9.2921968184460155</v>
      </c>
      <c r="I52" s="7">
        <f t="shared" si="13"/>
        <v>10.274464730185619</v>
      </c>
      <c r="J52" s="7">
        <f t="shared" si="13"/>
        <v>11.154606312919007</v>
      </c>
      <c r="K52" s="7">
        <f t="shared" si="13"/>
        <v>12.028260904214047</v>
      </c>
      <c r="L52" s="7">
        <f t="shared" si="13"/>
        <v>12.785939139631152</v>
      </c>
      <c r="M52" s="7">
        <f t="shared" si="13"/>
        <v>13.304051400224676</v>
      </c>
      <c r="N52" s="7">
        <f t="shared" si="13"/>
        <v>13.434630739614422</v>
      </c>
      <c r="O52" s="7">
        <f t="shared" si="13"/>
        <v>13.409975447405996</v>
      </c>
    </row>
    <row r="53" spans="1:19" x14ac:dyDescent="0.2">
      <c r="A53" s="4" t="s">
        <v>93</v>
      </c>
      <c r="B53" s="7">
        <f t="shared" ref="B53:O53" si="14">LN(B15)</f>
        <v>7.2490823783295326</v>
      </c>
      <c r="C53" s="7">
        <f t="shared" si="14"/>
        <v>7.0431599159883405</v>
      </c>
      <c r="D53" s="7">
        <f t="shared" si="14"/>
        <v>6.9431224228194282</v>
      </c>
      <c r="E53" s="7">
        <f t="shared" si="14"/>
        <v>7.1155821261844538</v>
      </c>
      <c r="F53" s="7">
        <f t="shared" si="14"/>
        <v>7.6143121464519998</v>
      </c>
      <c r="G53" s="7">
        <f t="shared" si="14"/>
        <v>8.281470857895167</v>
      </c>
      <c r="H53" s="7">
        <f t="shared" si="14"/>
        <v>9.3034663499656673</v>
      </c>
      <c r="I53" s="7">
        <f t="shared" si="14"/>
        <v>10.289396003095074</v>
      </c>
      <c r="J53" s="7">
        <f t="shared" si="14"/>
        <v>11.065418869062052</v>
      </c>
      <c r="K53" s="7">
        <f t="shared" si="14"/>
        <v>12.045551718695071</v>
      </c>
      <c r="L53" s="7">
        <f t="shared" si="14"/>
        <v>12.788344129744182</v>
      </c>
      <c r="M53" s="7">
        <f t="shared" si="14"/>
        <v>13.302348874400735</v>
      </c>
      <c r="N53" s="7">
        <f t="shared" si="14"/>
        <v>13.442996549995796</v>
      </c>
      <c r="O53" s="7">
        <f t="shared" si="14"/>
        <v>13.428052348148567</v>
      </c>
    </row>
    <row r="54" spans="1:19" x14ac:dyDescent="0.2">
      <c r="A54" s="4" t="s">
        <v>94</v>
      </c>
      <c r="B54" s="7">
        <f t="shared" ref="B54:O54" si="15">LN(B16)</f>
        <v>7.2490823783295326</v>
      </c>
      <c r="C54" s="7">
        <f t="shared" si="15"/>
        <v>6.9791452750688103</v>
      </c>
      <c r="D54" s="7">
        <f t="shared" si="15"/>
        <v>6.9107507879619359</v>
      </c>
      <c r="E54" s="7">
        <f t="shared" si="15"/>
        <v>7.1324975516600437</v>
      </c>
      <c r="F54" s="7">
        <f t="shared" si="15"/>
        <v>7.6328855053951328</v>
      </c>
      <c r="G54" s="7">
        <f t="shared" si="15"/>
        <v>8.2656501655803289</v>
      </c>
      <c r="H54" s="7">
        <f t="shared" si="15"/>
        <v>9.3128969603012752</v>
      </c>
      <c r="I54" s="7">
        <f t="shared" si="15"/>
        <v>10.25410921226176</v>
      </c>
      <c r="J54" s="7">
        <f t="shared" si="15"/>
        <v>11.072853384021574</v>
      </c>
      <c r="K54" s="7">
        <f t="shared" si="15"/>
        <v>12.083678997316108</v>
      </c>
      <c r="L54" s="7">
        <f t="shared" si="15"/>
        <v>12.795968196279645</v>
      </c>
      <c r="M54" s="7">
        <f t="shared" si="15"/>
        <v>13.297660319261318</v>
      </c>
      <c r="N54" s="7">
        <f t="shared" si="15"/>
        <v>13.419768032004233</v>
      </c>
      <c r="O54" s="7">
        <f t="shared" si="15"/>
        <v>13.419352009176409</v>
      </c>
    </row>
    <row r="55" spans="1:19" x14ac:dyDescent="0.2">
      <c r="A55" s="4" t="s">
        <v>95</v>
      </c>
      <c r="B55" s="7">
        <f t="shared" ref="B55:O55" si="16">LN(B17)</f>
        <v>7.2490823783295326</v>
      </c>
      <c r="C55" s="7">
        <f t="shared" si="16"/>
        <v>7.1459844677143876</v>
      </c>
      <c r="D55" s="7">
        <f t="shared" si="16"/>
        <v>7.2427979227937556</v>
      </c>
      <c r="E55" s="7">
        <f t="shared" si="16"/>
        <v>7.1041440929875268</v>
      </c>
      <c r="F55" s="7">
        <f t="shared" si="16"/>
        <v>7.5443321080536885</v>
      </c>
      <c r="G55" s="7">
        <f t="shared" si="16"/>
        <v>7.9769387569594343</v>
      </c>
      <c r="H55" s="7">
        <f t="shared" si="16"/>
        <v>8.9370870361765231</v>
      </c>
      <c r="I55" s="7">
        <f t="shared" si="16"/>
        <v>9.8528256377339005</v>
      </c>
      <c r="J55" s="7">
        <f t="shared" si="16"/>
        <v>10.802916927334872</v>
      </c>
      <c r="K55" s="7">
        <f t="shared" si="16"/>
        <v>11.747997587149712</v>
      </c>
      <c r="L55" s="7">
        <f t="shared" si="16"/>
        <v>12.521394203785372</v>
      </c>
      <c r="M55" s="7">
        <f t="shared" si="16"/>
        <v>13.105786740999527</v>
      </c>
      <c r="N55" s="7">
        <f t="shared" si="16"/>
        <v>13.357340633424082</v>
      </c>
      <c r="O55" s="7">
        <f t="shared" si="16"/>
        <v>13.443112653560306</v>
      </c>
    </row>
    <row r="56" spans="1:19" x14ac:dyDescent="0.2">
      <c r="A56" s="4" t="s">
        <v>96</v>
      </c>
      <c r="B56" s="7">
        <f t="shared" ref="B56:O56" si="17">LN(B18)</f>
        <v>7.2490823783295326</v>
      </c>
      <c r="C56" s="7">
        <f t="shared" si="17"/>
        <v>7.1356873470281439</v>
      </c>
      <c r="D56" s="7">
        <f t="shared" si="17"/>
        <v>7.179307969504034</v>
      </c>
      <c r="E56" s="7">
        <f t="shared" si="17"/>
        <v>7.1123274447109113</v>
      </c>
      <c r="F56" s="7">
        <f t="shared" si="17"/>
        <v>7.560601162768557</v>
      </c>
      <c r="G56" s="7">
        <f t="shared" si="17"/>
        <v>7.9487384548136104</v>
      </c>
      <c r="H56" s="7">
        <f t="shared" si="17"/>
        <v>8.9441588309704034</v>
      </c>
      <c r="I56" s="7">
        <f t="shared" si="17"/>
        <v>9.8546648878385597</v>
      </c>
      <c r="J56" s="7">
        <f t="shared" si="17"/>
        <v>10.749913604437298</v>
      </c>
      <c r="K56" s="7">
        <f t="shared" si="17"/>
        <v>11.749419500652577</v>
      </c>
      <c r="L56" s="7">
        <f t="shared" si="17"/>
        <v>12.506177237980511</v>
      </c>
      <c r="M56" s="7">
        <f t="shared" si="17"/>
        <v>13.085657898395914</v>
      </c>
      <c r="N56" s="7">
        <f t="shared" si="17"/>
        <v>13.359709591717003</v>
      </c>
      <c r="O56" s="7">
        <f t="shared" si="17"/>
        <v>13.426164831735994</v>
      </c>
    </row>
    <row r="57" spans="1:19" x14ac:dyDescent="0.2">
      <c r="A57" s="4" t="s">
        <v>97</v>
      </c>
      <c r="B57" s="7">
        <f t="shared" ref="B57:O57" si="18">LN(B19)</f>
        <v>7.2490823783295326</v>
      </c>
      <c r="C57" s="7">
        <f t="shared" si="18"/>
        <v>7.1483457439000677</v>
      </c>
      <c r="D57" s="7">
        <f t="shared" si="18"/>
        <v>7.1838707150624526</v>
      </c>
      <c r="E57" s="7">
        <f t="shared" si="18"/>
        <v>7.1522688560325394</v>
      </c>
      <c r="F57" s="7">
        <f t="shared" si="18"/>
        <v>7.5725029850203844</v>
      </c>
      <c r="G57" s="7">
        <f t="shared" si="18"/>
        <v>7.9624156801210644</v>
      </c>
      <c r="H57" s="7">
        <f t="shared" si="18"/>
        <v>8.9580254433616933</v>
      </c>
      <c r="I57" s="7">
        <f t="shared" si="18"/>
        <v>9.8688961077665098</v>
      </c>
      <c r="J57" s="7">
        <f t="shared" si="18"/>
        <v>10.756689378738994</v>
      </c>
      <c r="K57" s="7">
        <f t="shared" si="18"/>
        <v>11.714559332796556</v>
      </c>
      <c r="L57" s="7">
        <f t="shared" si="18"/>
        <v>12.496201721625006</v>
      </c>
      <c r="M57" s="7">
        <f t="shared" si="18"/>
        <v>13.079998526626559</v>
      </c>
      <c r="N57" s="7">
        <f t="shared" si="18"/>
        <v>13.368191673231721</v>
      </c>
      <c r="O57" s="7">
        <f t="shared" si="18"/>
        <v>13.402658231422093</v>
      </c>
    </row>
    <row r="58" spans="1:19" x14ac:dyDescent="0.2">
      <c r="A58" s="4" t="s">
        <v>161</v>
      </c>
      <c r="B58" s="7">
        <f t="shared" ref="B58:O58" si="19">LN(B20)</f>
        <v>7.2499255367179876</v>
      </c>
      <c r="C58" s="7">
        <f t="shared" si="19"/>
        <v>7.3031700512368003</v>
      </c>
      <c r="D58" s="7">
        <f t="shared" si="19"/>
        <v>6.9295167707636498</v>
      </c>
      <c r="E58" s="7">
        <f t="shared" si="19"/>
        <v>7.329093736246592</v>
      </c>
      <c r="F58" s="7">
        <f t="shared" si="19"/>
        <v>7.7948231521793891</v>
      </c>
      <c r="G58" s="7">
        <f t="shared" si="19"/>
        <v>8.1501792696823259</v>
      </c>
      <c r="H58" s="7">
        <f t="shared" si="19"/>
        <v>8.7086396559871933</v>
      </c>
      <c r="I58" s="7">
        <f t="shared" si="19"/>
        <v>9.1591523352067501</v>
      </c>
      <c r="J58" s="7">
        <f t="shared" si="19"/>
        <v>9.5331482464033375</v>
      </c>
      <c r="K58" s="7">
        <f t="shared" si="19"/>
        <v>9.9714732503272216</v>
      </c>
      <c r="L58" s="7">
        <f t="shared" si="19"/>
        <v>10.397665367329228</v>
      </c>
      <c r="M58" s="7">
        <f t="shared" si="19"/>
        <v>10.756199302767412</v>
      </c>
      <c r="N58" s="7">
        <f t="shared" si="19"/>
        <v>11.213440680399296</v>
      </c>
      <c r="O58" s="7">
        <f t="shared" si="19"/>
        <v>11.52069520223459</v>
      </c>
      <c r="P58" s="7">
        <f t="shared" ref="P58:S58" si="20">LN(P20)</f>
        <v>12.022390163096878</v>
      </c>
      <c r="Q58" s="7">
        <f t="shared" si="20"/>
        <v>12.12778672713163</v>
      </c>
      <c r="R58" s="7">
        <f t="shared" si="20"/>
        <v>12.192176540338062</v>
      </c>
      <c r="S58" s="7">
        <f t="shared" si="20"/>
        <v>11.992508068996287</v>
      </c>
    </row>
    <row r="59" spans="1:19" x14ac:dyDescent="0.2">
      <c r="A59" s="4" t="s">
        <v>162</v>
      </c>
      <c r="B59" s="7">
        <f t="shared" ref="B59:O59" si="21">LN(B21)</f>
        <v>7.2499255367179876</v>
      </c>
      <c r="C59" s="7">
        <f t="shared" si="21"/>
        <v>7.2612250919719212</v>
      </c>
      <c r="D59" s="7">
        <f t="shared" si="21"/>
        <v>7.1316985104669115</v>
      </c>
      <c r="E59" s="7">
        <f t="shared" si="21"/>
        <v>7.2786289423206822</v>
      </c>
      <c r="F59" s="7">
        <f t="shared" si="21"/>
        <v>7.8387375595992816</v>
      </c>
      <c r="G59" s="7">
        <f t="shared" si="21"/>
        <v>8.17526610411206</v>
      </c>
      <c r="H59" s="7">
        <f t="shared" si="21"/>
        <v>8.7043364384894062</v>
      </c>
      <c r="I59" s="7">
        <f t="shared" si="21"/>
        <v>9.1686846967073503</v>
      </c>
      <c r="J59" s="7">
        <f t="shared" si="21"/>
        <v>9.5101486242258044</v>
      </c>
      <c r="K59" s="7">
        <f t="shared" si="21"/>
        <v>9.9484609181788599</v>
      </c>
      <c r="L59" s="7">
        <f t="shared" si="21"/>
        <v>10.372021352111275</v>
      </c>
      <c r="M59" s="7">
        <f t="shared" si="21"/>
        <v>10.742465181307614</v>
      </c>
      <c r="N59" s="7">
        <f t="shared" si="21"/>
        <v>11.226575837752225</v>
      </c>
      <c r="O59" s="7">
        <f t="shared" si="21"/>
        <v>11.517713981702025</v>
      </c>
      <c r="P59" s="7">
        <f t="shared" ref="P59:S59" si="22">LN(P21)</f>
        <v>12.003344278958556</v>
      </c>
      <c r="Q59" s="7">
        <f t="shared" si="22"/>
        <v>12.109892087056204</v>
      </c>
      <c r="R59" s="7">
        <f t="shared" si="22"/>
        <v>12.192379318398171</v>
      </c>
      <c r="S59" s="7">
        <f t="shared" si="22"/>
        <v>11.992012712949007</v>
      </c>
    </row>
    <row r="60" spans="1:19" x14ac:dyDescent="0.2">
      <c r="A60" s="4" t="s">
        <v>163</v>
      </c>
      <c r="B60" s="7">
        <f t="shared" ref="B60:O60" si="23">LN(B22)</f>
        <v>7.2499255367179876</v>
      </c>
      <c r="C60" s="7">
        <f t="shared" si="23"/>
        <v>7.1685798972640349</v>
      </c>
      <c r="D60" s="7">
        <f t="shared" si="23"/>
        <v>7.0308574761161209</v>
      </c>
      <c r="E60" s="7">
        <f t="shared" si="23"/>
        <v>7.1475592711894542</v>
      </c>
      <c r="F60" s="7">
        <f t="shared" si="23"/>
        <v>7.8426714749794568</v>
      </c>
      <c r="G60" s="7">
        <f t="shared" si="23"/>
        <v>8.1344675702775628</v>
      </c>
      <c r="H60" s="7">
        <f t="shared" si="23"/>
        <v>8.7109491258358549</v>
      </c>
      <c r="I60" s="7">
        <f t="shared" si="23"/>
        <v>9.1487840662770772</v>
      </c>
      <c r="J60" s="7">
        <f t="shared" si="23"/>
        <v>9.5412256017286126</v>
      </c>
      <c r="K60" s="7">
        <f t="shared" si="23"/>
        <v>9.937309101011639</v>
      </c>
      <c r="L60" s="7">
        <f t="shared" si="23"/>
        <v>10.347339693048996</v>
      </c>
      <c r="M60" s="7">
        <f t="shared" si="23"/>
        <v>10.747207591575448</v>
      </c>
      <c r="N60" s="7">
        <f t="shared" si="23"/>
        <v>11.199310010491944</v>
      </c>
      <c r="O60" s="7">
        <f t="shared" si="23"/>
        <v>11.489452108784587</v>
      </c>
      <c r="P60" s="7">
        <f t="shared" ref="P60:S60" si="24">LN(P22)</f>
        <v>11.990525170837591</v>
      </c>
      <c r="Q60" s="7">
        <f t="shared" si="24"/>
        <v>12.130486658573579</v>
      </c>
      <c r="R60" s="7">
        <f t="shared" si="24"/>
        <v>12.17880421837598</v>
      </c>
      <c r="S60" s="7">
        <f t="shared" si="24"/>
        <v>11.96895693664908</v>
      </c>
    </row>
    <row r="61" spans="1:19" x14ac:dyDescent="0.2">
      <c r="A61" s="4" t="s">
        <v>164</v>
      </c>
      <c r="B61" s="7">
        <f t="shared" ref="B61:O61" si="25">LN(B23)</f>
        <v>7.2499255367179876</v>
      </c>
      <c r="C61" s="7">
        <f t="shared" si="25"/>
        <v>6.9047507699618382</v>
      </c>
      <c r="D61" s="7">
        <f t="shared" si="25"/>
        <v>7.161622002939187</v>
      </c>
      <c r="E61" s="7">
        <f t="shared" si="25"/>
        <v>7.2492150571143892</v>
      </c>
      <c r="F61" s="7">
        <f t="shared" si="25"/>
        <v>7.9824163468277334</v>
      </c>
      <c r="G61" s="7">
        <f t="shared" si="25"/>
        <v>8.5625488931370342</v>
      </c>
      <c r="H61" s="7">
        <f t="shared" si="25"/>
        <v>9.1992794246167584</v>
      </c>
      <c r="I61" s="7">
        <f t="shared" si="25"/>
        <v>9.6450406053526816</v>
      </c>
      <c r="J61" s="7">
        <f t="shared" si="25"/>
        <v>10.094521049932105</v>
      </c>
      <c r="K61" s="7">
        <f t="shared" si="25"/>
        <v>10.556151222950184</v>
      </c>
      <c r="L61" s="7">
        <f t="shared" si="25"/>
        <v>11.023029284385268</v>
      </c>
      <c r="M61" s="7">
        <f t="shared" si="25"/>
        <v>11.503682883603297</v>
      </c>
      <c r="N61" s="7">
        <f t="shared" si="25"/>
        <v>12.109341456570402</v>
      </c>
      <c r="O61" s="7">
        <f t="shared" si="25"/>
        <v>12.334377905683098</v>
      </c>
      <c r="P61" s="7">
        <f t="shared" ref="P61:S61" si="26">LN(P23)</f>
        <v>12.635840046161302</v>
      </c>
      <c r="Q61" s="7">
        <f t="shared" si="26"/>
        <v>12.502094842256955</v>
      </c>
      <c r="R61" s="7">
        <f t="shared" si="26"/>
        <v>12.467667383218636</v>
      </c>
      <c r="S61" s="7">
        <f t="shared" si="26"/>
        <v>12.28967822938497</v>
      </c>
    </row>
    <row r="62" spans="1:19" x14ac:dyDescent="0.2">
      <c r="A62" s="4" t="s">
        <v>165</v>
      </c>
      <c r="B62" s="7">
        <f t="shared" ref="B62:O62" si="27">LN(B24)</f>
        <v>7.2499255367179876</v>
      </c>
      <c r="C62" s="7">
        <f t="shared" si="27"/>
        <v>6.8638033914529544</v>
      </c>
      <c r="D62" s="7">
        <f t="shared" si="27"/>
        <v>6.9782137426306985</v>
      </c>
      <c r="E62" s="7">
        <f t="shared" si="27"/>
        <v>7.1762545320171442</v>
      </c>
      <c r="F62" s="7">
        <f t="shared" si="27"/>
        <v>7.9707403900070952</v>
      </c>
      <c r="G62" s="7">
        <f t="shared" si="27"/>
        <v>8.5558368150084423</v>
      </c>
      <c r="H62" s="7">
        <f t="shared" si="27"/>
        <v>9.4821216948962874</v>
      </c>
      <c r="I62" s="7">
        <f t="shared" si="27"/>
        <v>9.6555388823029471</v>
      </c>
      <c r="J62" s="7">
        <f t="shared" si="27"/>
        <v>10.091376913633546</v>
      </c>
      <c r="K62" s="7">
        <f t="shared" si="27"/>
        <v>10.555604383538082</v>
      </c>
      <c r="L62" s="7">
        <f t="shared" si="27"/>
        <v>11.005693376714367</v>
      </c>
      <c r="M62" s="7">
        <f t="shared" si="27"/>
        <v>11.493946498372425</v>
      </c>
      <c r="N62" s="7">
        <f t="shared" si="27"/>
        <v>12.133931967752492</v>
      </c>
      <c r="O62" s="7">
        <f t="shared" si="27"/>
        <v>12.338240609107592</v>
      </c>
      <c r="P62" s="7">
        <f t="shared" ref="P62:S62" si="28">LN(P24)</f>
        <v>12.634603026569334</v>
      </c>
      <c r="Q62" s="7">
        <f t="shared" si="28"/>
        <v>12.504768839245054</v>
      </c>
      <c r="R62" s="7">
        <f t="shared" si="28"/>
        <v>12.476481389311498</v>
      </c>
      <c r="S62" s="7">
        <f t="shared" si="28"/>
        <v>12.303925045697678</v>
      </c>
    </row>
    <row r="63" spans="1:19" x14ac:dyDescent="0.2">
      <c r="A63" s="4" t="s">
        <v>166</v>
      </c>
      <c r="B63" s="7">
        <f t="shared" ref="B63:O63" si="29">LN(B25)</f>
        <v>7.2499255367179876</v>
      </c>
      <c r="C63" s="7">
        <f t="shared" si="29"/>
        <v>7.1483457439000677</v>
      </c>
      <c r="D63" s="7">
        <f t="shared" si="29"/>
        <v>6.9343972099285578</v>
      </c>
      <c r="E63" s="7">
        <f t="shared" si="29"/>
        <v>7.1884127364969537</v>
      </c>
      <c r="F63" s="7">
        <f t="shared" si="29"/>
        <v>7.9226235742172859</v>
      </c>
      <c r="G63" s="7">
        <f t="shared" si="29"/>
        <v>8.5103699660681116</v>
      </c>
      <c r="H63" s="7">
        <f t="shared" si="29"/>
        <v>9.4795274617917187</v>
      </c>
      <c r="I63" s="7">
        <f t="shared" si="29"/>
        <v>9.6346926558028301</v>
      </c>
      <c r="J63" s="7">
        <f t="shared" si="29"/>
        <v>10.030032093861085</v>
      </c>
      <c r="K63" s="7">
        <f t="shared" si="29"/>
        <v>10.551898839254681</v>
      </c>
      <c r="L63" s="7">
        <f t="shared" si="29"/>
        <v>11.023012962784444</v>
      </c>
      <c r="M63" s="7">
        <f t="shared" si="29"/>
        <v>11.518111991657529</v>
      </c>
      <c r="N63" s="7">
        <f t="shared" si="29"/>
        <v>12.129839339530585</v>
      </c>
      <c r="O63" s="7">
        <f t="shared" si="29"/>
        <v>12.308719482490316</v>
      </c>
      <c r="P63" s="7">
        <f t="shared" ref="P63:S63" si="30">LN(P25)</f>
        <v>12.637855061955712</v>
      </c>
      <c r="Q63" s="7">
        <f t="shared" si="30"/>
        <v>12.527938729762024</v>
      </c>
      <c r="R63" s="7">
        <f t="shared" si="30"/>
        <v>12.461489757394679</v>
      </c>
      <c r="S63" s="7">
        <f t="shared" si="30"/>
        <v>12.285807613549027</v>
      </c>
    </row>
    <row r="64" spans="1:19" x14ac:dyDescent="0.2">
      <c r="A64" s="4" t="s">
        <v>167</v>
      </c>
      <c r="B64" s="7">
        <f t="shared" ref="B64:O64" si="31">LN(B26)</f>
        <v>7.2499255367179876</v>
      </c>
      <c r="C64" s="7">
        <f t="shared" si="31"/>
        <v>7.0422861719397432</v>
      </c>
      <c r="D64" s="7">
        <f t="shared" si="31"/>
        <v>6.7569323892475532</v>
      </c>
      <c r="E64" s="7">
        <f t="shared" si="31"/>
        <v>7.180069874302796</v>
      </c>
      <c r="F64" s="7">
        <f t="shared" si="31"/>
        <v>7.7240046566760654</v>
      </c>
      <c r="G64" s="7">
        <f t="shared" si="31"/>
        <v>8.1294697647842309</v>
      </c>
      <c r="H64" s="7">
        <f t="shared" si="31"/>
        <v>8.8273214526978485</v>
      </c>
      <c r="I64" s="7">
        <f t="shared" si="31"/>
        <v>9.0747497176698353</v>
      </c>
      <c r="J64" s="7">
        <f t="shared" si="31"/>
        <v>9.4366788141869122</v>
      </c>
      <c r="K64" s="7">
        <f t="shared" si="31"/>
        <v>9.8499285354415651</v>
      </c>
      <c r="L64" s="7">
        <f t="shared" si="31"/>
        <v>10.320650638390102</v>
      </c>
      <c r="M64" s="7">
        <f t="shared" si="31"/>
        <v>10.708176107828981</v>
      </c>
      <c r="N64" s="7">
        <f t="shared" si="31"/>
        <v>11.125496719348163</v>
      </c>
      <c r="O64" s="7">
        <f t="shared" si="31"/>
        <v>11.524063209380685</v>
      </c>
      <c r="P64" s="7">
        <f t="shared" ref="P64:S64" si="32">LN(P26)</f>
        <v>12.058500281063038</v>
      </c>
      <c r="Q64" s="7">
        <f t="shared" si="32"/>
        <v>12.465818099288931</v>
      </c>
      <c r="R64" s="7">
        <f t="shared" si="32"/>
        <v>12.549520495887812</v>
      </c>
      <c r="S64" s="7">
        <f t="shared" si="32"/>
        <v>12.471202313511442</v>
      </c>
    </row>
    <row r="65" spans="1:28" x14ac:dyDescent="0.2">
      <c r="A65" s="4" t="s">
        <v>168</v>
      </c>
      <c r="B65" s="7">
        <f t="shared" ref="B65:O65" si="33">LN(B27)</f>
        <v>7.2499255367179876</v>
      </c>
      <c r="C65" s="7">
        <f t="shared" si="33"/>
        <v>7.0112139873503674</v>
      </c>
      <c r="D65" s="7">
        <f t="shared" si="33"/>
        <v>6.6656837177824082</v>
      </c>
      <c r="E65" s="7">
        <f t="shared" si="33"/>
        <v>7.0647590277918022</v>
      </c>
      <c r="F65" s="7">
        <f t="shared" si="33"/>
        <v>7.7057128238944275</v>
      </c>
      <c r="G65" s="7">
        <f t="shared" si="33"/>
        <v>8.0762045272390264</v>
      </c>
      <c r="H65" s="7">
        <f t="shared" si="33"/>
        <v>8.7155521259078164</v>
      </c>
      <c r="I65" s="7">
        <f t="shared" si="33"/>
        <v>9.0410929746694997</v>
      </c>
      <c r="J65" s="7">
        <f t="shared" si="33"/>
        <v>9.4287527489144907</v>
      </c>
      <c r="K65" s="7">
        <f t="shared" si="33"/>
        <v>9.833547804331447</v>
      </c>
      <c r="L65" s="7">
        <f t="shared" si="33"/>
        <v>10.297082488073805</v>
      </c>
      <c r="M65" s="7">
        <f t="shared" si="33"/>
        <v>10.63248438598977</v>
      </c>
      <c r="N65" s="7">
        <f t="shared" si="33"/>
        <v>11.105558549572468</v>
      </c>
      <c r="O65" s="7">
        <f t="shared" si="33"/>
        <v>11.468555517234288</v>
      </c>
      <c r="P65" s="7">
        <f t="shared" ref="P65:S65" si="34">LN(P27)</f>
        <v>12.035284324549892</v>
      </c>
      <c r="Q65" s="7">
        <f t="shared" si="34"/>
        <v>12.435675291905122</v>
      </c>
      <c r="R65" s="7">
        <f t="shared" si="34"/>
        <v>12.55341416828783</v>
      </c>
      <c r="S65" s="7">
        <f t="shared" si="34"/>
        <v>12.484007366527075</v>
      </c>
    </row>
    <row r="66" spans="1:28" x14ac:dyDescent="0.2">
      <c r="A66" s="4" t="s">
        <v>169</v>
      </c>
      <c r="B66" s="7">
        <f t="shared" ref="B66:O66" si="35">LN(B28)</f>
        <v>7.2499255367179876</v>
      </c>
      <c r="C66" s="7"/>
      <c r="D66" s="7">
        <f t="shared" si="35"/>
        <v>6.6528630293533473</v>
      </c>
      <c r="E66" s="7">
        <f t="shared" si="35"/>
        <v>7.111512116496157</v>
      </c>
      <c r="F66" s="7">
        <f t="shared" si="35"/>
        <v>7.664815785285735</v>
      </c>
      <c r="G66" s="7">
        <f t="shared" si="35"/>
        <v>8.0627479010863539</v>
      </c>
      <c r="H66" s="7">
        <f t="shared" si="35"/>
        <v>8.6369298730185715</v>
      </c>
      <c r="I66" s="7">
        <f t="shared" si="35"/>
        <v>9.0314529119165101</v>
      </c>
      <c r="J66" s="7">
        <f t="shared" si="35"/>
        <v>9.3902423372513706</v>
      </c>
      <c r="K66" s="7">
        <f t="shared" si="35"/>
        <v>9.8115367237882189</v>
      </c>
      <c r="L66" s="7">
        <f t="shared" si="35"/>
        <v>10.280210191778638</v>
      </c>
      <c r="M66" s="7">
        <f t="shared" si="35"/>
        <v>10.674521271753145</v>
      </c>
      <c r="N66" s="7">
        <f t="shared" si="35"/>
        <v>11.103753494930737</v>
      </c>
      <c r="O66" s="7">
        <f t="shared" si="35"/>
        <v>11.475223597786217</v>
      </c>
      <c r="P66" s="7">
        <f t="shared" ref="P66:S66" si="36">LN(P28)</f>
        <v>12.033741022765566</v>
      </c>
      <c r="Q66" s="7">
        <f t="shared" si="36"/>
        <v>12.439008099306852</v>
      </c>
      <c r="R66" s="7">
        <f t="shared" si="36"/>
        <v>12.545682810842314</v>
      </c>
      <c r="S66" s="7">
        <f t="shared" si="36"/>
        <v>12.458930326827774</v>
      </c>
    </row>
    <row r="67" spans="1:28" x14ac:dyDescent="0.2">
      <c r="A67" s="4" t="s">
        <v>170</v>
      </c>
      <c r="B67" s="7">
        <f t="shared" ref="B67:M67" si="37">LN(B29)</f>
        <v>7.0800826150708893</v>
      </c>
      <c r="C67" s="7">
        <f t="shared" si="37"/>
        <v>7.6221745948176221</v>
      </c>
      <c r="D67" s="7">
        <f t="shared" si="37"/>
        <v>8.1493128436353448</v>
      </c>
      <c r="E67" s="7">
        <f t="shared" si="37"/>
        <v>9.8231447998535888</v>
      </c>
      <c r="F67" s="7">
        <f t="shared" si="37"/>
        <v>10.682399500056867</v>
      </c>
      <c r="G67" s="7">
        <f t="shared" si="37"/>
        <v>11.556176506964544</v>
      </c>
      <c r="H67" s="7">
        <f t="shared" si="37"/>
        <v>12.7058777660127</v>
      </c>
      <c r="I67" s="7">
        <f t="shared" si="37"/>
        <v>13.378771477550982</v>
      </c>
      <c r="J67" s="7">
        <f t="shared" si="37"/>
        <v>13.836958889170143</v>
      </c>
      <c r="K67" s="7">
        <f t="shared" si="37"/>
        <v>14.011126682396231</v>
      </c>
      <c r="L67" s="7">
        <f t="shared" si="37"/>
        <v>13.963671908944795</v>
      </c>
      <c r="M67" s="7">
        <f t="shared" si="37"/>
        <v>13.707791708065482</v>
      </c>
      <c r="N67" s="7"/>
      <c r="O67" s="7"/>
    </row>
    <row r="68" spans="1:28" x14ac:dyDescent="0.2">
      <c r="A68" s="4" t="s">
        <v>171</v>
      </c>
      <c r="B68" s="7">
        <f t="shared" ref="B68:M68" si="38">LN(B30)</f>
        <v>7.0800826150708893</v>
      </c>
      <c r="C68" s="7">
        <f t="shared" si="38"/>
        <v>7.5893358231706172</v>
      </c>
      <c r="D68" s="7">
        <f t="shared" si="38"/>
        <v>8.1690531499273433</v>
      </c>
      <c r="E68" s="7">
        <f t="shared" si="38"/>
        <v>9.7776408426701522</v>
      </c>
      <c r="F68" s="7">
        <f t="shared" si="38"/>
        <v>10.617466242676006</v>
      </c>
      <c r="G68" s="7">
        <f t="shared" si="38"/>
        <v>11.651817463836847</v>
      </c>
      <c r="H68" s="7">
        <f t="shared" si="38"/>
        <v>12.715056574416794</v>
      </c>
      <c r="I68" s="7">
        <f t="shared" si="38"/>
        <v>13.394342806128819</v>
      </c>
      <c r="J68" s="7">
        <f t="shared" si="38"/>
        <v>13.834999410548122</v>
      </c>
      <c r="K68" s="7">
        <f t="shared" si="38"/>
        <v>14.0080464371652</v>
      </c>
      <c r="L68" s="7">
        <f t="shared" si="38"/>
        <v>13.973795536929988</v>
      </c>
      <c r="M68" s="7">
        <f t="shared" si="38"/>
        <v>13.685561313208888</v>
      </c>
      <c r="N68" s="7"/>
      <c r="O68" s="7"/>
    </row>
    <row r="69" spans="1:28" x14ac:dyDescent="0.2">
      <c r="A69" s="4" t="s">
        <v>172</v>
      </c>
      <c r="B69" s="7">
        <f t="shared" ref="B69:M69" si="39">LN(B31)</f>
        <v>7.0800826150708893</v>
      </c>
      <c r="C69" s="7">
        <f t="shared" si="39"/>
        <v>7.5796788230904557</v>
      </c>
      <c r="D69" s="7">
        <f t="shared" si="39"/>
        <v>8.1388567506963252</v>
      </c>
      <c r="E69" s="7">
        <f t="shared" si="39"/>
        <v>9.780076207620894</v>
      </c>
      <c r="F69" s="7">
        <f t="shared" si="39"/>
        <v>10.593329276087347</v>
      </c>
      <c r="G69" s="7">
        <f t="shared" si="39"/>
        <v>11.509519671835395</v>
      </c>
      <c r="H69" s="7">
        <f t="shared" si="39"/>
        <v>12.687943084840743</v>
      </c>
      <c r="I69" s="7">
        <f t="shared" si="39"/>
        <v>13.396595402131705</v>
      </c>
      <c r="J69" s="7">
        <f t="shared" si="39"/>
        <v>13.828999176144828</v>
      </c>
      <c r="K69" s="7">
        <f t="shared" si="39"/>
        <v>13.998948158416425</v>
      </c>
      <c r="L69" s="7">
        <f t="shared" si="39"/>
        <v>13.973846752007718</v>
      </c>
      <c r="M69" s="7">
        <f t="shared" si="39"/>
        <v>13.687131583094487</v>
      </c>
      <c r="N69" s="7"/>
      <c r="O69" s="7"/>
    </row>
    <row r="70" spans="1:28" x14ac:dyDescent="0.2">
      <c r="A70" s="4" t="s">
        <v>173</v>
      </c>
      <c r="B70" s="7">
        <f t="shared" ref="B70:M70" si="40">LN(B32)</f>
        <v>7.0800826150708893</v>
      </c>
      <c r="C70" s="7">
        <f t="shared" si="40"/>
        <v>7.6718267978787811</v>
      </c>
      <c r="D70" s="7">
        <f t="shared" si="40"/>
        <v>8.1539251320078616</v>
      </c>
      <c r="E70" s="7">
        <f t="shared" si="40"/>
        <v>9.7859982237436611</v>
      </c>
      <c r="F70" s="7">
        <f t="shared" si="40"/>
        <v>10.653605629355699</v>
      </c>
      <c r="G70" s="7">
        <f t="shared" si="40"/>
        <v>11.591551785425418</v>
      </c>
      <c r="H70" s="7">
        <f t="shared" si="40"/>
        <v>12.684230439031779</v>
      </c>
      <c r="I70" s="7">
        <f t="shared" si="40"/>
        <v>13.24966540777751</v>
      </c>
      <c r="J70" s="7">
        <f t="shared" si="40"/>
        <v>13.688131628634444</v>
      </c>
      <c r="K70" s="7">
        <f t="shared" si="40"/>
        <v>13.882103217913405</v>
      </c>
      <c r="L70" s="7">
        <f t="shared" si="40"/>
        <v>13.837428593265205</v>
      </c>
      <c r="M70" s="7">
        <f t="shared" si="40"/>
        <v>13.449246932055246</v>
      </c>
      <c r="N70" s="7"/>
      <c r="O70" s="7"/>
    </row>
    <row r="71" spans="1:28" x14ac:dyDescent="0.2">
      <c r="A71" s="4" t="s">
        <v>174</v>
      </c>
      <c r="B71" s="7">
        <f t="shared" ref="B71:M71" si="41">LN(B33)</f>
        <v>7.0800826150708893</v>
      </c>
      <c r="C71" s="7">
        <f t="shared" si="41"/>
        <v>7.6948480723846098</v>
      </c>
      <c r="D71" s="7">
        <f t="shared" si="41"/>
        <v>8.1408984606078523</v>
      </c>
      <c r="E71" s="7">
        <f t="shared" si="41"/>
        <v>9.7515011955382462</v>
      </c>
      <c r="F71" s="7">
        <f t="shared" si="41"/>
        <v>10.623982354614311</v>
      </c>
      <c r="G71" s="7">
        <f t="shared" si="41"/>
        <v>11.557516348298103</v>
      </c>
      <c r="H71" s="7">
        <f t="shared" si="41"/>
        <v>12.680503958103062</v>
      </c>
      <c r="I71" s="7">
        <f t="shared" si="41"/>
        <v>13.260942011250364</v>
      </c>
      <c r="J71" s="7">
        <f t="shared" si="41"/>
        <v>13.690083380156134</v>
      </c>
      <c r="K71" s="7">
        <f t="shared" si="41"/>
        <v>13.885521577629085</v>
      </c>
      <c r="L71" s="7">
        <f t="shared" si="41"/>
        <v>13.832918162619308</v>
      </c>
      <c r="M71" s="7">
        <f t="shared" si="41"/>
        <v>13.467795355397014</v>
      </c>
      <c r="N71" s="7"/>
      <c r="O71" s="7"/>
    </row>
    <row r="72" spans="1:28" x14ac:dyDescent="0.2">
      <c r="A72" s="4" t="s">
        <v>175</v>
      </c>
      <c r="B72" s="7">
        <f t="shared" ref="B72:M72" si="42">LN(B34)</f>
        <v>7.0800826150708893</v>
      </c>
      <c r="C72" s="7">
        <f t="shared" si="42"/>
        <v>7.5750716995075607</v>
      </c>
      <c r="D72" s="7">
        <f t="shared" si="42"/>
        <v>8.1403155401599854</v>
      </c>
      <c r="E72" s="7">
        <f t="shared" si="42"/>
        <v>9.7440814203129147</v>
      </c>
      <c r="F72" s="7">
        <f t="shared" si="42"/>
        <v>10.583118803042552</v>
      </c>
      <c r="G72" s="7">
        <f t="shared" si="42"/>
        <v>11.501257660102546</v>
      </c>
      <c r="H72" s="7">
        <f t="shared" si="42"/>
        <v>12.668988717274015</v>
      </c>
      <c r="I72" s="7">
        <f t="shared" si="42"/>
        <v>13.247761786798662</v>
      </c>
      <c r="J72" s="7">
        <f t="shared" si="42"/>
        <v>13.690831297920047</v>
      </c>
      <c r="K72" s="7">
        <f t="shared" si="42"/>
        <v>13.870680329097745</v>
      </c>
      <c r="L72" s="7">
        <f t="shared" si="42"/>
        <v>13.837506855836169</v>
      </c>
      <c r="M72" s="7">
        <f t="shared" si="42"/>
        <v>13.479366267562821</v>
      </c>
      <c r="N72" s="7"/>
      <c r="O72" s="7"/>
    </row>
    <row r="73" spans="1:28" x14ac:dyDescent="0.2">
      <c r="A73" s="4" t="s">
        <v>176</v>
      </c>
      <c r="B73" s="7">
        <f t="shared" ref="B73:M73" si="43">LN(B35)</f>
        <v>7.0800826150708893</v>
      </c>
      <c r="C73" s="7">
        <f t="shared" si="43"/>
        <v>7.5517122153513103</v>
      </c>
      <c r="D73" s="7">
        <f t="shared" si="43"/>
        <v>8.3111525480016901</v>
      </c>
      <c r="E73" s="7">
        <f t="shared" si="43"/>
        <v>9.9065827574434309</v>
      </c>
      <c r="F73" s="7">
        <f t="shared" si="43"/>
        <v>10.738134295369774</v>
      </c>
      <c r="G73" s="7">
        <f t="shared" si="43"/>
        <v>11.425186550662222</v>
      </c>
      <c r="H73" s="7">
        <f t="shared" si="43"/>
        <v>12.726947605149165</v>
      </c>
      <c r="I73" s="7">
        <f t="shared" si="43"/>
        <v>13.361506254191449</v>
      </c>
      <c r="J73" s="7">
        <f t="shared" si="43"/>
        <v>13.791340808657068</v>
      </c>
      <c r="K73" s="7">
        <f t="shared" si="43"/>
        <v>13.985084541935725</v>
      </c>
      <c r="L73" s="7">
        <f t="shared" si="43"/>
        <v>13.916007264455899</v>
      </c>
      <c r="M73" s="7">
        <f t="shared" si="43"/>
        <v>13.669304899370122</v>
      </c>
      <c r="N73" s="7"/>
      <c r="O73" s="7"/>
    </row>
    <row r="74" spans="1:28" x14ac:dyDescent="0.2">
      <c r="A74" s="4" t="s">
        <v>177</v>
      </c>
      <c r="B74" s="7">
        <f t="shared" ref="B74:M74" si="44">LN(B36)</f>
        <v>7.0800826150708893</v>
      </c>
      <c r="C74" s="7">
        <f t="shared" si="44"/>
        <v>7.6601143191739283</v>
      </c>
      <c r="D74" s="7">
        <f t="shared" si="44"/>
        <v>8.3180102775468718</v>
      </c>
      <c r="E74" s="7">
        <f t="shared" si="44"/>
        <v>9.8363857489953919</v>
      </c>
      <c r="F74" s="7">
        <f t="shared" si="44"/>
        <v>10.714639966286978</v>
      </c>
      <c r="G74" s="7">
        <f t="shared" si="44"/>
        <v>11.413547020989949</v>
      </c>
      <c r="H74" s="7">
        <f t="shared" si="44"/>
        <v>12.703569839084832</v>
      </c>
      <c r="I74" s="7">
        <f t="shared" si="44"/>
        <v>13.354395309763943</v>
      </c>
      <c r="J74" s="7">
        <f t="shared" si="44"/>
        <v>13.779365111327921</v>
      </c>
      <c r="K74" s="7">
        <f t="shared" si="44"/>
        <v>13.986686903653231</v>
      </c>
      <c r="L74" s="7">
        <f t="shared" si="44"/>
        <v>13.916224294045119</v>
      </c>
      <c r="M74" s="7">
        <f t="shared" si="44"/>
        <v>13.663291344986764</v>
      </c>
      <c r="N74" s="7"/>
      <c r="O74" s="7"/>
    </row>
    <row r="75" spans="1:28" x14ac:dyDescent="0.2">
      <c r="A75" s="4" t="s">
        <v>178</v>
      </c>
      <c r="B75" s="7">
        <f t="shared" ref="B75:M75" si="45">LN(B37)</f>
        <v>7.0800826150708893</v>
      </c>
      <c r="C75" s="7">
        <f t="shared" si="45"/>
        <v>7.6843240676811551</v>
      </c>
      <c r="D75" s="7">
        <f t="shared" si="45"/>
        <v>8.3052368294925927</v>
      </c>
      <c r="E75" s="7">
        <f t="shared" si="45"/>
        <v>9.865474110337912</v>
      </c>
      <c r="F75" s="7">
        <f t="shared" si="45"/>
        <v>10.732541427456502</v>
      </c>
      <c r="G75" s="7">
        <f t="shared" si="45"/>
        <v>11.375959609897071</v>
      </c>
      <c r="H75" s="7">
        <f t="shared" si="45"/>
        <v>12.698082355038524</v>
      </c>
      <c r="I75" s="7">
        <f t="shared" si="45"/>
        <v>13.326250712112843</v>
      </c>
      <c r="J75" s="7">
        <f t="shared" si="45"/>
        <v>13.771516872278385</v>
      </c>
      <c r="K75" s="7">
        <f t="shared" si="45"/>
        <v>13.977204146962261</v>
      </c>
      <c r="L75" s="7">
        <f t="shared" si="45"/>
        <v>13.918428091970961</v>
      </c>
      <c r="M75" s="7">
        <f t="shared" si="45"/>
        <v>13.657545947675036</v>
      </c>
      <c r="N75" s="7"/>
      <c r="O75" s="7"/>
    </row>
    <row r="78" spans="1:28" s="23" customFormat="1" ht="16" x14ac:dyDescent="0.2">
      <c r="A78" s="22" t="s">
        <v>219</v>
      </c>
      <c r="B78" s="23">
        <v>0</v>
      </c>
      <c r="C78" s="23">
        <v>2</v>
      </c>
      <c r="D78" s="23">
        <v>4</v>
      </c>
      <c r="E78" s="23">
        <v>6</v>
      </c>
      <c r="F78" s="23">
        <v>8</v>
      </c>
      <c r="G78" s="23">
        <v>10</v>
      </c>
      <c r="H78" s="23">
        <v>12</v>
      </c>
      <c r="I78" s="23">
        <v>14</v>
      </c>
      <c r="J78" s="23">
        <v>16</v>
      </c>
      <c r="K78" s="23">
        <v>18</v>
      </c>
      <c r="L78" s="23">
        <v>20</v>
      </c>
      <c r="M78" s="23">
        <v>22</v>
      </c>
      <c r="N78" s="23">
        <v>24</v>
      </c>
      <c r="O78" s="23">
        <v>26</v>
      </c>
      <c r="P78" s="23">
        <v>28</v>
      </c>
      <c r="Q78" s="23">
        <v>30</v>
      </c>
      <c r="R78" s="23">
        <v>32</v>
      </c>
      <c r="S78" s="23">
        <v>34</v>
      </c>
      <c r="Y78" s="20" t="s">
        <v>290</v>
      </c>
      <c r="Z78" s="21" t="s">
        <v>291</v>
      </c>
      <c r="AA78" s="21" t="s">
        <v>292</v>
      </c>
      <c r="AB78" s="21" t="s">
        <v>293</v>
      </c>
    </row>
    <row r="79" spans="1:28" s="10" customFormat="1" x14ac:dyDescent="0.2">
      <c r="A79" s="9" t="s">
        <v>243</v>
      </c>
      <c r="B79" s="11">
        <f>AVERAGE(B40:B42)</f>
        <v>7.2490823783295326</v>
      </c>
      <c r="C79" s="11">
        <f t="shared" ref="C79:J79" si="46">AVERAGE(C40:C42)</f>
        <v>6.9942495513429437</v>
      </c>
      <c r="D79" s="11">
        <f t="shared" si="46"/>
        <v>7.0814545580044275</v>
      </c>
      <c r="E79" s="11">
        <f t="shared" si="46"/>
        <v>7.0447581663753853</v>
      </c>
      <c r="F79" s="11">
        <f t="shared" si="46"/>
        <v>7.0162222937732226</v>
      </c>
      <c r="G79" s="11">
        <f t="shared" si="46"/>
        <v>7.0002991426967114</v>
      </c>
      <c r="H79" s="11">
        <f t="shared" si="46"/>
        <v>7.1064696313964966</v>
      </c>
      <c r="I79" s="11">
        <f t="shared" si="46"/>
        <v>6.9077228560719872</v>
      </c>
      <c r="J79" s="11">
        <f t="shared" si="46"/>
        <v>6.8865650358713024</v>
      </c>
      <c r="K79" s="11"/>
      <c r="L79" s="11"/>
      <c r="M79" s="11"/>
      <c r="N79" s="11"/>
      <c r="O79" s="11"/>
      <c r="P79" s="11"/>
      <c r="Q79" s="11"/>
      <c r="R79" s="11"/>
      <c r="S79" s="11"/>
    </row>
    <row r="80" spans="1:28" s="10" customFormat="1" x14ac:dyDescent="0.2">
      <c r="A80" s="9" t="s">
        <v>244</v>
      </c>
      <c r="B80" s="11">
        <f t="shared" ref="B80" si="47">AVERAGE(B43:B45)</f>
        <v>7.2490823783295326</v>
      </c>
      <c r="C80" s="11">
        <f t="shared" ref="C80:J80" si="48">AVERAGE(C43:C45)</f>
        <v>7.1909829049722376</v>
      </c>
      <c r="D80" s="11">
        <f t="shared" si="48"/>
        <v>7.1808295382118814</v>
      </c>
      <c r="E80" s="11">
        <f t="shared" si="48"/>
        <v>6.898025960977388</v>
      </c>
      <c r="F80" s="11">
        <f t="shared" si="48"/>
        <v>6.9317869862250774</v>
      </c>
      <c r="G80" s="11">
        <f t="shared" si="48"/>
        <v>6.800532798964233</v>
      </c>
      <c r="H80" s="11">
        <f t="shared" si="48"/>
        <v>6.9794668823113417</v>
      </c>
      <c r="I80" s="11">
        <f t="shared" si="48"/>
        <v>6.8482809350064899</v>
      </c>
      <c r="J80" s="11">
        <f t="shared" si="48"/>
        <v>6.9027424004665887</v>
      </c>
      <c r="K80" s="11"/>
      <c r="L80" s="11"/>
      <c r="M80" s="11"/>
      <c r="N80" s="11"/>
      <c r="O80" s="11"/>
      <c r="P80" s="11"/>
      <c r="Q80" s="11"/>
      <c r="R80" s="11"/>
      <c r="S80" s="11"/>
    </row>
    <row r="81" spans="1:28" s="10" customFormat="1" x14ac:dyDescent="0.2">
      <c r="A81" s="9" t="s">
        <v>254</v>
      </c>
      <c r="B81" s="11">
        <f t="shared" ref="B81:J81" si="49">AVERAGE(B46:B48)</f>
        <v>7.2490823783295326</v>
      </c>
      <c r="C81" s="11">
        <f t="shared" si="49"/>
        <v>7.3042187351655734</v>
      </c>
      <c r="D81" s="11">
        <f t="shared" si="49"/>
        <v>7.0969848503162085</v>
      </c>
      <c r="E81" s="11">
        <f t="shared" si="49"/>
        <v>6.9905599075726874</v>
      </c>
      <c r="F81" s="11">
        <f t="shared" si="49"/>
        <v>6.9510851012837316</v>
      </c>
      <c r="G81" s="11">
        <f t="shared" si="49"/>
        <v>6.9873462600342293</v>
      </c>
      <c r="H81" s="11">
        <f t="shared" si="49"/>
        <v>6.8060085272757123</v>
      </c>
      <c r="I81" s="11">
        <f t="shared" si="49"/>
        <v>6.8160373947999986</v>
      </c>
      <c r="J81" s="11">
        <f t="shared" si="49"/>
        <v>6.7793694203338175</v>
      </c>
      <c r="K81" s="11"/>
      <c r="L81" s="11"/>
      <c r="M81" s="11"/>
      <c r="N81" s="11"/>
      <c r="O81" s="11"/>
      <c r="P81" s="11"/>
      <c r="Q81" s="11"/>
      <c r="R81" s="11"/>
      <c r="S81" s="11"/>
    </row>
    <row r="82" spans="1:28" s="10" customFormat="1" x14ac:dyDescent="0.2">
      <c r="A82" s="9" t="s">
        <v>253</v>
      </c>
      <c r="B82" s="11">
        <f t="shared" ref="B82:O82" si="50">AVERAGE(B49:B51)</f>
        <v>7.2490823783295326</v>
      </c>
      <c r="C82" s="11">
        <f t="shared" si="50"/>
        <v>7.090497718099475</v>
      </c>
      <c r="D82" s="11">
        <f t="shared" si="50"/>
        <v>7.0124110968878979</v>
      </c>
      <c r="E82" s="11">
        <f t="shared" si="50"/>
        <v>7.1117331522172256</v>
      </c>
      <c r="F82" s="11">
        <f t="shared" si="50"/>
        <v>7.3953901357659149</v>
      </c>
      <c r="G82" s="11">
        <f t="shared" si="50"/>
        <v>7.9977637813768139</v>
      </c>
      <c r="H82" s="11">
        <f t="shared" si="50"/>
        <v>8.8899590054024387</v>
      </c>
      <c r="I82" s="11">
        <f t="shared" si="50"/>
        <v>9.6582738240512693</v>
      </c>
      <c r="J82" s="11">
        <f t="shared" si="50"/>
        <v>10.539861610025918</v>
      </c>
      <c r="K82" s="11">
        <f t="shared" si="50"/>
        <v>11.337061420272454</v>
      </c>
      <c r="L82" s="11">
        <f t="shared" si="50"/>
        <v>12.268979599958755</v>
      </c>
      <c r="M82" s="11">
        <f t="shared" si="50"/>
        <v>12.826827601998952</v>
      </c>
      <c r="N82" s="11">
        <f t="shared" si="50"/>
        <v>13.083076699742742</v>
      </c>
      <c r="O82" s="11">
        <f t="shared" si="50"/>
        <v>13.172457312546825</v>
      </c>
      <c r="P82" s="11"/>
      <c r="Q82" s="12">
        <v>0.38169999999999998</v>
      </c>
      <c r="R82" s="11"/>
      <c r="S82" s="11"/>
      <c r="Y82" s="6">
        <v>6</v>
      </c>
      <c r="Z82" s="6">
        <v>22</v>
      </c>
      <c r="AA82" s="6">
        <v>0.38169999999999998</v>
      </c>
      <c r="AB82" s="6">
        <v>0.99165999999999999</v>
      </c>
    </row>
    <row r="83" spans="1:28" s="10" customFormat="1" x14ac:dyDescent="0.2">
      <c r="A83" s="9" t="s">
        <v>252</v>
      </c>
      <c r="B83" s="11">
        <f t="shared" ref="B83:O83" si="51">AVERAGE(B52:B54)</f>
        <v>7.2490823783295326</v>
      </c>
      <c r="C83" s="11">
        <f t="shared" si="51"/>
        <v>7.0035727910189145</v>
      </c>
      <c r="D83" s="11">
        <f t="shared" si="51"/>
        <v>6.9480432370917482</v>
      </c>
      <c r="E83" s="11">
        <f t="shared" si="51"/>
        <v>7.1383725182522397</v>
      </c>
      <c r="F83" s="11">
        <f t="shared" si="51"/>
        <v>7.6329310752349109</v>
      </c>
      <c r="G83" s="11">
        <f t="shared" si="51"/>
        <v>8.2681688930686441</v>
      </c>
      <c r="H83" s="11">
        <f t="shared" si="51"/>
        <v>9.3028533762376515</v>
      </c>
      <c r="I83" s="11">
        <f t="shared" si="51"/>
        <v>10.27265664851415</v>
      </c>
      <c r="J83" s="11">
        <f t="shared" si="51"/>
        <v>11.097626188667542</v>
      </c>
      <c r="K83" s="11">
        <f t="shared" si="51"/>
        <v>12.052497206741741</v>
      </c>
      <c r="L83" s="11">
        <f t="shared" si="51"/>
        <v>12.790083821884993</v>
      </c>
      <c r="M83" s="11">
        <f t="shared" si="51"/>
        <v>13.301353531295575</v>
      </c>
      <c r="N83" s="11">
        <f t="shared" si="51"/>
        <v>13.432465107204818</v>
      </c>
      <c r="O83" s="11">
        <f t="shared" si="51"/>
        <v>13.419126601576991</v>
      </c>
      <c r="P83" s="11"/>
      <c r="Q83" s="12">
        <v>0.41239999999999999</v>
      </c>
      <c r="R83" s="12">
        <f>AVERAGE(Q82:Q84)</f>
        <v>0.39826666666666671</v>
      </c>
      <c r="S83" s="12">
        <f>STDEV(Q82:Q84)</f>
        <v>1.5493977324539153E-2</v>
      </c>
      <c r="Y83" s="6">
        <v>6</v>
      </c>
      <c r="Z83" s="6">
        <v>22</v>
      </c>
      <c r="AA83" s="6">
        <v>0.41239999999999999</v>
      </c>
      <c r="AB83" s="6">
        <v>0.99382000000000004</v>
      </c>
    </row>
    <row r="84" spans="1:28" s="10" customFormat="1" x14ac:dyDescent="0.2">
      <c r="A84" s="9" t="s">
        <v>251</v>
      </c>
      <c r="B84" s="11">
        <f t="shared" ref="B84:O84" si="52">AVERAGE(B55:B57)</f>
        <v>7.2490823783295326</v>
      </c>
      <c r="C84" s="11">
        <f t="shared" si="52"/>
        <v>7.1433391862141988</v>
      </c>
      <c r="D84" s="11">
        <f t="shared" si="52"/>
        <v>7.2019922024534138</v>
      </c>
      <c r="E84" s="11">
        <f t="shared" si="52"/>
        <v>7.1229134645769925</v>
      </c>
      <c r="F84" s="11">
        <f t="shared" si="52"/>
        <v>7.55914541861421</v>
      </c>
      <c r="G84" s="11">
        <f t="shared" si="52"/>
        <v>7.9626976306313706</v>
      </c>
      <c r="H84" s="11">
        <f t="shared" si="52"/>
        <v>8.9464237701695399</v>
      </c>
      <c r="I84" s="11">
        <f t="shared" si="52"/>
        <v>9.8587955444463233</v>
      </c>
      <c r="J84" s="11">
        <f t="shared" si="52"/>
        <v>10.769839970170388</v>
      </c>
      <c r="K84" s="11">
        <f t="shared" si="52"/>
        <v>11.737325473532948</v>
      </c>
      <c r="L84" s="11">
        <f t="shared" si="52"/>
        <v>12.507924387796962</v>
      </c>
      <c r="M84" s="11">
        <f t="shared" si="52"/>
        <v>13.090481055340668</v>
      </c>
      <c r="N84" s="11">
        <f t="shared" si="52"/>
        <v>13.361747299457603</v>
      </c>
      <c r="O84" s="11">
        <f t="shared" si="52"/>
        <v>13.423978572239465</v>
      </c>
      <c r="P84" s="11"/>
      <c r="Q84" s="12">
        <v>0.4007</v>
      </c>
      <c r="R84" s="11"/>
      <c r="S84" s="11"/>
      <c r="Y84" s="6">
        <v>6</v>
      </c>
      <c r="Z84" s="6">
        <v>22</v>
      </c>
      <c r="AA84" s="6">
        <v>0.4007</v>
      </c>
      <c r="AB84" s="6">
        <v>0.98965999999999998</v>
      </c>
    </row>
    <row r="85" spans="1:28" s="10" customFormat="1" x14ac:dyDescent="0.2">
      <c r="A85" s="9" t="s">
        <v>250</v>
      </c>
      <c r="B85" s="11">
        <f>AVERAGE(B58:B60)</f>
        <v>7.2499255367179876</v>
      </c>
      <c r="C85" s="11">
        <f t="shared" ref="C85:R85" si="53">AVERAGE(C58:C60)</f>
        <v>7.2443250134909185</v>
      </c>
      <c r="D85" s="11">
        <f t="shared" si="53"/>
        <v>7.0306909191155604</v>
      </c>
      <c r="E85" s="11">
        <f t="shared" si="53"/>
        <v>7.2517606499189098</v>
      </c>
      <c r="F85" s="11">
        <f t="shared" si="53"/>
        <v>7.8254107289193762</v>
      </c>
      <c r="G85" s="11">
        <f t="shared" si="53"/>
        <v>8.1533043146906508</v>
      </c>
      <c r="H85" s="11">
        <f t="shared" si="53"/>
        <v>8.707975073437483</v>
      </c>
      <c r="I85" s="11">
        <f t="shared" si="53"/>
        <v>9.1588736993970592</v>
      </c>
      <c r="J85" s="11">
        <f t="shared" si="53"/>
        <v>9.5281741574525842</v>
      </c>
      <c r="K85" s="11">
        <f t="shared" si="53"/>
        <v>9.9524144231725735</v>
      </c>
      <c r="L85" s="11">
        <f t="shared" si="53"/>
        <v>10.372342137496501</v>
      </c>
      <c r="M85" s="11">
        <f t="shared" si="53"/>
        <v>10.748624025216825</v>
      </c>
      <c r="N85" s="11">
        <f t="shared" si="53"/>
        <v>11.213108842881155</v>
      </c>
      <c r="O85" s="11">
        <f t="shared" si="53"/>
        <v>11.509287097573733</v>
      </c>
      <c r="P85" s="11">
        <f t="shared" si="53"/>
        <v>12.00541987096434</v>
      </c>
      <c r="Q85" s="11">
        <f t="shared" si="53"/>
        <v>12.122721824253803</v>
      </c>
      <c r="R85" s="11">
        <f t="shared" si="53"/>
        <v>12.187786692370738</v>
      </c>
      <c r="S85" s="11">
        <f t="shared" ref="S85" si="54">AVERAGE(S58:S60)</f>
        <v>11.98449257286479</v>
      </c>
      <c r="U85" s="12">
        <v>0.21249999999999999</v>
      </c>
      <c r="Y85" s="6">
        <v>6</v>
      </c>
      <c r="Z85" s="6">
        <v>26</v>
      </c>
      <c r="AA85" s="6">
        <v>0.21249999999999999</v>
      </c>
      <c r="AB85" s="6">
        <v>0.99763000000000002</v>
      </c>
    </row>
    <row r="86" spans="1:28" s="10" customFormat="1" x14ac:dyDescent="0.2">
      <c r="A86" s="9" t="s">
        <v>249</v>
      </c>
      <c r="B86" s="11">
        <f t="shared" ref="B86:R86" si="55">AVERAGE(B61:B63)</f>
        <v>7.2499255367179876</v>
      </c>
      <c r="C86" s="11">
        <f t="shared" si="55"/>
        <v>6.9722999684382865</v>
      </c>
      <c r="D86" s="11">
        <f t="shared" si="55"/>
        <v>7.024744318499482</v>
      </c>
      <c r="E86" s="11">
        <f t="shared" si="55"/>
        <v>7.2046274418761627</v>
      </c>
      <c r="F86" s="11">
        <f t="shared" si="55"/>
        <v>7.9585934370173712</v>
      </c>
      <c r="G86" s="11">
        <f t="shared" si="55"/>
        <v>8.5429185580711948</v>
      </c>
      <c r="H86" s="11">
        <f t="shared" si="55"/>
        <v>9.3869761937682554</v>
      </c>
      <c r="I86" s="11">
        <f t="shared" si="55"/>
        <v>9.6450907144861535</v>
      </c>
      <c r="J86" s="11">
        <f t="shared" si="55"/>
        <v>10.071976685808911</v>
      </c>
      <c r="K86" s="11">
        <f t="shared" si="55"/>
        <v>10.554551481914316</v>
      </c>
      <c r="L86" s="11">
        <f t="shared" si="55"/>
        <v>11.017245207961359</v>
      </c>
      <c r="M86" s="11">
        <f t="shared" si="55"/>
        <v>11.505247124544416</v>
      </c>
      <c r="N86" s="11">
        <f t="shared" si="55"/>
        <v>12.124370921284493</v>
      </c>
      <c r="O86" s="11">
        <f t="shared" si="55"/>
        <v>12.327112665760337</v>
      </c>
      <c r="P86" s="11">
        <f t="shared" si="55"/>
        <v>12.636099378228783</v>
      </c>
      <c r="Q86" s="11">
        <f t="shared" si="55"/>
        <v>12.51160080375468</v>
      </c>
      <c r="R86" s="11">
        <f t="shared" si="55"/>
        <v>12.468546176641604</v>
      </c>
      <c r="S86" s="11">
        <f t="shared" ref="S86" si="56">AVERAGE(S61:S63)</f>
        <v>12.293136962877226</v>
      </c>
      <c r="U86" s="12">
        <v>0.2515</v>
      </c>
      <c r="V86" s="12">
        <f>AVERAGE(U85:U87)</f>
        <v>0.22616666666666665</v>
      </c>
      <c r="W86" s="12">
        <f>STDEV(U85:U87)</f>
        <v>2.1962088546705512E-2</v>
      </c>
      <c r="Y86" s="6">
        <v>6</v>
      </c>
      <c r="Z86" s="6">
        <v>26</v>
      </c>
      <c r="AA86" s="6">
        <v>0.2515</v>
      </c>
      <c r="AB86" s="6">
        <v>0.98919999999999997</v>
      </c>
    </row>
    <row r="87" spans="1:28" s="10" customFormat="1" x14ac:dyDescent="0.2">
      <c r="A87" s="9" t="s">
        <v>248</v>
      </c>
      <c r="B87" s="11">
        <f t="shared" ref="B87:R87" si="57">AVERAGE(B64:B66)</f>
        <v>7.2499255367179876</v>
      </c>
      <c r="C87" s="11">
        <f t="shared" si="57"/>
        <v>7.0267500796450548</v>
      </c>
      <c r="D87" s="11">
        <f t="shared" si="57"/>
        <v>6.6918263787944356</v>
      </c>
      <c r="E87" s="11">
        <f t="shared" si="57"/>
        <v>7.1187803395302511</v>
      </c>
      <c r="F87" s="11">
        <f t="shared" si="57"/>
        <v>7.6981777552854096</v>
      </c>
      <c r="G87" s="11">
        <f t="shared" si="57"/>
        <v>8.0894740643698704</v>
      </c>
      <c r="H87" s="11">
        <f t="shared" si="57"/>
        <v>8.7266011505414127</v>
      </c>
      <c r="I87" s="11">
        <f t="shared" si="57"/>
        <v>9.0490985347519484</v>
      </c>
      <c r="J87" s="11">
        <f t="shared" si="57"/>
        <v>9.4185579667842578</v>
      </c>
      <c r="K87" s="11">
        <f t="shared" si="57"/>
        <v>9.831671021187077</v>
      </c>
      <c r="L87" s="11">
        <f t="shared" si="57"/>
        <v>10.299314439414182</v>
      </c>
      <c r="M87" s="11">
        <f t="shared" si="57"/>
        <v>10.671727255190632</v>
      </c>
      <c r="N87" s="11">
        <f t="shared" si="57"/>
        <v>11.11160292128379</v>
      </c>
      <c r="O87" s="11">
        <f t="shared" si="57"/>
        <v>11.489280774800397</v>
      </c>
      <c r="P87" s="11">
        <f t="shared" si="57"/>
        <v>12.042508542792833</v>
      </c>
      <c r="Q87" s="11">
        <f t="shared" si="57"/>
        <v>12.446833830166968</v>
      </c>
      <c r="R87" s="11">
        <f t="shared" si="57"/>
        <v>12.54953915833932</v>
      </c>
      <c r="S87" s="11">
        <f t="shared" ref="S87" si="58">AVERAGE(S64:S66)</f>
        <v>12.471380002288763</v>
      </c>
      <c r="U87" s="12">
        <v>0.2145</v>
      </c>
      <c r="Y87" s="6">
        <v>6</v>
      </c>
      <c r="Z87" s="6">
        <v>26</v>
      </c>
      <c r="AA87" s="6">
        <v>0.2145</v>
      </c>
      <c r="AB87" s="6">
        <v>0.99685000000000001</v>
      </c>
    </row>
    <row r="88" spans="1:28" s="10" customFormat="1" x14ac:dyDescent="0.2">
      <c r="A88" s="9" t="s">
        <v>247</v>
      </c>
      <c r="B88" s="11">
        <f>AVERAGE(B67:B69)</f>
        <v>7.0800826150708893</v>
      </c>
      <c r="C88" s="11">
        <f t="shared" ref="C88:M88" si="59">AVERAGE(C67:C69)</f>
        <v>7.5970630803595656</v>
      </c>
      <c r="D88" s="11">
        <f t="shared" si="59"/>
        <v>8.1524075814196717</v>
      </c>
      <c r="E88" s="11">
        <f t="shared" si="59"/>
        <v>9.7936206167148772</v>
      </c>
      <c r="F88" s="11">
        <f t="shared" si="59"/>
        <v>10.631065006273408</v>
      </c>
      <c r="G88" s="11">
        <f t="shared" si="59"/>
        <v>11.572504547545597</v>
      </c>
      <c r="H88" s="11">
        <f t="shared" si="59"/>
        <v>12.702959141756745</v>
      </c>
      <c r="I88" s="11">
        <f t="shared" si="59"/>
        <v>13.389903228603837</v>
      </c>
      <c r="J88" s="11">
        <f t="shared" si="59"/>
        <v>13.833652491954362</v>
      </c>
      <c r="K88" s="11">
        <f t="shared" si="59"/>
        <v>14.006040425992618</v>
      </c>
      <c r="L88" s="11">
        <f t="shared" si="59"/>
        <v>13.970438065960833</v>
      </c>
      <c r="M88" s="11">
        <f t="shared" si="59"/>
        <v>13.693494868122954</v>
      </c>
      <c r="N88" s="11"/>
      <c r="O88" s="12">
        <v>0.50460000000000005</v>
      </c>
      <c r="P88" s="11"/>
      <c r="Q88" s="11"/>
      <c r="R88" s="11"/>
      <c r="S88" s="11"/>
      <c r="Y88" s="6">
        <v>2</v>
      </c>
      <c r="Z88" s="6">
        <v>14</v>
      </c>
      <c r="AA88" s="6">
        <v>0.50460000000000005</v>
      </c>
      <c r="AB88" s="6">
        <v>0.99051</v>
      </c>
    </row>
    <row r="89" spans="1:28" s="10" customFormat="1" x14ac:dyDescent="0.2">
      <c r="A89" s="9" t="s">
        <v>246</v>
      </c>
      <c r="B89" s="11">
        <f t="shared" ref="B89:M89" si="60">AVERAGE(B70:B72)</f>
        <v>7.0800826150708893</v>
      </c>
      <c r="C89" s="11">
        <f t="shared" si="60"/>
        <v>7.6472488565903172</v>
      </c>
      <c r="D89" s="11">
        <f t="shared" si="60"/>
        <v>8.1450463775918998</v>
      </c>
      <c r="E89" s="11">
        <f t="shared" si="60"/>
        <v>9.7605269465316074</v>
      </c>
      <c r="F89" s="11">
        <f t="shared" si="60"/>
        <v>10.620235595670854</v>
      </c>
      <c r="G89" s="11">
        <f t="shared" si="60"/>
        <v>11.550108597942023</v>
      </c>
      <c r="H89" s="11">
        <f t="shared" si="60"/>
        <v>12.677907704802953</v>
      </c>
      <c r="I89" s="11">
        <f t="shared" si="60"/>
        <v>13.252789735275513</v>
      </c>
      <c r="J89" s="11">
        <f t="shared" si="60"/>
        <v>13.689682102236874</v>
      </c>
      <c r="K89" s="11">
        <f t="shared" si="60"/>
        <v>13.879435041546744</v>
      </c>
      <c r="L89" s="11">
        <f t="shared" si="60"/>
        <v>13.835951203906895</v>
      </c>
      <c r="M89" s="11">
        <f t="shared" si="60"/>
        <v>13.465469518338361</v>
      </c>
      <c r="N89" s="11"/>
      <c r="O89" s="12">
        <v>0.49409999999999998</v>
      </c>
      <c r="P89" s="12">
        <f>AVERAGE(O88:O90)</f>
        <v>0.49646666666666667</v>
      </c>
      <c r="Q89" s="12">
        <f>STDEV(O88:O90)</f>
        <v>7.2459183912968279E-3</v>
      </c>
      <c r="R89" s="11"/>
      <c r="S89" s="11"/>
      <c r="Y89" s="6">
        <v>2</v>
      </c>
      <c r="Z89" s="6">
        <v>14</v>
      </c>
      <c r="AA89" s="6">
        <v>0.49409999999999998</v>
      </c>
      <c r="AB89" s="6">
        <v>0.98850000000000005</v>
      </c>
    </row>
    <row r="90" spans="1:28" s="10" customFormat="1" x14ac:dyDescent="0.2">
      <c r="A90" s="9" t="s">
        <v>245</v>
      </c>
      <c r="B90" s="11">
        <f>AVERAGE(B73:B75)</f>
        <v>7.0800826150708893</v>
      </c>
      <c r="C90" s="11">
        <f t="shared" ref="C90:L90" si="61">AVERAGE(C73:C75)</f>
        <v>7.6320502007354643</v>
      </c>
      <c r="D90" s="11">
        <f t="shared" si="61"/>
        <v>8.3114665516803843</v>
      </c>
      <c r="E90" s="11">
        <f t="shared" si="61"/>
        <v>9.8694808722589116</v>
      </c>
      <c r="F90" s="11">
        <f t="shared" si="61"/>
        <v>10.72843856303775</v>
      </c>
      <c r="G90" s="11">
        <f t="shared" si="61"/>
        <v>11.404897727183082</v>
      </c>
      <c r="H90" s="11">
        <f t="shared" si="61"/>
        <v>12.709533266424174</v>
      </c>
      <c r="I90" s="11">
        <f t="shared" si="61"/>
        <v>13.347384092022745</v>
      </c>
      <c r="J90" s="11">
        <f t="shared" si="61"/>
        <v>13.780740930754456</v>
      </c>
      <c r="K90" s="11">
        <f t="shared" si="61"/>
        <v>13.98299186418374</v>
      </c>
      <c r="L90" s="11">
        <f t="shared" si="61"/>
        <v>13.916886550157328</v>
      </c>
      <c r="M90" s="11">
        <f>AVERAGE(M73:M75)</f>
        <v>13.663380730677309</v>
      </c>
      <c r="N90" s="11"/>
      <c r="O90" s="12">
        <v>0.49070000000000003</v>
      </c>
      <c r="P90" s="11"/>
      <c r="Q90" s="11"/>
      <c r="R90" s="11"/>
      <c r="S90" s="11"/>
      <c r="Y90" s="6">
        <v>2</v>
      </c>
      <c r="Z90" s="6">
        <v>14</v>
      </c>
      <c r="AA90" s="6">
        <v>0.49070000000000003</v>
      </c>
      <c r="AB90" s="6">
        <v>0.99000999999999995</v>
      </c>
    </row>
    <row r="92" spans="1:28" s="16" customFormat="1" x14ac:dyDescent="0.2">
      <c r="A92" s="15" t="s">
        <v>267</v>
      </c>
      <c r="B92" s="16">
        <v>0</v>
      </c>
      <c r="C92" s="16">
        <v>2</v>
      </c>
      <c r="D92" s="16">
        <v>4</v>
      </c>
      <c r="E92" s="17">
        <v>6</v>
      </c>
      <c r="F92" s="17">
        <v>8</v>
      </c>
      <c r="G92" s="17">
        <v>10</v>
      </c>
      <c r="H92" s="17">
        <v>12</v>
      </c>
      <c r="I92" s="17">
        <v>14</v>
      </c>
      <c r="J92" s="17">
        <v>16</v>
      </c>
      <c r="K92" s="17">
        <v>18</v>
      </c>
      <c r="L92" s="17">
        <v>20</v>
      </c>
      <c r="M92" s="17">
        <v>22</v>
      </c>
      <c r="N92" s="17">
        <v>24</v>
      </c>
      <c r="O92" s="17">
        <v>26</v>
      </c>
      <c r="P92" s="17">
        <v>28</v>
      </c>
      <c r="Q92" s="17">
        <v>30</v>
      </c>
      <c r="R92" s="17">
        <v>32</v>
      </c>
      <c r="S92" s="17">
        <v>34</v>
      </c>
    </row>
    <row r="93" spans="1:28" s="16" customFormat="1" x14ac:dyDescent="0.2">
      <c r="A93" s="15" t="s">
        <v>243</v>
      </c>
      <c r="B93" s="18">
        <f>AVERAGE(B2:B4)</f>
        <v>1406.8133333333335</v>
      </c>
      <c r="C93" s="18">
        <f t="shared" ref="C93:J93" si="62">AVERAGE(C2:C4)</f>
        <v>1090.6666666666667</v>
      </c>
      <c r="D93" s="18">
        <f t="shared" si="62"/>
        <v>1190</v>
      </c>
      <c r="E93" s="18">
        <f t="shared" si="62"/>
        <v>1150.6666666666667</v>
      </c>
      <c r="F93" s="18">
        <f t="shared" si="62"/>
        <v>1115</v>
      </c>
      <c r="G93" s="18">
        <f t="shared" si="62"/>
        <v>1097</v>
      </c>
      <c r="H93" s="18">
        <f t="shared" si="62"/>
        <v>1220.3333333333333</v>
      </c>
      <c r="I93" s="18">
        <f t="shared" si="62"/>
        <v>1000</v>
      </c>
      <c r="J93" s="18">
        <f t="shared" si="62"/>
        <v>979.66666666666663</v>
      </c>
      <c r="K93" s="18"/>
      <c r="L93" s="18"/>
      <c r="M93" s="18"/>
      <c r="N93" s="18"/>
      <c r="O93" s="18"/>
      <c r="P93" s="18"/>
      <c r="Q93" s="18"/>
      <c r="R93" s="18"/>
      <c r="S93" s="18"/>
    </row>
    <row r="94" spans="1:28" s="16" customFormat="1" x14ac:dyDescent="0.2">
      <c r="A94" s="15" t="s">
        <v>244</v>
      </c>
      <c r="B94" s="18">
        <f>AVERAGE(B5:B7)</f>
        <v>1406.8133333333335</v>
      </c>
      <c r="C94" s="18">
        <f t="shared" ref="C94:J94" si="63">AVERAGE(C5:C7)</f>
        <v>1327.6666666666667</v>
      </c>
      <c r="D94" s="18">
        <f t="shared" si="63"/>
        <v>1315</v>
      </c>
      <c r="E94" s="18">
        <f t="shared" si="63"/>
        <v>990.66666666666663</v>
      </c>
      <c r="F94" s="18">
        <f t="shared" si="63"/>
        <v>1024.3333333333333</v>
      </c>
      <c r="G94" s="18">
        <f t="shared" si="63"/>
        <v>898.33333333333337</v>
      </c>
      <c r="H94" s="18">
        <f t="shared" si="63"/>
        <v>1074.6666666666667</v>
      </c>
      <c r="I94" s="18">
        <f t="shared" si="63"/>
        <v>942.33333333333337</v>
      </c>
      <c r="J94" s="18">
        <f t="shared" si="63"/>
        <v>995</v>
      </c>
      <c r="K94" s="18"/>
      <c r="L94" s="18"/>
      <c r="M94" s="18"/>
      <c r="N94" s="18"/>
      <c r="O94" s="18"/>
      <c r="P94" s="18"/>
      <c r="Q94" s="18"/>
      <c r="R94" s="18"/>
      <c r="S94" s="18"/>
    </row>
    <row r="95" spans="1:28" s="16" customFormat="1" x14ac:dyDescent="0.2">
      <c r="A95" s="15" t="s">
        <v>254</v>
      </c>
      <c r="B95" s="18">
        <f>AVERAGE(B8:B10)</f>
        <v>1406.8133333333335</v>
      </c>
      <c r="C95" s="18">
        <f t="shared" ref="C95:I95" si="64">AVERAGE(C8:C10)</f>
        <v>1486.6666666666667</v>
      </c>
      <c r="D95" s="18">
        <f t="shared" si="64"/>
        <v>1208.3333333333333</v>
      </c>
      <c r="E95" s="18">
        <f t="shared" si="64"/>
        <v>1086.3333333333333</v>
      </c>
      <c r="F95" s="18">
        <f t="shared" si="64"/>
        <v>1044.3333333333333</v>
      </c>
      <c r="G95" s="18">
        <f t="shared" si="64"/>
        <v>1083</v>
      </c>
      <c r="H95" s="18">
        <f t="shared" si="64"/>
        <v>904</v>
      </c>
      <c r="I95" s="18">
        <f t="shared" si="64"/>
        <v>912.66666666666663</v>
      </c>
      <c r="J95" s="18">
        <f>AVERAGE(J8:J10)</f>
        <v>880</v>
      </c>
      <c r="K95" s="18"/>
      <c r="L95" s="18"/>
      <c r="M95" s="18"/>
      <c r="N95" s="18"/>
      <c r="O95" s="18"/>
      <c r="P95" s="18"/>
      <c r="Q95" s="18"/>
      <c r="R95" s="18"/>
      <c r="S95" s="18"/>
    </row>
    <row r="96" spans="1:28" s="16" customFormat="1" x14ac:dyDescent="0.2">
      <c r="A96" s="15" t="s">
        <v>253</v>
      </c>
      <c r="B96" s="18">
        <f>AVERAGE(B11:B13)</f>
        <v>1406.8133333333335</v>
      </c>
      <c r="C96" s="18">
        <f t="shared" ref="C96:O96" si="65">AVERAGE(C11:C13)</f>
        <v>1200.6666666666667</v>
      </c>
      <c r="D96" s="18">
        <f t="shared" si="65"/>
        <v>1111.6666666666667</v>
      </c>
      <c r="E96" s="18">
        <f t="shared" si="65"/>
        <v>1227</v>
      </c>
      <c r="F96" s="18">
        <f t="shared" si="65"/>
        <v>1629</v>
      </c>
      <c r="G96" s="18">
        <f t="shared" si="65"/>
        <v>2974.6666666666665</v>
      </c>
      <c r="H96" s="18">
        <f t="shared" si="65"/>
        <v>7259.333333333333</v>
      </c>
      <c r="I96" s="18">
        <f t="shared" si="65"/>
        <v>15651.333333333334</v>
      </c>
      <c r="J96" s="18">
        <f t="shared" si="65"/>
        <v>37833.666666666664</v>
      </c>
      <c r="K96" s="18">
        <f t="shared" si="65"/>
        <v>83900</v>
      </c>
      <c r="L96" s="18">
        <f t="shared" si="65"/>
        <v>212986.66666666666</v>
      </c>
      <c r="M96" s="18">
        <f t="shared" si="65"/>
        <v>372080</v>
      </c>
      <c r="N96" s="18">
        <f t="shared" si="65"/>
        <v>480746.66666666669</v>
      </c>
      <c r="O96" s="18">
        <f t="shared" si="65"/>
        <v>525686.66666666663</v>
      </c>
      <c r="P96" s="18"/>
      <c r="Q96" s="18"/>
      <c r="R96" s="18"/>
      <c r="S96" s="18"/>
    </row>
    <row r="97" spans="1:19" s="16" customFormat="1" x14ac:dyDescent="0.2">
      <c r="A97" s="15" t="s">
        <v>252</v>
      </c>
      <c r="B97" s="18">
        <f>AVERAGE(B14:B16)</f>
        <v>1406.8133333333335</v>
      </c>
      <c r="C97" s="18">
        <f t="shared" ref="C97:O97" si="66">AVERAGE(C14:C16)</f>
        <v>1101</v>
      </c>
      <c r="D97" s="18">
        <f t="shared" si="66"/>
        <v>1041.6666666666667</v>
      </c>
      <c r="E97" s="18">
        <f t="shared" si="66"/>
        <v>1259.6666666666667</v>
      </c>
      <c r="F97" s="18">
        <f t="shared" si="66"/>
        <v>2065.3333333333335</v>
      </c>
      <c r="G97" s="18">
        <f t="shared" si="66"/>
        <v>3898</v>
      </c>
      <c r="H97" s="18">
        <f t="shared" si="66"/>
        <v>10969.666666666666</v>
      </c>
      <c r="I97" s="18">
        <f t="shared" si="66"/>
        <v>28933.666666666668</v>
      </c>
      <c r="J97" s="18">
        <f t="shared" si="66"/>
        <v>66068.666666666672</v>
      </c>
      <c r="K97" s="18">
        <f t="shared" si="66"/>
        <v>171573.33333333334</v>
      </c>
      <c r="L97" s="18">
        <f t="shared" si="66"/>
        <v>358646.66666666669</v>
      </c>
      <c r="M97" s="18">
        <f t="shared" si="66"/>
        <v>598006.66666666663</v>
      </c>
      <c r="N97" s="18">
        <f t="shared" si="66"/>
        <v>681813.33333333337</v>
      </c>
      <c r="O97" s="18">
        <f t="shared" si="66"/>
        <v>672766.66666666663</v>
      </c>
      <c r="P97" s="18"/>
      <c r="Q97" s="18"/>
      <c r="R97" s="18"/>
      <c r="S97" s="18"/>
    </row>
    <row r="98" spans="1:19" s="16" customFormat="1" x14ac:dyDescent="0.2">
      <c r="A98" s="15" t="s">
        <v>251</v>
      </c>
      <c r="B98" s="18">
        <f>AVERAGE(B17:B19)</f>
        <v>1406.8133333333335</v>
      </c>
      <c r="C98" s="18">
        <f t="shared" ref="C98:O98" si="67">AVERAGE(C17:C19)</f>
        <v>1265.6666666666667</v>
      </c>
      <c r="D98" s="18">
        <f t="shared" si="67"/>
        <v>1342.6666666666667</v>
      </c>
      <c r="E98" s="18">
        <f t="shared" si="67"/>
        <v>1240.3333333333333</v>
      </c>
      <c r="F98" s="18">
        <f t="shared" si="67"/>
        <v>1918.3333333333333</v>
      </c>
      <c r="G98" s="18">
        <f t="shared" si="67"/>
        <v>2872</v>
      </c>
      <c r="H98" s="18">
        <f t="shared" si="67"/>
        <v>7680.666666666667</v>
      </c>
      <c r="I98" s="18">
        <f t="shared" si="67"/>
        <v>19126.333333333332</v>
      </c>
      <c r="J98" s="18">
        <f t="shared" si="67"/>
        <v>47577.666666666664</v>
      </c>
      <c r="K98" s="18">
        <f t="shared" si="67"/>
        <v>125173.33333333333</v>
      </c>
      <c r="L98" s="18">
        <f t="shared" si="67"/>
        <v>270486.66666666669</v>
      </c>
      <c r="M98" s="18">
        <f t="shared" si="67"/>
        <v>484340</v>
      </c>
      <c r="N98" s="18">
        <f t="shared" si="67"/>
        <v>635240</v>
      </c>
      <c r="O98" s="18">
        <f t="shared" si="67"/>
        <v>676113.33333333337</v>
      </c>
      <c r="P98" s="18"/>
      <c r="Q98" s="18"/>
      <c r="R98" s="18"/>
      <c r="S98" s="18"/>
    </row>
    <row r="99" spans="1:19" s="16" customFormat="1" x14ac:dyDescent="0.2">
      <c r="A99" s="15" t="s">
        <v>250</v>
      </c>
      <c r="B99" s="18">
        <f>AVERAGE(B20:B22)</f>
        <v>1408</v>
      </c>
      <c r="C99" s="18">
        <f t="shared" ref="C99:S99" si="68">AVERAGE(C20:C22)</f>
        <v>1402.3333333333333</v>
      </c>
      <c r="D99" s="18">
        <f t="shared" si="68"/>
        <v>1134.6666666666667</v>
      </c>
      <c r="E99" s="18">
        <f t="shared" si="68"/>
        <v>1414.6666666666667</v>
      </c>
      <c r="F99" s="18">
        <f t="shared" si="68"/>
        <v>2504</v>
      </c>
      <c r="G99" s="18">
        <f t="shared" si="68"/>
        <v>3475.3333333333335</v>
      </c>
      <c r="H99" s="18">
        <f t="shared" si="68"/>
        <v>6051</v>
      </c>
      <c r="I99" s="18">
        <f t="shared" si="68"/>
        <v>9498.6666666666661</v>
      </c>
      <c r="J99" s="18">
        <f t="shared" si="68"/>
        <v>13742.666666666666</v>
      </c>
      <c r="K99" s="18">
        <f t="shared" si="68"/>
        <v>21005</v>
      </c>
      <c r="L99" s="18">
        <f t="shared" si="68"/>
        <v>31970</v>
      </c>
      <c r="M99" s="18">
        <f t="shared" si="68"/>
        <v>46566.666666666664</v>
      </c>
      <c r="N99" s="18">
        <f t="shared" si="68"/>
        <v>74100</v>
      </c>
      <c r="O99" s="18">
        <f t="shared" si="68"/>
        <v>99646.666666666672</v>
      </c>
      <c r="P99" s="18">
        <f>AVERAGE(P20:P22)</f>
        <v>163653.33333333334</v>
      </c>
      <c r="Q99" s="18">
        <f t="shared" si="68"/>
        <v>184013.33333333334</v>
      </c>
      <c r="R99" s="18">
        <f t="shared" si="68"/>
        <v>196380</v>
      </c>
      <c r="S99" s="18">
        <f t="shared" si="68"/>
        <v>160260</v>
      </c>
    </row>
    <row r="100" spans="1:19" s="16" customFormat="1" x14ac:dyDescent="0.2">
      <c r="A100" s="15" t="s">
        <v>249</v>
      </c>
      <c r="B100" s="18">
        <f>AVERAGE(B23:B25)</f>
        <v>1408</v>
      </c>
      <c r="C100" s="18">
        <f t="shared" ref="C100:S100" si="69">AVERAGE(C23:C25)</f>
        <v>1075.3333333333333</v>
      </c>
      <c r="D100" s="18">
        <f t="shared" si="69"/>
        <v>1129.6666666666667</v>
      </c>
      <c r="E100" s="18">
        <f t="shared" si="69"/>
        <v>1346.3333333333333</v>
      </c>
      <c r="F100" s="18">
        <f t="shared" si="69"/>
        <v>2861</v>
      </c>
      <c r="G100" s="18">
        <f t="shared" si="69"/>
        <v>5131.666666666667</v>
      </c>
      <c r="H100" s="18">
        <f t="shared" si="69"/>
        <v>12034</v>
      </c>
      <c r="I100" s="18">
        <f t="shared" si="69"/>
        <v>15446.333333333334</v>
      </c>
      <c r="J100" s="18">
        <f t="shared" si="69"/>
        <v>23680.666666666668</v>
      </c>
      <c r="K100" s="18">
        <f t="shared" si="69"/>
        <v>38351.666666666664</v>
      </c>
      <c r="L100" s="18">
        <f t="shared" si="69"/>
        <v>60917.666666666664</v>
      </c>
      <c r="M100" s="18">
        <f t="shared" si="69"/>
        <v>99240</v>
      </c>
      <c r="N100" s="18">
        <f t="shared" si="69"/>
        <v>184320</v>
      </c>
      <c r="O100" s="18">
        <f t="shared" si="69"/>
        <v>225753.33333333334</v>
      </c>
      <c r="P100" s="18">
        <f t="shared" si="69"/>
        <v>307460</v>
      </c>
      <c r="Q100" s="18">
        <f t="shared" si="69"/>
        <v>271486.66666666669</v>
      </c>
      <c r="R100" s="18">
        <f t="shared" si="69"/>
        <v>260033.33333333334</v>
      </c>
      <c r="S100" s="18">
        <f t="shared" si="69"/>
        <v>218200</v>
      </c>
    </row>
    <row r="101" spans="1:19" s="16" customFormat="1" x14ac:dyDescent="0.2">
      <c r="A101" s="15" t="s">
        <v>248</v>
      </c>
      <c r="B101" s="18">
        <f>AVERAGE(B26:B28)</f>
        <v>1408</v>
      </c>
      <c r="C101" s="18">
        <f t="shared" ref="C101:R101" si="70">AVERAGE(C26:C28)</f>
        <v>1126.5</v>
      </c>
      <c r="D101" s="18">
        <f t="shared" si="70"/>
        <v>806.66666666666663</v>
      </c>
      <c r="E101" s="18">
        <f t="shared" si="70"/>
        <v>1236.3333333333333</v>
      </c>
      <c r="F101" s="18">
        <f t="shared" si="70"/>
        <v>2205</v>
      </c>
      <c r="G101" s="18">
        <f t="shared" si="70"/>
        <v>3261.3333333333335</v>
      </c>
      <c r="H101" s="18">
        <f t="shared" si="70"/>
        <v>6183.666666666667</v>
      </c>
      <c r="I101" s="18">
        <f t="shared" si="70"/>
        <v>8512.3333333333339</v>
      </c>
      <c r="J101" s="18">
        <f t="shared" si="70"/>
        <v>12317.333333333334</v>
      </c>
      <c r="K101" s="18">
        <f t="shared" si="70"/>
        <v>18616.333333333332</v>
      </c>
      <c r="L101" s="18">
        <f t="shared" si="70"/>
        <v>29716.333333333332</v>
      </c>
      <c r="M101" s="18">
        <f t="shared" si="70"/>
        <v>43140</v>
      </c>
      <c r="N101" s="18">
        <f t="shared" si="70"/>
        <v>66946.666666666672</v>
      </c>
      <c r="O101" s="18">
        <f t="shared" si="70"/>
        <v>97693.333333333328</v>
      </c>
      <c r="P101" s="18">
        <f t="shared" si="70"/>
        <v>169833.33333333334</v>
      </c>
      <c r="Q101" s="18">
        <f t="shared" si="70"/>
        <v>254466.66666666666</v>
      </c>
      <c r="R101" s="18">
        <f t="shared" si="70"/>
        <v>281966.66666666669</v>
      </c>
      <c r="S101" s="18">
        <f>AVERAGE(S26:S28)</f>
        <v>260780</v>
      </c>
    </row>
    <row r="102" spans="1:19" s="16" customFormat="1" x14ac:dyDescent="0.2">
      <c r="A102" s="15" t="s">
        <v>247</v>
      </c>
      <c r="B102" s="18">
        <f>AVERAGE(B29:B31)</f>
        <v>1188.0666666666666</v>
      </c>
      <c r="C102" s="18">
        <f t="shared" ref="C102:L102" si="71">AVERAGE(C29:C31)</f>
        <v>1992.6666666666667</v>
      </c>
      <c r="D102" s="18">
        <f t="shared" si="71"/>
        <v>3472</v>
      </c>
      <c r="E102" s="18">
        <f t="shared" si="71"/>
        <v>17923</v>
      </c>
      <c r="F102" s="18">
        <f t="shared" si="71"/>
        <v>41430.666666666664</v>
      </c>
      <c r="G102" s="18">
        <f t="shared" si="71"/>
        <v>106326.66666666667</v>
      </c>
      <c r="H102" s="18">
        <f t="shared" si="71"/>
        <v>328740</v>
      </c>
      <c r="I102" s="18">
        <f t="shared" si="71"/>
        <v>653393.33333333337</v>
      </c>
      <c r="J102" s="18">
        <f t="shared" si="71"/>
        <v>1018313.3333333334</v>
      </c>
      <c r="K102" s="18">
        <f t="shared" si="71"/>
        <v>1209906.6666666667</v>
      </c>
      <c r="L102" s="18">
        <f t="shared" si="71"/>
        <v>1167586.6666666667</v>
      </c>
      <c r="M102" s="18">
        <f>AVERAGE(M29:M31)</f>
        <v>885180</v>
      </c>
      <c r="N102" s="18"/>
      <c r="O102" s="18"/>
      <c r="P102" s="18"/>
      <c r="Q102" s="18"/>
      <c r="R102" s="18"/>
      <c r="S102" s="18"/>
    </row>
    <row r="103" spans="1:19" s="16" customFormat="1" x14ac:dyDescent="0.2">
      <c r="A103" s="15" t="s">
        <v>246</v>
      </c>
      <c r="B103" s="18">
        <f>AVERAGE(B32:B34)</f>
        <v>1188.0666666666666</v>
      </c>
      <c r="C103" s="18">
        <f t="shared" ref="C103:M103" si="72">AVERAGE(C32:C34)</f>
        <v>2097.6666666666665</v>
      </c>
      <c r="D103" s="18">
        <f t="shared" si="72"/>
        <v>3446.3333333333335</v>
      </c>
      <c r="E103" s="18">
        <f t="shared" si="72"/>
        <v>17338.666666666668</v>
      </c>
      <c r="F103" s="18">
        <f t="shared" si="72"/>
        <v>40972.333333333336</v>
      </c>
      <c r="G103" s="18">
        <f t="shared" si="72"/>
        <v>103860</v>
      </c>
      <c r="H103" s="18">
        <f t="shared" si="72"/>
        <v>320593.33333333331</v>
      </c>
      <c r="I103" s="18">
        <f t="shared" si="72"/>
        <v>569666.66666666663</v>
      </c>
      <c r="J103" s="18">
        <f t="shared" si="72"/>
        <v>881766.66666666663</v>
      </c>
      <c r="K103" s="18">
        <f t="shared" si="72"/>
        <v>1066033.3333333333</v>
      </c>
      <c r="L103" s="18">
        <f t="shared" si="72"/>
        <v>1020653.3333333334</v>
      </c>
      <c r="M103" s="18">
        <f t="shared" si="72"/>
        <v>704713.33333333337</v>
      </c>
      <c r="N103" s="18"/>
      <c r="O103" s="18"/>
      <c r="P103" s="18"/>
      <c r="Q103" s="18"/>
      <c r="R103" s="18"/>
      <c r="S103" s="18"/>
    </row>
    <row r="104" spans="1:19" s="16" customFormat="1" x14ac:dyDescent="0.2">
      <c r="A104" s="15" t="s">
        <v>245</v>
      </c>
      <c r="B104" s="18">
        <f>AVERAGE(B35:B37)</f>
        <v>1188.0666666666666</v>
      </c>
      <c r="C104" s="18">
        <f t="shared" ref="C104:M104" si="73">AVERAGE(C35:C37)</f>
        <v>2066.6666666666665</v>
      </c>
      <c r="D104" s="18">
        <f t="shared" si="73"/>
        <v>4070.3333333333335</v>
      </c>
      <c r="E104" s="18">
        <f t="shared" si="73"/>
        <v>19339.333333333332</v>
      </c>
      <c r="F104" s="18">
        <f t="shared" si="73"/>
        <v>45637.666666666664</v>
      </c>
      <c r="G104" s="18">
        <f t="shared" si="73"/>
        <v>89780</v>
      </c>
      <c r="H104" s="18">
        <f t="shared" si="73"/>
        <v>330913.33333333331</v>
      </c>
      <c r="I104" s="18">
        <f t="shared" si="73"/>
        <v>626246.66666666663</v>
      </c>
      <c r="J104" s="18">
        <f t="shared" si="73"/>
        <v>965860</v>
      </c>
      <c r="K104" s="18">
        <f t="shared" si="73"/>
        <v>1182333.3333333333</v>
      </c>
      <c r="L104" s="18">
        <f t="shared" si="73"/>
        <v>1106693.3333333333</v>
      </c>
      <c r="M104" s="18">
        <f t="shared" si="73"/>
        <v>858886.66666666663</v>
      </c>
      <c r="N104" s="18"/>
      <c r="O104" s="18"/>
      <c r="P104" s="18"/>
      <c r="Q104" s="18"/>
      <c r="R104" s="18"/>
      <c r="S104" s="18"/>
    </row>
    <row r="105" spans="1:19" s="16" customFormat="1" x14ac:dyDescent="0.2">
      <c r="A105" s="15"/>
      <c r="F105" s="19"/>
    </row>
    <row r="106" spans="1:19" s="16" customFormat="1" x14ac:dyDescent="0.2">
      <c r="A106" s="15"/>
      <c r="B106" s="16">
        <v>0</v>
      </c>
      <c r="C106" s="16">
        <v>2</v>
      </c>
      <c r="D106" s="16">
        <v>4</v>
      </c>
      <c r="E106" s="17">
        <v>6</v>
      </c>
      <c r="F106" s="17">
        <v>8</v>
      </c>
      <c r="G106" s="17">
        <v>10</v>
      </c>
      <c r="H106" s="17">
        <v>12</v>
      </c>
      <c r="I106" s="17">
        <v>14</v>
      </c>
      <c r="J106" s="17">
        <v>16</v>
      </c>
      <c r="K106" s="17">
        <v>18</v>
      </c>
      <c r="L106" s="17">
        <v>20</v>
      </c>
      <c r="M106" s="17">
        <v>22</v>
      </c>
      <c r="N106" s="17">
        <v>24</v>
      </c>
      <c r="O106" s="17">
        <v>26</v>
      </c>
      <c r="P106" s="17">
        <v>28</v>
      </c>
      <c r="Q106" s="17">
        <v>30</v>
      </c>
      <c r="R106" s="17">
        <v>32</v>
      </c>
      <c r="S106" s="17">
        <v>34</v>
      </c>
    </row>
    <row r="107" spans="1:19" s="16" customFormat="1" x14ac:dyDescent="0.2">
      <c r="A107" s="15" t="s">
        <v>282</v>
      </c>
      <c r="B107" s="18">
        <f>AVERAGE(B93:B95)</f>
        <v>1406.8133333333335</v>
      </c>
      <c r="C107" s="18">
        <f t="shared" ref="C107:I107" si="74">AVERAGE(C93:C95)</f>
        <v>1301.6666666666667</v>
      </c>
      <c r="D107" s="18">
        <f t="shared" si="74"/>
        <v>1237.7777777777776</v>
      </c>
      <c r="E107" s="18">
        <f t="shared" si="74"/>
        <v>1075.8888888888889</v>
      </c>
      <c r="F107" s="18">
        <f t="shared" si="74"/>
        <v>1061.2222222222219</v>
      </c>
      <c r="G107" s="18">
        <f t="shared" si="74"/>
        <v>1026.1111111111111</v>
      </c>
      <c r="H107" s="18">
        <f t="shared" si="74"/>
        <v>1066.3333333333333</v>
      </c>
      <c r="I107" s="18">
        <f t="shared" si="74"/>
        <v>951.66666666666663</v>
      </c>
      <c r="J107" s="18">
        <f>AVERAGE(J93:J95)</f>
        <v>951.55555555555554</v>
      </c>
      <c r="K107" s="18"/>
      <c r="L107" s="18"/>
      <c r="M107" s="18"/>
      <c r="N107" s="18"/>
      <c r="O107" s="18"/>
      <c r="P107" s="18"/>
      <c r="Q107" s="18"/>
      <c r="R107" s="18"/>
      <c r="S107" s="18"/>
    </row>
    <row r="108" spans="1:19" s="16" customFormat="1" x14ac:dyDescent="0.2">
      <c r="A108" s="15" t="s">
        <v>270</v>
      </c>
      <c r="B108" s="18">
        <f>STDEV(B93:B95)</f>
        <v>0</v>
      </c>
      <c r="C108" s="18">
        <f t="shared" ref="C108:J108" si="75">STDEV(C93:C95)</f>
        <v>199.27619024861065</v>
      </c>
      <c r="D108" s="18">
        <f t="shared" si="75"/>
        <v>67.501714655862514</v>
      </c>
      <c r="E108" s="18">
        <f t="shared" si="75"/>
        <v>80.509718760003267</v>
      </c>
      <c r="F108" s="18">
        <f t="shared" si="75"/>
        <v>47.634410220312809</v>
      </c>
      <c r="G108" s="18">
        <f t="shared" si="75"/>
        <v>110.87998182886922</v>
      </c>
      <c r="H108" s="18">
        <f t="shared" si="75"/>
        <v>158.33122805617896</v>
      </c>
      <c r="I108" s="18">
        <f t="shared" si="75"/>
        <v>44.408457652919139</v>
      </c>
      <c r="J108" s="18">
        <f t="shared" si="75"/>
        <v>62.441379916894256</v>
      </c>
      <c r="K108" s="18"/>
      <c r="L108" s="18"/>
      <c r="M108" s="18"/>
      <c r="N108" s="18"/>
      <c r="O108" s="18"/>
      <c r="P108" s="18"/>
      <c r="Q108" s="18"/>
      <c r="R108" s="18"/>
      <c r="S108" s="18"/>
    </row>
    <row r="109" spans="1:19" s="16" customFormat="1" x14ac:dyDescent="0.2">
      <c r="A109" s="15" t="s">
        <v>283</v>
      </c>
      <c r="B109" s="18">
        <f>AVERAGE(B99:B101)</f>
        <v>1408</v>
      </c>
      <c r="C109" s="18">
        <f t="shared" ref="C109:R109" si="76">AVERAGE(C99:C101)</f>
        <v>1201.3888888888889</v>
      </c>
      <c r="D109" s="18">
        <f t="shared" si="76"/>
        <v>1023.6666666666666</v>
      </c>
      <c r="E109" s="18">
        <f t="shared" si="76"/>
        <v>1332.4444444444443</v>
      </c>
      <c r="F109" s="18">
        <f t="shared" si="76"/>
        <v>2523.3333333333335</v>
      </c>
      <c r="G109" s="18">
        <f t="shared" si="76"/>
        <v>3956.1111111111113</v>
      </c>
      <c r="H109" s="18">
        <f t="shared" si="76"/>
        <v>8089.5555555555557</v>
      </c>
      <c r="I109" s="18">
        <f t="shared" si="76"/>
        <v>11152.444444444445</v>
      </c>
      <c r="J109" s="18">
        <f t="shared" si="76"/>
        <v>16580.222222222223</v>
      </c>
      <c r="K109" s="18">
        <f t="shared" si="76"/>
        <v>25991</v>
      </c>
      <c r="L109" s="18">
        <f t="shared" si="76"/>
        <v>40867.999999999993</v>
      </c>
      <c r="M109" s="18">
        <f t="shared" si="76"/>
        <v>62982.222222222219</v>
      </c>
      <c r="N109" s="18">
        <f t="shared" si="76"/>
        <v>108455.55555555556</v>
      </c>
      <c r="O109" s="18">
        <f t="shared" si="76"/>
        <v>141031.11111111109</v>
      </c>
      <c r="P109" s="18">
        <f t="shared" si="76"/>
        <v>213648.88888888891</v>
      </c>
      <c r="Q109" s="18">
        <f t="shared" si="76"/>
        <v>236655.55555555553</v>
      </c>
      <c r="R109" s="18">
        <f t="shared" si="76"/>
        <v>246126.66666666666</v>
      </c>
      <c r="S109" s="18">
        <f>AVERAGE(S99:S101)</f>
        <v>213080</v>
      </c>
    </row>
    <row r="110" spans="1:19" s="16" customFormat="1" x14ac:dyDescent="0.2">
      <c r="A110" s="15" t="s">
        <v>270</v>
      </c>
      <c r="B110" s="18">
        <f>STDEV(B99:B101)</f>
        <v>0</v>
      </c>
      <c r="C110" s="18">
        <f t="shared" ref="C110:R110" si="77">STDEV(C99:C101)</f>
        <v>175.89345996727488</v>
      </c>
      <c r="D110" s="18">
        <f t="shared" si="77"/>
        <v>187.94414063758475</v>
      </c>
      <c r="E110" s="18">
        <f t="shared" si="77"/>
        <v>89.974276159191092</v>
      </c>
      <c r="F110" s="18">
        <f t="shared" si="77"/>
        <v>328.42705938051751</v>
      </c>
      <c r="G110" s="18">
        <f t="shared" si="77"/>
        <v>1023.6684757030205</v>
      </c>
      <c r="H110" s="18">
        <f t="shared" si="77"/>
        <v>3416.6330784256884</v>
      </c>
      <c r="I110" s="18">
        <f t="shared" si="77"/>
        <v>3751.1764426248601</v>
      </c>
      <c r="J110" s="18">
        <f t="shared" si="77"/>
        <v>6190.3252951084169</v>
      </c>
      <c r="K110" s="18">
        <f t="shared" si="77"/>
        <v>10771.072019276653</v>
      </c>
      <c r="L110" s="18">
        <f t="shared" si="77"/>
        <v>17400.046075928785</v>
      </c>
      <c r="M110" s="18">
        <f t="shared" si="77"/>
        <v>31446.865474131893</v>
      </c>
      <c r="N110" s="18">
        <f t="shared" si="77"/>
        <v>65797.819056505134</v>
      </c>
      <c r="O110" s="18">
        <f t="shared" si="77"/>
        <v>73378.096742021648</v>
      </c>
      <c r="P110" s="18">
        <f t="shared" si="77"/>
        <v>81301.546885197153</v>
      </c>
      <c r="Q110" s="18">
        <f t="shared" si="77"/>
        <v>46376.963789907502</v>
      </c>
      <c r="R110" s="18">
        <f t="shared" si="77"/>
        <v>44455.774777987106</v>
      </c>
      <c r="S110" s="18">
        <f>STDEV(S99:S101)</f>
        <v>50455.211821971374</v>
      </c>
    </row>
    <row r="111" spans="1:19" s="16" customFormat="1" x14ac:dyDescent="0.2">
      <c r="A111" s="15" t="s">
        <v>284</v>
      </c>
      <c r="B111" s="18">
        <f>AVERAGE(B96:B98)</f>
        <v>1406.8133333333335</v>
      </c>
      <c r="C111" s="18">
        <f t="shared" ref="C111:N111" si="78">AVERAGE(C96:C98)</f>
        <v>1189.1111111111113</v>
      </c>
      <c r="D111" s="18">
        <f t="shared" si="78"/>
        <v>1165.3333333333333</v>
      </c>
      <c r="E111" s="18">
        <f t="shared" si="78"/>
        <v>1242.3333333333333</v>
      </c>
      <c r="F111" s="18">
        <f t="shared" si="78"/>
        <v>1870.8888888888889</v>
      </c>
      <c r="G111" s="18">
        <f t="shared" si="78"/>
        <v>3248.2222222222222</v>
      </c>
      <c r="H111" s="18">
        <f t="shared" si="78"/>
        <v>8636.5555555555566</v>
      </c>
      <c r="I111" s="18">
        <f t="shared" si="78"/>
        <v>21237.111111111109</v>
      </c>
      <c r="J111" s="18">
        <f t="shared" si="78"/>
        <v>50493.333333333336</v>
      </c>
      <c r="K111" s="18">
        <f t="shared" si="78"/>
        <v>126882.22222222223</v>
      </c>
      <c r="L111" s="18">
        <f t="shared" si="78"/>
        <v>280706.66666666669</v>
      </c>
      <c r="M111" s="18">
        <f t="shared" si="78"/>
        <v>484808.88888888882</v>
      </c>
      <c r="N111" s="18">
        <f t="shared" si="78"/>
        <v>599266.66666666663</v>
      </c>
      <c r="O111" s="18">
        <f>AVERAGE(O96:O98)</f>
        <v>624855.5555555555</v>
      </c>
      <c r="P111" s="18"/>
      <c r="Q111" s="18"/>
      <c r="R111" s="18"/>
      <c r="S111" s="18"/>
    </row>
    <row r="112" spans="1:19" s="16" customFormat="1" x14ac:dyDescent="0.2">
      <c r="A112" s="15" t="s">
        <v>270</v>
      </c>
      <c r="B112" s="18">
        <f>STDEV(B96:B98)</f>
        <v>0</v>
      </c>
      <c r="C112" s="18">
        <f t="shared" ref="C112:N112" si="79">STDEV(C96:C98)</f>
        <v>82.939290604187903</v>
      </c>
      <c r="D112" s="18">
        <f t="shared" si="79"/>
        <v>157.51296242955209</v>
      </c>
      <c r="E112" s="18">
        <f t="shared" si="79"/>
        <v>16.424913326339937</v>
      </c>
      <c r="F112" s="18">
        <f t="shared" si="79"/>
        <v>222.00208540895724</v>
      </c>
      <c r="G112" s="18">
        <f t="shared" si="79"/>
        <v>565.0605998311006</v>
      </c>
      <c r="H112" s="18">
        <f t="shared" si="79"/>
        <v>2031.4861646186591</v>
      </c>
      <c r="I112" s="18">
        <f t="shared" si="79"/>
        <v>6888.1515528343889</v>
      </c>
      <c r="J112" s="18">
        <f t="shared" si="79"/>
        <v>14341.535494267464</v>
      </c>
      <c r="K112" s="18">
        <f t="shared" si="79"/>
        <v>43861.641218385441</v>
      </c>
      <c r="L112" s="18">
        <f t="shared" si="79"/>
        <v>73365.831284052212</v>
      </c>
      <c r="M112" s="18">
        <f t="shared" si="79"/>
        <v>112964.06318104189</v>
      </c>
      <c r="N112" s="18">
        <f t="shared" si="79"/>
        <v>105249.75840563435</v>
      </c>
      <c r="O112" s="18">
        <f>STDEV(O96:O98)</f>
        <v>85899.077044151694</v>
      </c>
      <c r="P112" s="18"/>
      <c r="Q112" s="18"/>
      <c r="R112" s="18"/>
      <c r="S112" s="18"/>
    </row>
    <row r="113" spans="1:19" s="16" customFormat="1" x14ac:dyDescent="0.2">
      <c r="A113" s="15" t="s">
        <v>285</v>
      </c>
      <c r="B113" s="18">
        <f>AVERAGE(B102:B104)</f>
        <v>1188.0666666666666</v>
      </c>
      <c r="C113" s="18">
        <f t="shared" ref="C113:L113" si="80">AVERAGE(C102:C104)</f>
        <v>2052.3333333333335</v>
      </c>
      <c r="D113" s="18">
        <f t="shared" si="80"/>
        <v>3662.8888888888891</v>
      </c>
      <c r="E113" s="18">
        <f t="shared" si="80"/>
        <v>18200.333333333332</v>
      </c>
      <c r="F113" s="18">
        <f t="shared" si="80"/>
        <v>42680.222222222219</v>
      </c>
      <c r="G113" s="18">
        <f t="shared" si="80"/>
        <v>99988.888888888891</v>
      </c>
      <c r="H113" s="18">
        <f t="shared" si="80"/>
        <v>326748.88888888882</v>
      </c>
      <c r="I113" s="18">
        <f t="shared" si="80"/>
        <v>616435.5555555555</v>
      </c>
      <c r="J113" s="18">
        <f t="shared" si="80"/>
        <v>955313.33333333337</v>
      </c>
      <c r="K113" s="18">
        <f t="shared" si="80"/>
        <v>1152757.7777777778</v>
      </c>
      <c r="L113" s="18">
        <f t="shared" si="80"/>
        <v>1098311.111111111</v>
      </c>
      <c r="M113" s="18">
        <f>AVERAGE(M102:M104)</f>
        <v>816260</v>
      </c>
      <c r="N113" s="18"/>
      <c r="O113" s="18"/>
      <c r="P113" s="18"/>
      <c r="Q113" s="18"/>
      <c r="R113" s="18"/>
      <c r="S113" s="18"/>
    </row>
    <row r="114" spans="1:19" s="16" customFormat="1" x14ac:dyDescent="0.2">
      <c r="A114" s="15" t="s">
        <v>270</v>
      </c>
      <c r="B114" s="18">
        <f>STDEV(B102:B104)</f>
        <v>0</v>
      </c>
      <c r="C114" s="18">
        <f t="shared" ref="C114:L114" si="81">STDEV(C102:C104)</f>
        <v>53.947505348563801</v>
      </c>
      <c r="D114" s="18">
        <f t="shared" si="81"/>
        <v>353.09053502738635</v>
      </c>
      <c r="E114" s="18">
        <f t="shared" si="81"/>
        <v>1028.7624172330113</v>
      </c>
      <c r="F114" s="18">
        <f t="shared" si="81"/>
        <v>2571.4539841483816</v>
      </c>
      <c r="G114" s="18">
        <f t="shared" si="81"/>
        <v>8926.7670727072527</v>
      </c>
      <c r="H114" s="18">
        <f t="shared" si="81"/>
        <v>5440.4956201243867</v>
      </c>
      <c r="I114" s="18">
        <f t="shared" si="81"/>
        <v>42716.88312252787</v>
      </c>
      <c r="J114" s="18">
        <f t="shared" si="81"/>
        <v>68881.580831001425</v>
      </c>
      <c r="K114" s="18">
        <f t="shared" si="81"/>
        <v>76360.455249598497</v>
      </c>
      <c r="L114" s="18">
        <f t="shared" si="81"/>
        <v>73824.435982594208</v>
      </c>
      <c r="M114" s="18">
        <f>STDEV(M102:M104)</f>
        <v>97492.712434200803</v>
      </c>
      <c r="N114" s="18"/>
      <c r="O114" s="18"/>
      <c r="P114" s="18"/>
      <c r="Q114" s="18"/>
      <c r="R114" s="18"/>
      <c r="S114" s="18"/>
    </row>
    <row r="117" spans="1:19" x14ac:dyDescent="0.2">
      <c r="B117" s="4"/>
      <c r="C117" s="4" t="s">
        <v>282</v>
      </c>
      <c r="D117" s="4" t="s">
        <v>270</v>
      </c>
      <c r="E117" s="4" t="s">
        <v>283</v>
      </c>
      <c r="F117" s="4" t="s">
        <v>270</v>
      </c>
      <c r="G117" s="4" t="s">
        <v>284</v>
      </c>
      <c r="H117" s="4" t="s">
        <v>270</v>
      </c>
      <c r="I117" s="4" t="s">
        <v>285</v>
      </c>
      <c r="J117" s="4" t="s">
        <v>270</v>
      </c>
    </row>
    <row r="118" spans="1:19" x14ac:dyDescent="0.2">
      <c r="B118" s="6">
        <v>0</v>
      </c>
      <c r="C118" s="5">
        <v>1406.8133333333335</v>
      </c>
      <c r="D118" s="5">
        <v>0</v>
      </c>
      <c r="E118" s="5">
        <v>1408</v>
      </c>
      <c r="F118" s="5">
        <v>0</v>
      </c>
      <c r="G118" s="5">
        <v>1406.8133333333335</v>
      </c>
      <c r="H118" s="5">
        <v>0</v>
      </c>
      <c r="I118" s="5">
        <v>1188.0666666666666</v>
      </c>
      <c r="J118" s="5">
        <v>0</v>
      </c>
    </row>
    <row r="119" spans="1:19" x14ac:dyDescent="0.2">
      <c r="B119" s="6">
        <v>2</v>
      </c>
      <c r="C119" s="5">
        <v>1301.6666666666667</v>
      </c>
      <c r="D119" s="5">
        <v>199.27619024861065</v>
      </c>
      <c r="E119" s="5">
        <v>1201.3888888888889</v>
      </c>
      <c r="F119" s="5">
        <v>175.89345996727488</v>
      </c>
      <c r="G119" s="5">
        <v>1189.1111111111113</v>
      </c>
      <c r="H119" s="5">
        <v>82.939290604187903</v>
      </c>
      <c r="I119" s="5">
        <v>2052.3333333333335</v>
      </c>
      <c r="J119" s="5">
        <v>53.947505348563801</v>
      </c>
    </row>
    <row r="120" spans="1:19" x14ac:dyDescent="0.2">
      <c r="B120" s="6">
        <v>4</v>
      </c>
      <c r="C120" s="5">
        <v>1237.7777777777776</v>
      </c>
      <c r="D120" s="5">
        <v>67.501714655862514</v>
      </c>
      <c r="E120" s="5">
        <v>1023.6666666666666</v>
      </c>
      <c r="F120" s="5">
        <v>187.94414063758475</v>
      </c>
      <c r="G120" s="5">
        <v>1165.3333333333333</v>
      </c>
      <c r="H120" s="5">
        <v>157.51296242955209</v>
      </c>
      <c r="I120" s="5">
        <v>3662.8888888888891</v>
      </c>
      <c r="J120" s="5">
        <v>353.09053502738635</v>
      </c>
    </row>
    <row r="121" spans="1:19" x14ac:dyDescent="0.2">
      <c r="B121" s="6">
        <v>6</v>
      </c>
      <c r="C121" s="5">
        <v>1075.8888888888889</v>
      </c>
      <c r="D121" s="5">
        <v>80.509718760003267</v>
      </c>
      <c r="E121" s="5">
        <v>1332.4444444444443</v>
      </c>
      <c r="F121" s="5">
        <v>89.974276159191092</v>
      </c>
      <c r="G121" s="5">
        <v>1242.3333333333333</v>
      </c>
      <c r="H121" s="5">
        <v>16.424913326339937</v>
      </c>
      <c r="I121" s="5">
        <v>18200.333333333332</v>
      </c>
      <c r="J121" s="5">
        <v>1028.7624172330113</v>
      </c>
    </row>
    <row r="122" spans="1:19" x14ac:dyDescent="0.2">
      <c r="B122" s="5">
        <v>8</v>
      </c>
      <c r="C122" s="5">
        <v>1061.2222222222219</v>
      </c>
      <c r="D122" s="5">
        <v>47.634410220312809</v>
      </c>
      <c r="E122" s="5">
        <v>2523.3333333333335</v>
      </c>
      <c r="F122" s="5">
        <v>328.42705938051751</v>
      </c>
      <c r="G122" s="5">
        <v>1870.8888888888889</v>
      </c>
      <c r="H122" s="5">
        <v>222.00208540895724</v>
      </c>
      <c r="I122" s="5">
        <v>42680.222222222219</v>
      </c>
      <c r="J122" s="5">
        <v>2571.4539841483816</v>
      </c>
    </row>
    <row r="123" spans="1:19" x14ac:dyDescent="0.2">
      <c r="B123" s="6">
        <v>10</v>
      </c>
      <c r="C123" s="5">
        <v>1026.1111111111111</v>
      </c>
      <c r="D123" s="5">
        <v>110.87998182886922</v>
      </c>
      <c r="E123" s="5">
        <v>3956.1111111111113</v>
      </c>
      <c r="F123" s="5">
        <v>1023.6684757030205</v>
      </c>
      <c r="G123" s="5">
        <v>3248.2222222222222</v>
      </c>
      <c r="H123" s="5">
        <v>565.0605998311006</v>
      </c>
      <c r="I123" s="5">
        <v>99988.888888888891</v>
      </c>
      <c r="J123" s="5">
        <v>8926.7670727072527</v>
      </c>
    </row>
    <row r="124" spans="1:19" x14ac:dyDescent="0.2">
      <c r="B124" s="6">
        <v>12</v>
      </c>
      <c r="C124" s="5">
        <v>1066.3333333333333</v>
      </c>
      <c r="D124" s="5">
        <v>158.33122805617896</v>
      </c>
      <c r="E124" s="5">
        <v>8089.5555555555557</v>
      </c>
      <c r="F124" s="5">
        <v>3416.6330784256884</v>
      </c>
      <c r="G124" s="5">
        <v>8636.5555555555566</v>
      </c>
      <c r="H124" s="5">
        <v>2031.4861646186591</v>
      </c>
      <c r="I124" s="5">
        <v>326748.88888888882</v>
      </c>
      <c r="J124" s="5">
        <v>5440.4956201243867</v>
      </c>
    </row>
    <row r="125" spans="1:19" x14ac:dyDescent="0.2">
      <c r="B125" s="6">
        <v>14</v>
      </c>
      <c r="C125" s="5">
        <v>951.66666666666663</v>
      </c>
      <c r="D125" s="5">
        <v>44.408457652919139</v>
      </c>
      <c r="E125" s="5">
        <v>11152.444444444445</v>
      </c>
      <c r="F125" s="5">
        <v>3751.1764426248601</v>
      </c>
      <c r="G125" s="5">
        <v>21237.111111111109</v>
      </c>
      <c r="H125" s="5">
        <v>6888.1515528343889</v>
      </c>
      <c r="I125" s="5">
        <v>616435.5555555555</v>
      </c>
      <c r="J125" s="5">
        <v>42716.88312252787</v>
      </c>
    </row>
    <row r="126" spans="1:19" x14ac:dyDescent="0.2">
      <c r="B126" s="6">
        <v>16</v>
      </c>
      <c r="C126" s="5">
        <v>951.55555555555554</v>
      </c>
      <c r="D126" s="5">
        <v>62.441379916894256</v>
      </c>
      <c r="E126" s="5">
        <v>16580.222222222223</v>
      </c>
      <c r="F126" s="5">
        <v>6190.3252951084169</v>
      </c>
      <c r="G126" s="5">
        <v>50493.333333333336</v>
      </c>
      <c r="H126" s="5">
        <v>14341.535494267464</v>
      </c>
      <c r="I126" s="5">
        <v>955313.33333333337</v>
      </c>
      <c r="J126" s="5">
        <v>68881.580831001425</v>
      </c>
    </row>
    <row r="127" spans="1:19" x14ac:dyDescent="0.2">
      <c r="B127" s="6">
        <v>18</v>
      </c>
      <c r="C127" s="5"/>
      <c r="D127" s="5"/>
      <c r="E127" s="5">
        <v>25991</v>
      </c>
      <c r="F127" s="5">
        <v>10771.072019276653</v>
      </c>
      <c r="G127" s="5">
        <v>126882.22222222223</v>
      </c>
      <c r="H127" s="5">
        <v>43861.641218385441</v>
      </c>
      <c r="I127" s="5">
        <v>1152757.7777777778</v>
      </c>
      <c r="J127" s="5">
        <v>76360.455249598497</v>
      </c>
    </row>
    <row r="128" spans="1:19" x14ac:dyDescent="0.2">
      <c r="B128" s="6">
        <v>20</v>
      </c>
      <c r="C128" s="5"/>
      <c r="D128" s="5"/>
      <c r="E128" s="5">
        <v>40867.999999999993</v>
      </c>
      <c r="F128" s="5">
        <v>17400.046075928785</v>
      </c>
      <c r="G128" s="5">
        <v>280706.66666666669</v>
      </c>
      <c r="H128" s="5">
        <v>73365.831284052212</v>
      </c>
      <c r="I128" s="5">
        <v>1098311.111111111</v>
      </c>
      <c r="J128" s="5">
        <v>73824.435982594208</v>
      </c>
    </row>
    <row r="129" spans="2:10" x14ac:dyDescent="0.2">
      <c r="B129" s="6">
        <v>22</v>
      </c>
      <c r="C129" s="5"/>
      <c r="D129" s="5"/>
      <c r="E129" s="5">
        <v>62982.222222222219</v>
      </c>
      <c r="F129" s="5">
        <v>31446.865474131893</v>
      </c>
      <c r="G129" s="5">
        <v>484808.88888888882</v>
      </c>
      <c r="H129" s="5">
        <v>112964.06318104189</v>
      </c>
      <c r="I129" s="5">
        <v>816260</v>
      </c>
      <c r="J129" s="5">
        <v>97492.712434200803</v>
      </c>
    </row>
    <row r="130" spans="2:10" x14ac:dyDescent="0.2">
      <c r="B130" s="6">
        <v>24</v>
      </c>
      <c r="C130" s="5"/>
      <c r="D130" s="5"/>
      <c r="E130" s="5">
        <v>108455.55555555556</v>
      </c>
      <c r="F130" s="5">
        <v>65797.819056505134</v>
      </c>
      <c r="G130" s="5">
        <v>599266.66666666663</v>
      </c>
      <c r="H130" s="5">
        <v>105249.75840563435</v>
      </c>
      <c r="I130" s="5"/>
      <c r="J130" s="5"/>
    </row>
    <row r="131" spans="2:10" x14ac:dyDescent="0.2">
      <c r="B131" s="6">
        <v>26</v>
      </c>
      <c r="C131" s="5"/>
      <c r="D131" s="5"/>
      <c r="E131" s="5">
        <v>141031.11111111109</v>
      </c>
      <c r="F131" s="5">
        <v>73378.096742021648</v>
      </c>
      <c r="G131" s="5">
        <v>624855.5555555555</v>
      </c>
      <c r="H131" s="5">
        <v>85899.077044151694</v>
      </c>
      <c r="I131" s="5"/>
      <c r="J131" s="5"/>
    </row>
    <row r="132" spans="2:10" x14ac:dyDescent="0.2">
      <c r="B132" s="6">
        <v>28</v>
      </c>
      <c r="C132" s="5"/>
      <c r="D132" s="5"/>
      <c r="E132" s="5">
        <v>213648.88888888891</v>
      </c>
      <c r="F132" s="5">
        <v>81301.546885197153</v>
      </c>
      <c r="G132" s="5"/>
      <c r="H132" s="5"/>
      <c r="I132" s="5"/>
      <c r="J132" s="5"/>
    </row>
    <row r="133" spans="2:10" x14ac:dyDescent="0.2">
      <c r="B133" s="6">
        <v>30</v>
      </c>
      <c r="C133" s="5"/>
      <c r="D133" s="5"/>
      <c r="E133" s="5">
        <v>236655.55555555553</v>
      </c>
      <c r="F133" s="5">
        <v>46376.963789907502</v>
      </c>
      <c r="G133" s="5"/>
      <c r="H133" s="5"/>
      <c r="I133" s="5"/>
      <c r="J133" s="5"/>
    </row>
    <row r="134" spans="2:10" x14ac:dyDescent="0.2">
      <c r="B134" s="6">
        <v>32</v>
      </c>
      <c r="C134" s="5"/>
      <c r="D134" s="5"/>
      <c r="E134" s="5">
        <v>246126.66666666666</v>
      </c>
      <c r="F134" s="5">
        <v>44455.774777987106</v>
      </c>
      <c r="G134" s="5"/>
      <c r="H134" s="5"/>
      <c r="I134" s="5"/>
      <c r="J134" s="5"/>
    </row>
    <row r="135" spans="2:10" x14ac:dyDescent="0.2">
      <c r="B135" s="6">
        <v>34</v>
      </c>
      <c r="C135" s="5"/>
      <c r="D135" s="5"/>
      <c r="E135" s="5">
        <v>213080</v>
      </c>
      <c r="F135" s="5">
        <v>50455.211821971374</v>
      </c>
      <c r="G135" s="5"/>
      <c r="H135" s="5"/>
      <c r="I135" s="5"/>
      <c r="J135" s="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B135"/>
  <sheetViews>
    <sheetView topLeftCell="A36" zoomScale="80" zoomScaleNormal="80" zoomScalePageLayoutView="80" workbookViewId="0">
      <selection activeCell="D19" sqref="D19"/>
    </sheetView>
  </sheetViews>
  <sheetFormatPr baseColWidth="10" defaultColWidth="12.5" defaultRowHeight="15" x14ac:dyDescent="0.2"/>
  <cols>
    <col min="1" max="1" width="18.5" style="4" customWidth="1"/>
    <col min="2" max="2" width="18.5" style="6" customWidth="1"/>
    <col min="3" max="3" width="18.6640625" style="6" customWidth="1"/>
    <col min="4" max="4" width="15.5" style="6" customWidth="1"/>
    <col min="5" max="5" width="16.6640625" style="6" customWidth="1"/>
    <col min="6" max="6" width="15.33203125" style="7" customWidth="1"/>
    <col min="7" max="16384" width="12.5" style="6"/>
  </cols>
  <sheetData>
    <row r="1" spans="1:26" s="2" customFormat="1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x14ac:dyDescent="0.2">
      <c r="A2" s="4" t="s">
        <v>107</v>
      </c>
      <c r="B2" s="5">
        <f>([1]innoculationdensity!$D$29*6.5)/1000</f>
        <v>1140.49</v>
      </c>
      <c r="C2" s="6">
        <v>1751</v>
      </c>
      <c r="D2" s="6">
        <v>3215</v>
      </c>
      <c r="E2" s="6">
        <v>4788</v>
      </c>
      <c r="F2" s="7">
        <v>7937</v>
      </c>
      <c r="G2" s="6">
        <v>14764</v>
      </c>
      <c r="H2" s="6">
        <v>24023</v>
      </c>
      <c r="J2" s="6">
        <f>(8102-833)*20</f>
        <v>145380</v>
      </c>
      <c r="K2" s="6">
        <f>(14076-251)*20</f>
        <v>276500</v>
      </c>
      <c r="L2" s="6">
        <f>9835*20</f>
        <v>196700</v>
      </c>
      <c r="M2" s="6">
        <f>10698*20</f>
        <v>213960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">
      <c r="A3" s="4" t="s">
        <v>108</v>
      </c>
      <c r="B3" s="5">
        <f>([1]innoculationdensity!$D$29*6.5)/1000</f>
        <v>1140.49</v>
      </c>
      <c r="C3" s="6">
        <v>1836</v>
      </c>
      <c r="D3" s="6">
        <v>3261</v>
      </c>
      <c r="E3" s="6">
        <v>4875</v>
      </c>
      <c r="F3" s="7">
        <v>8830</v>
      </c>
      <c r="G3" s="6">
        <v>14057</v>
      </c>
      <c r="H3" s="6">
        <v>23394</v>
      </c>
      <c r="J3" s="6">
        <f>(8968-833)*20</f>
        <v>162700</v>
      </c>
      <c r="K3" s="6">
        <f>(13391-251)*20</f>
        <v>262800</v>
      </c>
      <c r="L3" s="6">
        <f>9834*20</f>
        <v>196680</v>
      </c>
      <c r="M3" s="6">
        <f>10537*20</f>
        <v>210740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">
      <c r="A4" s="4" t="s">
        <v>109</v>
      </c>
      <c r="B4" s="5">
        <f>([1]innoculationdensity!$D$29*6.5)/1000</f>
        <v>1140.49</v>
      </c>
      <c r="C4" s="6">
        <v>1841</v>
      </c>
      <c r="D4" s="6">
        <v>2954</v>
      </c>
      <c r="E4" s="6">
        <v>5032</v>
      </c>
      <c r="F4" s="7">
        <v>11934</v>
      </c>
      <c r="G4" s="6">
        <v>13036</v>
      </c>
      <c r="H4" s="6">
        <v>23605</v>
      </c>
      <c r="K4" s="6">
        <f>(13270-251)*20</f>
        <v>260380</v>
      </c>
      <c r="L4" s="6">
        <f>9767*20</f>
        <v>195340</v>
      </c>
      <c r="M4" s="6">
        <f>10348*20</f>
        <v>206960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">
      <c r="A5" s="4" t="s">
        <v>110</v>
      </c>
      <c r="B5" s="5">
        <f>([1]innoculationdensity!$D$29*6.5)/1000</f>
        <v>1140.49</v>
      </c>
      <c r="C5" s="6">
        <v>1447</v>
      </c>
      <c r="D5" s="6">
        <v>1880</v>
      </c>
      <c r="E5" s="6">
        <v>2647</v>
      </c>
      <c r="F5" s="7">
        <v>6165</v>
      </c>
      <c r="G5" s="6">
        <v>8612</v>
      </c>
      <c r="H5" s="6">
        <v>12866</v>
      </c>
      <c r="J5" s="6">
        <f>(4289-833)*20</f>
        <v>69120</v>
      </c>
      <c r="K5" s="6">
        <f>(7379-251)*20</f>
        <v>142560</v>
      </c>
      <c r="L5" s="6">
        <f>7410*20</f>
        <v>148200</v>
      </c>
      <c r="M5" s="6">
        <f>8921*20</f>
        <v>178420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">
      <c r="A6" s="4" t="s">
        <v>111</v>
      </c>
      <c r="B6" s="5">
        <f>([1]innoculationdensity!$D$29*6.5)/1000</f>
        <v>1140.49</v>
      </c>
      <c r="C6" s="6">
        <v>1382</v>
      </c>
      <c r="D6" s="6">
        <v>1794</v>
      </c>
      <c r="E6" s="6">
        <v>2619</v>
      </c>
      <c r="F6" s="7">
        <v>6062</v>
      </c>
      <c r="G6" s="6">
        <v>8161</v>
      </c>
      <c r="H6" s="6">
        <v>13232</v>
      </c>
      <c r="J6" s="6">
        <f>(4337-833)*20</f>
        <v>70080</v>
      </c>
      <c r="K6" s="6">
        <f>(7065-251)*20</f>
        <v>136280</v>
      </c>
      <c r="L6" s="6">
        <f>7283*20</f>
        <v>145660</v>
      </c>
      <c r="M6" s="6">
        <f>8897*20</f>
        <v>177940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">
      <c r="A7" s="4" t="s">
        <v>112</v>
      </c>
      <c r="B7" s="5">
        <f>([1]innoculationdensity!$D$29*6.5)/1000</f>
        <v>1140.49</v>
      </c>
      <c r="C7" s="6">
        <v>1405</v>
      </c>
      <c r="D7" s="6">
        <v>1842</v>
      </c>
      <c r="E7" s="6">
        <v>2772</v>
      </c>
      <c r="F7" s="7">
        <v>6132</v>
      </c>
      <c r="G7" s="6">
        <v>7761</v>
      </c>
      <c r="H7" s="6">
        <v>12609</v>
      </c>
      <c r="K7" s="6">
        <f>(6834-251)*20</f>
        <v>131660</v>
      </c>
      <c r="L7" s="6">
        <f>9859*20</f>
        <v>197180</v>
      </c>
      <c r="M7" s="6">
        <f>8512*20</f>
        <v>170240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">
      <c r="A8" s="4" t="s">
        <v>113</v>
      </c>
      <c r="B8" s="5">
        <f>([1]innoculationdensity!$D$29*6.5)/1000</f>
        <v>1140.49</v>
      </c>
      <c r="C8" s="6">
        <v>1712</v>
      </c>
      <c r="D8" s="6">
        <v>2071</v>
      </c>
      <c r="E8" s="6">
        <v>3630</v>
      </c>
      <c r="F8" s="7">
        <v>8387</v>
      </c>
      <c r="G8" s="6">
        <v>12462</v>
      </c>
      <c r="H8" s="6">
        <v>19211</v>
      </c>
      <c r="J8" s="6">
        <f>(7029-833)*20</f>
        <v>123920</v>
      </c>
      <c r="K8" s="6">
        <f>(9854-251)*20</f>
        <v>192060</v>
      </c>
      <c r="L8" s="6">
        <f>7224*20</f>
        <v>144480</v>
      </c>
      <c r="M8" s="6">
        <f>10130*20</f>
        <v>202600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">
      <c r="A9" s="4" t="s">
        <v>114</v>
      </c>
      <c r="B9" s="5">
        <f>([1]innoculationdensity!$D$29*6.5)/1000</f>
        <v>1140.49</v>
      </c>
      <c r="C9" s="6">
        <v>1603</v>
      </c>
      <c r="D9" s="6">
        <v>2049</v>
      </c>
      <c r="E9" s="6">
        <v>3436</v>
      </c>
      <c r="F9" s="7">
        <v>8268</v>
      </c>
      <c r="G9" s="6">
        <v>11739</v>
      </c>
      <c r="H9" s="6">
        <v>18788</v>
      </c>
      <c r="J9" s="6">
        <f>(7283-833)*20</f>
        <v>129000</v>
      </c>
      <c r="K9" s="6">
        <f>(10824-251)*20</f>
        <v>211460</v>
      </c>
      <c r="L9" s="6">
        <f>9665*20</f>
        <v>193300</v>
      </c>
      <c r="M9" s="6">
        <f>10034*20</f>
        <v>200680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">
      <c r="A10" s="4" t="s">
        <v>115</v>
      </c>
      <c r="B10" s="5">
        <f>([1]innoculationdensity!$D$29*6.5)/1000</f>
        <v>1140.49</v>
      </c>
      <c r="C10" s="6">
        <v>1639</v>
      </c>
      <c r="D10" s="6">
        <v>2016</v>
      </c>
      <c r="E10" s="6">
        <v>3630</v>
      </c>
      <c r="F10" s="7">
        <v>8336</v>
      </c>
      <c r="G10" s="6">
        <v>11312</v>
      </c>
      <c r="H10" s="6">
        <v>18847</v>
      </c>
      <c r="K10" s="6">
        <f>(10203-251)*20</f>
        <v>199040</v>
      </c>
      <c r="L10" s="6">
        <f>9736*20</f>
        <v>194720</v>
      </c>
      <c r="M10" s="6">
        <f>10045*20</f>
        <v>200900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">
      <c r="A11" s="4" t="s">
        <v>116</v>
      </c>
      <c r="B11" s="5">
        <f>([1]innoculationdensity!$D$29*6.5)/1000</f>
        <v>1140.49</v>
      </c>
      <c r="C11" s="6">
        <v>1466</v>
      </c>
      <c r="D11" s="6">
        <v>1533</v>
      </c>
      <c r="E11" s="6">
        <v>1580</v>
      </c>
      <c r="F11" s="7">
        <v>2086</v>
      </c>
      <c r="G11" s="6">
        <v>2017</v>
      </c>
      <c r="H11" s="6">
        <v>2441</v>
      </c>
      <c r="J11" s="6">
        <f>3517-833</f>
        <v>2684</v>
      </c>
      <c r="K11" s="6">
        <f>2336-251</f>
        <v>2085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">
      <c r="A12" s="4" t="s">
        <v>117</v>
      </c>
      <c r="B12" s="5">
        <f>([1]innoculationdensity!$D$29*6.5)/1000</f>
        <v>1140.49</v>
      </c>
      <c r="C12" s="6">
        <v>1465</v>
      </c>
      <c r="D12" s="6">
        <v>1456</v>
      </c>
      <c r="E12" s="6">
        <v>1617</v>
      </c>
      <c r="F12" s="7">
        <v>2006</v>
      </c>
      <c r="G12" s="6">
        <v>1869</v>
      </c>
      <c r="H12" s="6">
        <v>2344</v>
      </c>
      <c r="J12" s="6">
        <f>3502-833</f>
        <v>2669</v>
      </c>
      <c r="K12" s="6">
        <f>2319-251</f>
        <v>2068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">
      <c r="A13" s="4" t="s">
        <v>118</v>
      </c>
      <c r="B13" s="5">
        <f>([1]innoculationdensity!$D$29*6.5)/1000</f>
        <v>1140.49</v>
      </c>
      <c r="C13" s="6">
        <v>1424</v>
      </c>
      <c r="D13" s="6">
        <v>1478</v>
      </c>
      <c r="E13" s="6">
        <v>1533</v>
      </c>
      <c r="F13" s="7">
        <v>2125</v>
      </c>
      <c r="G13" s="6">
        <v>1971</v>
      </c>
      <c r="H13" s="6">
        <v>2173</v>
      </c>
      <c r="K13" s="6">
        <f>2298-251</f>
        <v>2047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">
      <c r="A14" s="4" t="s">
        <v>119</v>
      </c>
      <c r="B14" s="5">
        <f>([1]innoculationdensity!$D$29*6.5)/1000</f>
        <v>1140.49</v>
      </c>
      <c r="C14" s="6">
        <v>1145</v>
      </c>
      <c r="D14" s="6">
        <v>1305</v>
      </c>
      <c r="E14" s="6">
        <v>1251</v>
      </c>
      <c r="F14" s="7">
        <v>1540</v>
      </c>
      <c r="G14" s="6">
        <v>1451</v>
      </c>
      <c r="H14" s="6">
        <v>1640</v>
      </c>
      <c r="J14" s="6">
        <f>2361-833</f>
        <v>1528</v>
      </c>
      <c r="K14" s="6">
        <f>2201-251</f>
        <v>1950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">
      <c r="A15" s="4" t="s">
        <v>120</v>
      </c>
      <c r="B15" s="5">
        <f>([1]innoculationdensity!$D$29*6.5)/1000</f>
        <v>1140.49</v>
      </c>
      <c r="C15" s="6">
        <v>1079</v>
      </c>
      <c r="D15" s="6">
        <v>1311</v>
      </c>
      <c r="E15" s="6">
        <v>1202</v>
      </c>
      <c r="F15" s="7">
        <v>1503</v>
      </c>
      <c r="G15" s="6">
        <v>1573</v>
      </c>
      <c r="H15" s="6">
        <v>1643</v>
      </c>
      <c r="J15" s="6">
        <f>2480-833</f>
        <v>1647</v>
      </c>
      <c r="K15" s="6">
        <f>2196-251</f>
        <v>1945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">
      <c r="A16" s="4" t="s">
        <v>121</v>
      </c>
      <c r="B16" s="5">
        <f>([1]innoculationdensity!$D$29*6.5)/1000</f>
        <v>1140.49</v>
      </c>
      <c r="C16" s="6">
        <v>1078</v>
      </c>
      <c r="D16" s="6">
        <v>1272</v>
      </c>
      <c r="E16" s="6">
        <v>1175</v>
      </c>
      <c r="F16" s="7">
        <v>1636</v>
      </c>
      <c r="G16" s="6">
        <v>1507</v>
      </c>
      <c r="H16" s="6">
        <v>1636</v>
      </c>
      <c r="K16" s="6">
        <f>2163-251</f>
        <v>1912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">
      <c r="A17" s="4" t="s">
        <v>122</v>
      </c>
      <c r="B17" s="5">
        <f>([1]innoculationdensity!$D$29*6.5)/1000</f>
        <v>1140.49</v>
      </c>
      <c r="C17" s="6">
        <v>1443</v>
      </c>
      <c r="D17" s="6">
        <v>1625</v>
      </c>
      <c r="E17" s="6">
        <v>1747</v>
      </c>
      <c r="F17" s="7">
        <v>1575</v>
      </c>
      <c r="G17" s="6">
        <v>2021</v>
      </c>
      <c r="H17" s="6">
        <v>2249</v>
      </c>
      <c r="J17" s="6">
        <f>2495-833</f>
        <v>1662</v>
      </c>
      <c r="K17" s="6">
        <f>3544-251</f>
        <v>3293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">
      <c r="A18" s="4" t="s">
        <v>123</v>
      </c>
      <c r="B18" s="5">
        <f>([1]innoculationdensity!$D$29*6.5)/1000</f>
        <v>1140.49</v>
      </c>
      <c r="C18" s="6">
        <v>1303</v>
      </c>
      <c r="D18" s="6">
        <v>1544</v>
      </c>
      <c r="E18" s="6">
        <v>1678</v>
      </c>
      <c r="F18" s="7">
        <v>1516</v>
      </c>
      <c r="G18" s="6">
        <v>2113</v>
      </c>
      <c r="H18" s="6">
        <v>2170</v>
      </c>
      <c r="J18" s="6">
        <f>2984-833</f>
        <v>2151</v>
      </c>
      <c r="K18" s="6">
        <f>3596-251</f>
        <v>3345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">
      <c r="A19" s="4" t="s">
        <v>124</v>
      </c>
      <c r="B19" s="5">
        <f>([1]innoculationdensity!$D$29*6.5)/1000</f>
        <v>1140.49</v>
      </c>
      <c r="C19" s="6">
        <v>1295</v>
      </c>
      <c r="D19" s="6">
        <v>1596</v>
      </c>
      <c r="E19" s="6">
        <v>1652</v>
      </c>
      <c r="F19" s="7">
        <v>1523</v>
      </c>
      <c r="G19" s="6">
        <v>2050</v>
      </c>
      <c r="H19" s="6">
        <v>2160</v>
      </c>
      <c r="K19" s="6">
        <f>3489-251</f>
        <v>3238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">
      <c r="A20" s="4" t="s">
        <v>143</v>
      </c>
      <c r="B20" s="5">
        <v>1160</v>
      </c>
      <c r="C20" s="6">
        <v>806</v>
      </c>
      <c r="D20" s="6">
        <v>1252</v>
      </c>
      <c r="E20" s="6">
        <v>1856</v>
      </c>
      <c r="F20" s="7">
        <v>2829</v>
      </c>
      <c r="H20" s="6">
        <f>10195-833</f>
        <v>9362</v>
      </c>
      <c r="I20" s="6">
        <f>12296-251</f>
        <v>12045</v>
      </c>
      <c r="J20" s="6">
        <v>15818</v>
      </c>
      <c r="K20" s="6">
        <v>21750</v>
      </c>
      <c r="L20" s="6">
        <v>35383</v>
      </c>
      <c r="M20" s="6">
        <v>57665</v>
      </c>
      <c r="N20" s="6">
        <f>4954*20</f>
        <v>99080</v>
      </c>
      <c r="O20" s="6">
        <f>5823*20</f>
        <v>116460</v>
      </c>
      <c r="P20" s="6">
        <f>6480*20</f>
        <v>129600</v>
      </c>
      <c r="Q20" s="6">
        <f>7638*20</f>
        <v>152760</v>
      </c>
      <c r="R20" s="6">
        <f>8162*20</f>
        <v>163240</v>
      </c>
      <c r="S20" s="6">
        <f>6115*20</f>
        <v>122300</v>
      </c>
      <c r="T20" s="8"/>
      <c r="U20" s="8"/>
      <c r="V20" s="8"/>
      <c r="W20" s="8"/>
      <c r="X20" s="8"/>
      <c r="Y20" s="8"/>
      <c r="Z20" s="8"/>
    </row>
    <row r="21" spans="1:26" x14ac:dyDescent="0.2">
      <c r="A21" s="4" t="s">
        <v>144</v>
      </c>
      <c r="B21" s="5">
        <v>1098</v>
      </c>
      <c r="C21" s="6">
        <v>778</v>
      </c>
      <c r="D21" s="6">
        <v>1415</v>
      </c>
      <c r="E21" s="6">
        <v>1742</v>
      </c>
      <c r="F21" s="7">
        <v>2660</v>
      </c>
      <c r="H21" s="6">
        <f>10227-833</f>
        <v>9394</v>
      </c>
      <c r="I21" s="6">
        <f>12547-251</f>
        <v>12296</v>
      </c>
      <c r="J21" s="6">
        <v>15482</v>
      </c>
      <c r="K21" s="6">
        <v>21121</v>
      </c>
      <c r="L21" s="6">
        <v>35339</v>
      </c>
      <c r="M21" s="6">
        <v>55969</v>
      </c>
      <c r="N21" s="6">
        <f>4809*20</f>
        <v>96180</v>
      </c>
      <c r="O21" s="6">
        <f>5618*20</f>
        <v>112360</v>
      </c>
      <c r="P21" s="6">
        <f>6517*20</f>
        <v>130340</v>
      </c>
      <c r="Q21" s="6">
        <f>7626*20</f>
        <v>152520</v>
      </c>
      <c r="R21" s="6">
        <f>8094*20</f>
        <v>161880</v>
      </c>
      <c r="S21" s="6">
        <f>6069*20</f>
        <v>121380</v>
      </c>
      <c r="T21" s="8"/>
      <c r="U21" s="8"/>
      <c r="V21" s="8"/>
      <c r="W21" s="8"/>
      <c r="X21" s="8"/>
      <c r="Y21" s="8"/>
      <c r="Z21" s="8"/>
    </row>
    <row r="22" spans="1:26" x14ac:dyDescent="0.2">
      <c r="A22" s="4" t="s">
        <v>145</v>
      </c>
      <c r="B22" s="5">
        <v>1164</v>
      </c>
      <c r="C22" s="6">
        <v>775</v>
      </c>
      <c r="D22" s="6">
        <v>1204</v>
      </c>
      <c r="E22" s="6">
        <v>1604</v>
      </c>
      <c r="F22" s="7">
        <v>2767</v>
      </c>
      <c r="I22" s="6">
        <f>12473-251</f>
        <v>12222</v>
      </c>
      <c r="J22" s="6">
        <v>15252</v>
      </c>
      <c r="K22" s="6">
        <v>21288</v>
      </c>
      <c r="L22" s="6">
        <v>34909</v>
      </c>
      <c r="M22" s="6">
        <v>54459</v>
      </c>
      <c r="N22" s="6">
        <f>4673*20</f>
        <v>93460</v>
      </c>
      <c r="O22" s="6">
        <f>5559*20</f>
        <v>111180</v>
      </c>
      <c r="P22" s="6">
        <f>6531*20</f>
        <v>130620</v>
      </c>
      <c r="Q22" s="6">
        <f>7409*20</f>
        <v>148180</v>
      </c>
      <c r="R22" s="6">
        <f>7976*20</f>
        <v>159520</v>
      </c>
      <c r="S22" s="6">
        <f>5995*20</f>
        <v>119900</v>
      </c>
      <c r="T22" s="8"/>
      <c r="U22" s="8"/>
      <c r="V22" s="8"/>
      <c r="W22" s="8"/>
      <c r="X22" s="8"/>
      <c r="Y22" s="8"/>
      <c r="Z22" s="8"/>
    </row>
    <row r="23" spans="1:26" x14ac:dyDescent="0.2">
      <c r="A23" s="4" t="s">
        <v>146</v>
      </c>
      <c r="B23" s="5">
        <v>628</v>
      </c>
      <c r="C23" s="6">
        <v>828</v>
      </c>
      <c r="D23" s="6">
        <v>1241</v>
      </c>
      <c r="E23" s="6">
        <v>1529</v>
      </c>
      <c r="F23" s="7">
        <v>2102</v>
      </c>
      <c r="H23" s="6">
        <f>7501-833</f>
        <v>6668</v>
      </c>
      <c r="I23" s="6">
        <f>11582-251</f>
        <v>11331</v>
      </c>
      <c r="J23" s="6">
        <v>10038</v>
      </c>
      <c r="K23" s="6">
        <v>13977</v>
      </c>
      <c r="L23" s="6">
        <v>21121</v>
      </c>
      <c r="M23" s="6">
        <v>36779</v>
      </c>
      <c r="N23" s="6">
        <f>2859*20</f>
        <v>57180</v>
      </c>
      <c r="O23" s="6">
        <f>4058*20</f>
        <v>81160</v>
      </c>
      <c r="P23" s="6">
        <f>6096*20</f>
        <v>121920</v>
      </c>
      <c r="Q23" s="6">
        <f>6691*20</f>
        <v>133820</v>
      </c>
      <c r="R23" s="6">
        <f>7569*20</f>
        <v>151380</v>
      </c>
      <c r="S23" s="6">
        <f>5914*20</f>
        <v>118280</v>
      </c>
      <c r="T23" s="8"/>
      <c r="U23" s="8"/>
      <c r="V23" s="8"/>
      <c r="W23" s="8"/>
      <c r="X23" s="8"/>
      <c r="Y23" s="8"/>
      <c r="Z23" s="8"/>
    </row>
    <row r="24" spans="1:26" x14ac:dyDescent="0.2">
      <c r="A24" s="4" t="s">
        <v>147</v>
      </c>
      <c r="B24" s="5">
        <v>641</v>
      </c>
      <c r="C24" s="6">
        <v>785</v>
      </c>
      <c r="D24" s="6">
        <v>1223</v>
      </c>
      <c r="E24" s="6">
        <v>1511</v>
      </c>
      <c r="F24" s="7">
        <v>2078</v>
      </c>
      <c r="H24" s="6">
        <f>7492-833</f>
        <v>6659</v>
      </c>
      <c r="I24" s="6">
        <f>10102-251</f>
        <v>9851</v>
      </c>
      <c r="J24" s="6">
        <v>10254</v>
      </c>
      <c r="K24" s="6">
        <v>13800</v>
      </c>
      <c r="L24" s="6">
        <v>20904</v>
      </c>
      <c r="M24" s="6">
        <v>36961</v>
      </c>
      <c r="N24" s="6">
        <f>2779*20</f>
        <v>55580</v>
      </c>
      <c r="O24" s="6">
        <f>4066*20</f>
        <v>81320</v>
      </c>
      <c r="P24" s="6">
        <f>5980*20</f>
        <v>119600</v>
      </c>
      <c r="Q24" s="6">
        <f>6485*20</f>
        <v>129700</v>
      </c>
      <c r="R24" s="6">
        <f>7226*20</f>
        <v>144520</v>
      </c>
      <c r="S24" s="6">
        <f>5836*20</f>
        <v>116720</v>
      </c>
      <c r="T24" s="8"/>
      <c r="U24" s="8"/>
      <c r="V24" s="8"/>
      <c r="W24" s="8"/>
      <c r="X24" s="8"/>
      <c r="Y24" s="8"/>
      <c r="Z24" s="8"/>
    </row>
    <row r="25" spans="1:26" x14ac:dyDescent="0.2">
      <c r="A25" s="4" t="s">
        <v>148</v>
      </c>
      <c r="B25" s="5">
        <v>642</v>
      </c>
      <c r="C25" s="6">
        <v>766</v>
      </c>
      <c r="D25" s="6">
        <v>1185</v>
      </c>
      <c r="E25" s="6">
        <v>1530</v>
      </c>
      <c r="F25" s="7">
        <v>2175</v>
      </c>
      <c r="J25" s="6">
        <v>9344</v>
      </c>
      <c r="K25" s="6">
        <v>14402</v>
      </c>
      <c r="L25" s="6">
        <v>20450</v>
      </c>
      <c r="M25" s="6">
        <v>36890</v>
      </c>
      <c r="N25" s="6">
        <f>2823*20</f>
        <v>56460</v>
      </c>
      <c r="O25" s="6">
        <f>4052*20</f>
        <v>81040</v>
      </c>
      <c r="P25" s="6">
        <f>5914*20</f>
        <v>118280</v>
      </c>
      <c r="Q25" s="6">
        <f>6529*20</f>
        <v>130580</v>
      </c>
      <c r="R25" s="6">
        <f>7186*20</f>
        <v>143720</v>
      </c>
      <c r="S25" s="6">
        <f>5784*20</f>
        <v>115680</v>
      </c>
      <c r="T25" s="8"/>
      <c r="U25" s="8"/>
      <c r="V25" s="8"/>
      <c r="W25" s="8"/>
      <c r="X25" s="8"/>
      <c r="Y25" s="8"/>
      <c r="Z25" s="8"/>
    </row>
    <row r="26" spans="1:26" x14ac:dyDescent="0.2">
      <c r="A26" s="4" t="s">
        <v>149</v>
      </c>
      <c r="B26" s="5">
        <v>990</v>
      </c>
      <c r="C26" s="6">
        <v>1073</v>
      </c>
      <c r="D26" s="6">
        <v>1472</v>
      </c>
      <c r="E26" s="6">
        <v>2353</v>
      </c>
      <c r="F26" s="7">
        <v>2531</v>
      </c>
      <c r="H26" s="6">
        <f>9281-833</f>
        <v>8448</v>
      </c>
      <c r="I26" s="6">
        <f>11255-251</f>
        <v>11004</v>
      </c>
      <c r="J26" s="6">
        <v>13313</v>
      </c>
      <c r="K26" s="6">
        <v>19174</v>
      </c>
      <c r="L26" s="6">
        <v>29375</v>
      </c>
      <c r="M26" s="6">
        <v>48335</v>
      </c>
      <c r="N26" s="6">
        <f>3415*20</f>
        <v>68300</v>
      </c>
      <c r="O26" s="6">
        <f>5147*20</f>
        <v>102940</v>
      </c>
      <c r="P26" s="6">
        <f>6370*20</f>
        <v>127400</v>
      </c>
      <c r="Q26" s="6">
        <f>7218*20</f>
        <v>144360</v>
      </c>
      <c r="R26" s="6">
        <f>7617*20</f>
        <v>152340</v>
      </c>
      <c r="S26" s="6">
        <f>6522*20</f>
        <v>130440</v>
      </c>
      <c r="T26" s="8"/>
      <c r="U26" s="8"/>
      <c r="V26" s="8"/>
      <c r="W26" s="8"/>
      <c r="X26" s="8"/>
      <c r="Y26" s="8"/>
      <c r="Z26" s="8"/>
    </row>
    <row r="27" spans="1:26" x14ac:dyDescent="0.2">
      <c r="A27" s="4" t="s">
        <v>150</v>
      </c>
      <c r="B27" s="5">
        <v>989</v>
      </c>
      <c r="C27" s="6">
        <v>1017</v>
      </c>
      <c r="D27" s="6">
        <v>1482</v>
      </c>
      <c r="E27" s="6">
        <v>2117</v>
      </c>
      <c r="F27" s="7">
        <v>2562</v>
      </c>
      <c r="H27" s="6">
        <f>9631-833</f>
        <v>8798</v>
      </c>
      <c r="I27" s="6">
        <f>10850-251</f>
        <v>10599</v>
      </c>
      <c r="J27" s="6">
        <v>13364</v>
      </c>
      <c r="K27" s="6">
        <v>18258</v>
      </c>
      <c r="L27" s="6">
        <v>29070</v>
      </c>
      <c r="M27" s="6">
        <v>49101</v>
      </c>
      <c r="N27" s="6">
        <f>3465*20</f>
        <v>69300</v>
      </c>
      <c r="O27" s="6">
        <f>5094*20</f>
        <v>101880</v>
      </c>
      <c r="P27" s="6">
        <f>6345*20</f>
        <v>126900</v>
      </c>
      <c r="Q27" s="6">
        <f>7225*20</f>
        <v>144500</v>
      </c>
      <c r="R27" s="6">
        <f>7779*20</f>
        <v>155580</v>
      </c>
      <c r="S27" s="6">
        <f>6449*20</f>
        <v>128980</v>
      </c>
      <c r="T27" s="8"/>
      <c r="U27" s="8"/>
      <c r="V27" s="8"/>
      <c r="W27" s="8"/>
      <c r="X27" s="8"/>
      <c r="Y27" s="8"/>
      <c r="Z27" s="8"/>
    </row>
    <row r="28" spans="1:26" x14ac:dyDescent="0.2">
      <c r="A28" s="4" t="s">
        <v>151</v>
      </c>
      <c r="B28" s="5">
        <v>980</v>
      </c>
      <c r="C28" s="6">
        <v>1069</v>
      </c>
      <c r="D28" s="6">
        <v>1451</v>
      </c>
      <c r="E28" s="6">
        <v>2196</v>
      </c>
      <c r="F28" s="7">
        <v>2683</v>
      </c>
      <c r="J28" s="6">
        <v>12938</v>
      </c>
      <c r="K28" s="6">
        <v>18673</v>
      </c>
      <c r="L28" s="6">
        <v>28369</v>
      </c>
      <c r="M28" s="6">
        <v>49843</v>
      </c>
      <c r="N28" s="6">
        <f>3390*20</f>
        <v>67800</v>
      </c>
      <c r="O28" s="6">
        <f>5218*20</f>
        <v>104360</v>
      </c>
      <c r="P28" s="6">
        <f>6259*20</f>
        <v>125180</v>
      </c>
      <c r="Q28" s="6">
        <f>7286*20</f>
        <v>145720</v>
      </c>
      <c r="R28" s="6">
        <f>7535*20</f>
        <v>150700</v>
      </c>
      <c r="S28" s="6">
        <f>6438*20</f>
        <v>128760</v>
      </c>
      <c r="T28" s="8"/>
      <c r="U28" s="8"/>
      <c r="V28" s="8"/>
      <c r="W28" s="8"/>
      <c r="X28" s="8"/>
      <c r="Y28" s="8"/>
      <c r="Z28" s="8"/>
    </row>
    <row r="29" spans="1:26" x14ac:dyDescent="0.2">
      <c r="A29" s="4" t="s">
        <v>179</v>
      </c>
      <c r="B29" s="5">
        <f>([1]innoculationdensity!$D$53*3.5)/1000</f>
        <v>1088.29</v>
      </c>
      <c r="C29" s="6">
        <f>2526-432</f>
        <v>2094</v>
      </c>
      <c r="D29" s="6">
        <v>1268</v>
      </c>
      <c r="E29" s="6">
        <v>7318</v>
      </c>
      <c r="F29" s="7">
        <v>19357</v>
      </c>
      <c r="G29" s="6">
        <v>38701</v>
      </c>
      <c r="H29" s="6">
        <f>5073*20</f>
        <v>101460</v>
      </c>
      <c r="I29" s="6">
        <f>10450*20</f>
        <v>209000</v>
      </c>
      <c r="J29" s="6">
        <f>13894*20</f>
        <v>277880</v>
      </c>
      <c r="K29" s="6">
        <f>15985*20</f>
        <v>319700</v>
      </c>
      <c r="L29" s="6">
        <f>18013*20</f>
        <v>360260</v>
      </c>
      <c r="M29" s="6">
        <f>17722*20</f>
        <v>354440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">
      <c r="A30" s="4" t="s">
        <v>180</v>
      </c>
      <c r="B30" s="5">
        <f>([1]innoculationdensity!$D$53*3.5)/1000</f>
        <v>1088.29</v>
      </c>
      <c r="C30" s="6">
        <f>2767-432</f>
        <v>2335</v>
      </c>
      <c r="D30" s="6">
        <v>1224</v>
      </c>
      <c r="E30" s="6">
        <v>7185</v>
      </c>
      <c r="F30" s="7">
        <v>19266</v>
      </c>
      <c r="G30" s="6">
        <v>38588</v>
      </c>
      <c r="H30" s="6">
        <f>4898*20</f>
        <v>97960</v>
      </c>
      <c r="I30" s="6">
        <f>10177*20</f>
        <v>203540</v>
      </c>
      <c r="J30" s="6">
        <f>13328*20</f>
        <v>266560</v>
      </c>
      <c r="K30" s="6">
        <f>15482*20</f>
        <v>309640</v>
      </c>
      <c r="L30" s="6">
        <f>17500*20</f>
        <v>350000</v>
      </c>
      <c r="M30" s="6">
        <f>18130*20</f>
        <v>362600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">
      <c r="A31" s="4" t="s">
        <v>181</v>
      </c>
      <c r="B31" s="5">
        <f>([1]innoculationdensity!$D$53*3.5)/1000</f>
        <v>1088.29</v>
      </c>
      <c r="C31" s="6">
        <f>2747-432</f>
        <v>2315</v>
      </c>
      <c r="D31" s="6">
        <v>1220</v>
      </c>
      <c r="E31" s="6">
        <v>7089</v>
      </c>
      <c r="F31" s="7">
        <v>18652</v>
      </c>
      <c r="G31" s="6">
        <v>37904</v>
      </c>
      <c r="H31" s="6">
        <f>4991*20</f>
        <v>99820</v>
      </c>
      <c r="I31" s="6">
        <f>10246*20</f>
        <v>204920</v>
      </c>
      <c r="J31" s="6">
        <f>13504*20</f>
        <v>270080</v>
      </c>
      <c r="K31" s="6">
        <f>15595*20</f>
        <v>311900</v>
      </c>
      <c r="L31" s="6">
        <f>17943*20</f>
        <v>358860</v>
      </c>
      <c r="M31" s="6">
        <f>18168*20</f>
        <v>363360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">
      <c r="A32" s="4" t="s">
        <v>182</v>
      </c>
      <c r="B32" s="5">
        <f>([1]innoculationdensity!$D$53*3.5)/1000</f>
        <v>1088.29</v>
      </c>
      <c r="C32" s="6">
        <f>2550-432</f>
        <v>2118</v>
      </c>
      <c r="D32" s="6">
        <v>1338</v>
      </c>
      <c r="E32" s="6">
        <v>7478</v>
      </c>
      <c r="F32" s="7">
        <v>17852</v>
      </c>
      <c r="G32" s="6">
        <v>36120</v>
      </c>
      <c r="H32" s="6">
        <f>4890*20</f>
        <v>97800</v>
      </c>
      <c r="I32" s="6">
        <f>10314*20</f>
        <v>206280</v>
      </c>
      <c r="J32" s="6">
        <f>13906*20</f>
        <v>278120</v>
      </c>
      <c r="K32" s="6">
        <f>15063*20</f>
        <v>301260</v>
      </c>
      <c r="L32" s="6">
        <f>17836*20</f>
        <v>356720</v>
      </c>
      <c r="M32" s="6">
        <f>18907*20</f>
        <v>378140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">
      <c r="A33" s="4" t="s">
        <v>183</v>
      </c>
      <c r="B33" s="5">
        <f>([1]innoculationdensity!$D$53*3.5)/1000</f>
        <v>1088.29</v>
      </c>
      <c r="C33" s="6">
        <f>2453-432</f>
        <v>2021</v>
      </c>
      <c r="D33" s="6">
        <v>1180</v>
      </c>
      <c r="E33" s="6">
        <v>7457</v>
      </c>
      <c r="F33" s="7">
        <v>17671</v>
      </c>
      <c r="G33" s="6">
        <v>36200</v>
      </c>
      <c r="H33" s="6">
        <f>4657*20</f>
        <v>93140</v>
      </c>
      <c r="I33" s="6">
        <f>9643*20</f>
        <v>192860</v>
      </c>
      <c r="J33" s="6">
        <f>13651*20</f>
        <v>273020</v>
      </c>
      <c r="K33" s="6">
        <f>14711*20</f>
        <v>294220</v>
      </c>
      <c r="L33" s="6">
        <f>17569*20</f>
        <v>351380</v>
      </c>
      <c r="M33" s="6">
        <f>17628*20</f>
        <v>352560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">
      <c r="A34" s="4" t="s">
        <v>184</v>
      </c>
      <c r="B34" s="5">
        <f>([1]innoculationdensity!$D$53*3.5)/1000</f>
        <v>1088.29</v>
      </c>
      <c r="C34" s="6">
        <f>2757-432</f>
        <v>2325</v>
      </c>
      <c r="D34" s="6">
        <v>1187</v>
      </c>
      <c r="E34" s="6">
        <v>7394</v>
      </c>
      <c r="F34" s="7">
        <v>17763</v>
      </c>
      <c r="G34" s="6">
        <v>36199</v>
      </c>
      <c r="H34" s="6">
        <f>4744*20</f>
        <v>94880</v>
      </c>
      <c r="I34" s="6">
        <f>10348*20</f>
        <v>206960</v>
      </c>
      <c r="J34" s="6">
        <f>13585*20</f>
        <v>271700</v>
      </c>
      <c r="K34" s="6">
        <f>15135*20</f>
        <v>302700</v>
      </c>
      <c r="L34" s="6">
        <f>17380*20</f>
        <v>347600</v>
      </c>
      <c r="M34" s="6">
        <f>18114*20</f>
        <v>362280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2">
      <c r="A35" s="4" t="s">
        <v>185</v>
      </c>
      <c r="B35" s="5">
        <f>([1]innoculationdensity!$D$53*3.5)/1000</f>
        <v>1088.29</v>
      </c>
      <c r="C35" s="6">
        <f>2774-432</f>
        <v>2342</v>
      </c>
      <c r="D35" s="6">
        <v>1148</v>
      </c>
      <c r="E35" s="6">
        <v>7435</v>
      </c>
      <c r="F35" s="7">
        <v>17177</v>
      </c>
      <c r="G35" s="6">
        <v>34424</v>
      </c>
      <c r="H35" s="6">
        <f>4319*20</f>
        <v>86380</v>
      </c>
      <c r="I35" s="6">
        <f>9537*20</f>
        <v>190740</v>
      </c>
      <c r="J35" s="6">
        <f>14170*20</f>
        <v>283400</v>
      </c>
      <c r="K35" s="6">
        <f>14649*20</f>
        <v>292980</v>
      </c>
      <c r="L35" s="6">
        <f>18942*20</f>
        <v>378840</v>
      </c>
      <c r="M35" s="6">
        <f>18539*20</f>
        <v>370780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">
      <c r="A36" s="4" t="s">
        <v>186</v>
      </c>
      <c r="B36" s="5">
        <f>([1]innoculationdensity!$D$53*3.5)/1000</f>
        <v>1088.29</v>
      </c>
      <c r="C36" s="6">
        <f>2412-432</f>
        <v>1980</v>
      </c>
      <c r="D36" s="6">
        <v>1165</v>
      </c>
      <c r="E36" s="6">
        <v>7434</v>
      </c>
      <c r="F36" s="7">
        <v>17072</v>
      </c>
      <c r="G36" s="6">
        <v>34639</v>
      </c>
      <c r="H36" s="6">
        <f>4293*20</f>
        <v>85860</v>
      </c>
      <c r="I36" s="6">
        <f>9197*20</f>
        <v>183940</v>
      </c>
      <c r="J36" s="6">
        <f>13310*20</f>
        <v>266200</v>
      </c>
      <c r="K36" s="6">
        <f>14392*20</f>
        <v>287840</v>
      </c>
      <c r="L36" s="6">
        <f>18395*20</f>
        <v>367900</v>
      </c>
      <c r="M36" s="6">
        <f>18905*20</f>
        <v>378100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">
      <c r="A37" s="4" t="s">
        <v>187</v>
      </c>
      <c r="B37" s="5">
        <f>([1]innoculationdensity!$D$53*3.5)/1000</f>
        <v>1088.29</v>
      </c>
      <c r="C37" s="6">
        <f>2456-432</f>
        <v>2024</v>
      </c>
      <c r="D37" s="6">
        <v>1200</v>
      </c>
      <c r="E37" s="6">
        <v>7476</v>
      </c>
      <c r="F37" s="7">
        <v>17066</v>
      </c>
      <c r="G37" s="6">
        <v>34981</v>
      </c>
      <c r="H37" s="6">
        <f>4120*20</f>
        <v>82400</v>
      </c>
      <c r="I37" s="6">
        <f>8893*20</f>
        <v>177860</v>
      </c>
      <c r="J37" s="6">
        <f>13639*20</f>
        <v>272780</v>
      </c>
      <c r="K37" s="6">
        <f>14558*20</f>
        <v>291160</v>
      </c>
      <c r="L37" s="6">
        <f>18388*20</f>
        <v>367760</v>
      </c>
      <c r="M37" s="6">
        <f>18841*20</f>
        <v>376820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9" spans="1:26" x14ac:dyDescent="0.2">
      <c r="A39" s="4" t="s">
        <v>206</v>
      </c>
    </row>
    <row r="40" spans="1:26" x14ac:dyDescent="0.2">
      <c r="A40" s="4" t="s">
        <v>107</v>
      </c>
      <c r="B40" s="7">
        <f>LN(B2)</f>
        <v>7.0392132736018294</v>
      </c>
      <c r="C40" s="7">
        <f t="shared" ref="C40:M40" si="0">LN(C2)</f>
        <v>7.467942332285852</v>
      </c>
      <c r="D40" s="7">
        <f t="shared" si="0"/>
        <v>8.0755826366717205</v>
      </c>
      <c r="E40" s="7">
        <f t="shared" si="0"/>
        <v>8.4738680666778645</v>
      </c>
      <c r="F40" s="7">
        <f t="shared" si="0"/>
        <v>8.9792906490908759</v>
      </c>
      <c r="G40" s="7">
        <f t="shared" si="0"/>
        <v>9.5999470641498892</v>
      </c>
      <c r="H40" s="7">
        <f t="shared" si="0"/>
        <v>10.086766983755195</v>
      </c>
      <c r="I40" s="7"/>
      <c r="J40" s="7">
        <f t="shared" si="0"/>
        <v>11.887106283038626</v>
      </c>
      <c r="K40" s="7">
        <f t="shared" si="0"/>
        <v>12.529966099944527</v>
      </c>
      <c r="L40" s="7">
        <f t="shared" si="0"/>
        <v>12.189435004377151</v>
      </c>
      <c r="M40" s="7">
        <f t="shared" si="0"/>
        <v>12.273544360645186</v>
      </c>
    </row>
    <row r="41" spans="1:26" x14ac:dyDescent="0.2">
      <c r="A41" s="4" t="s">
        <v>108</v>
      </c>
      <c r="B41" s="7">
        <f t="shared" ref="B41:M41" si="1">LN(B3)</f>
        <v>7.0392132736018294</v>
      </c>
      <c r="C41" s="7">
        <f t="shared" si="1"/>
        <v>7.5153445711804361</v>
      </c>
      <c r="D41" s="7">
        <f t="shared" si="1"/>
        <v>8.0897891757893188</v>
      </c>
      <c r="E41" s="7">
        <f t="shared" si="1"/>
        <v>8.4918753834319478</v>
      </c>
      <c r="F41" s="7">
        <f t="shared" si="1"/>
        <v>9.0859102935980065</v>
      </c>
      <c r="G41" s="7">
        <f t="shared" si="1"/>
        <v>9.550875771331766</v>
      </c>
      <c r="H41" s="7">
        <f t="shared" si="1"/>
        <v>10.060234858210652</v>
      </c>
      <c r="I41" s="7"/>
      <c r="J41" s="7">
        <f t="shared" si="1"/>
        <v>11.99966329320713</v>
      </c>
      <c r="K41" s="7">
        <f t="shared" si="1"/>
        <v>12.479148565592592</v>
      </c>
      <c r="L41" s="7">
        <f t="shared" si="1"/>
        <v>12.189333321525876</v>
      </c>
      <c r="M41" s="7">
        <f t="shared" si="1"/>
        <v>12.258380425153518</v>
      </c>
    </row>
    <row r="42" spans="1:26" x14ac:dyDescent="0.2">
      <c r="A42" s="4" t="s">
        <v>109</v>
      </c>
      <c r="B42" s="7">
        <f t="shared" ref="B42:M42" si="2">LN(B4)</f>
        <v>7.0392132736018294</v>
      </c>
      <c r="C42" s="7">
        <f t="shared" si="2"/>
        <v>7.5180641812330782</v>
      </c>
      <c r="D42" s="7">
        <f t="shared" si="2"/>
        <v>7.9909154630913255</v>
      </c>
      <c r="E42" s="7">
        <f t="shared" si="2"/>
        <v>8.5235727983802771</v>
      </c>
      <c r="F42" s="7">
        <f t="shared" si="2"/>
        <v>9.3871467480820279</v>
      </c>
      <c r="G42" s="7">
        <f t="shared" si="2"/>
        <v>9.4754700399574521</v>
      </c>
      <c r="H42" s="7">
        <f t="shared" si="2"/>
        <v>10.069213832980386</v>
      </c>
      <c r="I42" s="7"/>
      <c r="J42" s="7"/>
      <c r="K42" s="7">
        <f t="shared" si="2"/>
        <v>12.469897381451387</v>
      </c>
      <c r="L42" s="7">
        <f t="shared" si="2"/>
        <v>12.182496909001468</v>
      </c>
      <c r="M42" s="7">
        <f t="shared" si="2"/>
        <v>12.240280816859912</v>
      </c>
    </row>
    <row r="43" spans="1:26" x14ac:dyDescent="0.2">
      <c r="A43" s="4" t="s">
        <v>110</v>
      </c>
      <c r="B43" s="7">
        <f t="shared" ref="B43:M43" si="3">LN(B5)</f>
        <v>7.0392132736018294</v>
      </c>
      <c r="C43" s="7">
        <f t="shared" si="3"/>
        <v>7.2772477266314839</v>
      </c>
      <c r="D43" s="7">
        <f t="shared" si="3"/>
        <v>7.5390270558239951</v>
      </c>
      <c r="E43" s="7">
        <f t="shared" si="3"/>
        <v>7.8811822022271016</v>
      </c>
      <c r="F43" s="7">
        <f t="shared" si="3"/>
        <v>8.7266434155984438</v>
      </c>
      <c r="G43" s="7">
        <f t="shared" si="3"/>
        <v>9.0609118584842534</v>
      </c>
      <c r="H43" s="7">
        <f t="shared" si="3"/>
        <v>9.4623434519709448</v>
      </c>
      <c r="I43" s="7"/>
      <c r="J43" s="7">
        <f t="shared" si="3"/>
        <v>11.143599403477937</v>
      </c>
      <c r="K43" s="7">
        <f t="shared" si="3"/>
        <v>11.867518242704636</v>
      </c>
      <c r="L43" s="7">
        <f t="shared" si="3"/>
        <v>11.906317991844123</v>
      </c>
      <c r="M43" s="7">
        <f t="shared" si="3"/>
        <v>12.091895600467774</v>
      </c>
    </row>
    <row r="44" spans="1:26" x14ac:dyDescent="0.2">
      <c r="A44" s="4" t="s">
        <v>111</v>
      </c>
      <c r="B44" s="7">
        <f t="shared" ref="B44:M44" si="4">LN(B6)</f>
        <v>7.0392132736018294</v>
      </c>
      <c r="C44" s="7">
        <f t="shared" si="4"/>
        <v>7.2312870043276156</v>
      </c>
      <c r="D44" s="7">
        <f t="shared" si="4"/>
        <v>7.4922030426187414</v>
      </c>
      <c r="E44" s="7">
        <f t="shared" si="4"/>
        <v>7.8705478445077119</v>
      </c>
      <c r="F44" s="7">
        <f t="shared" si="4"/>
        <v>8.7097950576177485</v>
      </c>
      <c r="G44" s="7">
        <f t="shared" si="4"/>
        <v>9.0071219894692423</v>
      </c>
      <c r="H44" s="7">
        <f t="shared" si="4"/>
        <v>9.4903934172634727</v>
      </c>
      <c r="I44" s="7"/>
      <c r="J44" s="7">
        <f t="shared" si="4"/>
        <v>11.157392725610274</v>
      </c>
      <c r="K44" s="7">
        <f t="shared" si="4"/>
        <v>11.822466871774903</v>
      </c>
      <c r="L44" s="7">
        <f t="shared" si="4"/>
        <v>11.889030417771906</v>
      </c>
      <c r="M44" s="7">
        <f t="shared" si="4"/>
        <v>12.089201693798758</v>
      </c>
    </row>
    <row r="45" spans="1:26" x14ac:dyDescent="0.2">
      <c r="A45" s="4" t="s">
        <v>112</v>
      </c>
      <c r="B45" s="7">
        <f t="shared" ref="B45:M45" si="5">LN(B7)</f>
        <v>7.0392132736018294</v>
      </c>
      <c r="C45" s="7">
        <f t="shared" si="5"/>
        <v>7.2477925817678459</v>
      </c>
      <c r="D45" s="7">
        <f t="shared" si="5"/>
        <v>7.5186072168152522</v>
      </c>
      <c r="E45" s="7">
        <f t="shared" si="5"/>
        <v>7.927324360309794</v>
      </c>
      <c r="F45" s="7">
        <f t="shared" si="5"/>
        <v>8.7212762399917043</v>
      </c>
      <c r="G45" s="7">
        <f t="shared" si="5"/>
        <v>8.9568664708541395</v>
      </c>
      <c r="H45" s="7">
        <f t="shared" si="5"/>
        <v>9.4421661236732266</v>
      </c>
      <c r="I45" s="7"/>
      <c r="J45" s="7"/>
      <c r="K45" s="7">
        <f t="shared" si="5"/>
        <v>11.787978121021867</v>
      </c>
      <c r="L45" s="7">
        <f t="shared" si="5"/>
        <v>12.191872296129032</v>
      </c>
      <c r="M45" s="7">
        <f t="shared" si="5"/>
        <v>12.044964485135417</v>
      </c>
    </row>
    <row r="46" spans="1:26" x14ac:dyDescent="0.2">
      <c r="A46" s="4" t="s">
        <v>113</v>
      </c>
      <c r="B46" s="7">
        <f t="shared" ref="B46:M46" si="6">LN(B8)</f>
        <v>7.0392132736018294</v>
      </c>
      <c r="C46" s="7">
        <f t="shared" si="6"/>
        <v>7.4454175567016874</v>
      </c>
      <c r="D46" s="7">
        <f t="shared" si="6"/>
        <v>7.6357868613955846</v>
      </c>
      <c r="E46" s="7">
        <f t="shared" si="6"/>
        <v>8.1969879272588972</v>
      </c>
      <c r="F46" s="7">
        <f t="shared" si="6"/>
        <v>9.0344381669844118</v>
      </c>
      <c r="G46" s="7">
        <f t="shared" si="6"/>
        <v>9.4304392931041665</v>
      </c>
      <c r="H46" s="7">
        <f t="shared" si="6"/>
        <v>9.8632383106284429</v>
      </c>
      <c r="I46" s="7"/>
      <c r="J46" s="7">
        <f t="shared" si="6"/>
        <v>11.72739147509075</v>
      </c>
      <c r="K46" s="7">
        <f t="shared" si="6"/>
        <v>12.165563102191964</v>
      </c>
      <c r="L46" s="7">
        <f t="shared" si="6"/>
        <v>11.880896368650813</v>
      </c>
      <c r="M46" s="7">
        <f t="shared" si="6"/>
        <v>12.21898887079672</v>
      </c>
    </row>
    <row r="47" spans="1:26" x14ac:dyDescent="0.2">
      <c r="A47" s="4" t="s">
        <v>114</v>
      </c>
      <c r="B47" s="7">
        <f t="shared" ref="B47:M47" si="7">LN(B9)</f>
        <v>7.0392132736018294</v>
      </c>
      <c r="C47" s="7">
        <f t="shared" si="7"/>
        <v>7.3796321526095525</v>
      </c>
      <c r="D47" s="7">
        <f t="shared" si="7"/>
        <v>7.6251071482389001</v>
      </c>
      <c r="E47" s="7">
        <f t="shared" si="7"/>
        <v>8.1420632831041466</v>
      </c>
      <c r="F47" s="7">
        <f t="shared" si="7"/>
        <v>9.0201479208016586</v>
      </c>
      <c r="G47" s="7">
        <f t="shared" si="7"/>
        <v>9.3706719108785226</v>
      </c>
      <c r="H47" s="7">
        <f t="shared" si="7"/>
        <v>9.8409736471468854</v>
      </c>
      <c r="I47" s="7"/>
      <c r="J47" s="7">
        <f t="shared" si="7"/>
        <v>11.76756768334381</v>
      </c>
      <c r="K47" s="7">
        <f t="shared" si="7"/>
        <v>12.261791134286517</v>
      </c>
      <c r="L47" s="7">
        <f t="shared" si="7"/>
        <v>12.171998665196423</v>
      </c>
      <c r="M47" s="7">
        <f t="shared" si="7"/>
        <v>12.209466878598189</v>
      </c>
    </row>
    <row r="48" spans="1:26" x14ac:dyDescent="0.2">
      <c r="A48" s="4" t="s">
        <v>115</v>
      </c>
      <c r="B48" s="7">
        <f t="shared" ref="B48:M48" si="8">LN(B10)</f>
        <v>7.0392132736018294</v>
      </c>
      <c r="C48" s="7">
        <f t="shared" si="8"/>
        <v>7.4018415787438299</v>
      </c>
      <c r="D48" s="7">
        <f t="shared" si="8"/>
        <v>7.6088706291912596</v>
      </c>
      <c r="E48" s="7">
        <f t="shared" si="8"/>
        <v>8.1969879272588972</v>
      </c>
      <c r="F48" s="7">
        <f t="shared" si="8"/>
        <v>9.0283387639931476</v>
      </c>
      <c r="G48" s="7">
        <f t="shared" si="8"/>
        <v>9.3336193881363538</v>
      </c>
      <c r="H48" s="7">
        <f t="shared" si="8"/>
        <v>9.8441090290166287</v>
      </c>
      <c r="I48" s="7"/>
      <c r="J48" s="7"/>
      <c r="K48" s="7">
        <f t="shared" si="8"/>
        <v>12.201261088532952</v>
      </c>
      <c r="L48" s="7">
        <f t="shared" si="8"/>
        <v>12.179317908221353</v>
      </c>
      <c r="M48" s="7">
        <f t="shared" si="8"/>
        <v>12.210562550803026</v>
      </c>
    </row>
    <row r="49" spans="1:19" x14ac:dyDescent="0.2">
      <c r="A49" s="4" t="s">
        <v>116</v>
      </c>
      <c r="B49" s="7">
        <f t="shared" ref="B49:K49" si="9">LN(B11)</f>
        <v>7.0392132736018294</v>
      </c>
      <c r="C49" s="7">
        <f t="shared" si="9"/>
        <v>7.2902928824465967</v>
      </c>
      <c r="D49" s="7">
        <f t="shared" si="9"/>
        <v>7.3349818788718144</v>
      </c>
      <c r="E49" s="7">
        <f t="shared" si="9"/>
        <v>7.3651801260210128</v>
      </c>
      <c r="F49" s="7">
        <f t="shared" si="9"/>
        <v>7.643003635560718</v>
      </c>
      <c r="G49" s="7">
        <f t="shared" si="9"/>
        <v>7.6093665379542115</v>
      </c>
      <c r="H49" s="7">
        <f t="shared" si="9"/>
        <v>7.8001630703929603</v>
      </c>
      <c r="I49" s="7"/>
      <c r="J49" s="7">
        <f t="shared" si="9"/>
        <v>7.8950634980915728</v>
      </c>
      <c r="K49" s="7">
        <f t="shared" si="9"/>
        <v>7.642524134232902</v>
      </c>
      <c r="L49" s="7"/>
      <c r="M49" s="7"/>
    </row>
    <row r="50" spans="1:19" x14ac:dyDescent="0.2">
      <c r="A50" s="4" t="s">
        <v>117</v>
      </c>
      <c r="B50" s="7">
        <f t="shared" ref="B50:K50" si="10">LN(B12)</f>
        <v>7.0392132736018294</v>
      </c>
      <c r="C50" s="7">
        <f t="shared" si="10"/>
        <v>7.2896105214511673</v>
      </c>
      <c r="D50" s="7">
        <f t="shared" si="10"/>
        <v>7.2834482287566313</v>
      </c>
      <c r="E50" s="7">
        <f t="shared" si="10"/>
        <v>7.3883278595771067</v>
      </c>
      <c r="F50" s="7">
        <f t="shared" si="10"/>
        <v>7.6038979685218813</v>
      </c>
      <c r="G50" s="7">
        <f t="shared" si="10"/>
        <v>7.5331588074555631</v>
      </c>
      <c r="H50" s="7">
        <f t="shared" si="10"/>
        <v>7.759614150696903</v>
      </c>
      <c r="I50" s="7"/>
      <c r="J50" s="7">
        <f t="shared" si="10"/>
        <v>7.8894591494045239</v>
      </c>
      <c r="K50" s="7">
        <f t="shared" si="10"/>
        <v>7.6343372356283199</v>
      </c>
      <c r="L50" s="7"/>
      <c r="M50" s="7"/>
    </row>
    <row r="51" spans="1:19" x14ac:dyDescent="0.2">
      <c r="A51" s="4" t="s">
        <v>118</v>
      </c>
      <c r="B51" s="7">
        <f t="shared" ref="B51:K51" si="11">LN(B13)</f>
        <v>7.0392132736018294</v>
      </c>
      <c r="C51" s="7">
        <f t="shared" si="11"/>
        <v>7.2612250919719212</v>
      </c>
      <c r="D51" s="7">
        <f t="shared" si="11"/>
        <v>7.2984451015081468</v>
      </c>
      <c r="E51" s="7">
        <f t="shared" si="11"/>
        <v>7.3349818788718144</v>
      </c>
      <c r="F51" s="7">
        <f t="shared" si="11"/>
        <v>7.6615270813585168</v>
      </c>
      <c r="G51" s="7">
        <f t="shared" si="11"/>
        <v>7.5862963071527201</v>
      </c>
      <c r="H51" s="7">
        <f t="shared" si="11"/>
        <v>7.6838639802564295</v>
      </c>
      <c r="I51" s="7"/>
      <c r="J51" s="7"/>
      <c r="K51" s="7">
        <f t="shared" si="11"/>
        <v>7.6241305856612893</v>
      </c>
      <c r="L51" s="7"/>
      <c r="M51" s="7"/>
    </row>
    <row r="52" spans="1:19" x14ac:dyDescent="0.2">
      <c r="A52" s="4" t="s">
        <v>119</v>
      </c>
      <c r="B52" s="7">
        <f t="shared" ref="B52:K52" si="12">LN(B14)</f>
        <v>7.0392132736018294</v>
      </c>
      <c r="C52" s="7">
        <f t="shared" si="12"/>
        <v>7.0431599159883405</v>
      </c>
      <c r="D52" s="7">
        <f t="shared" si="12"/>
        <v>7.1739583197567942</v>
      </c>
      <c r="E52" s="7">
        <f t="shared" si="12"/>
        <v>7.1316985104669115</v>
      </c>
      <c r="F52" s="7">
        <f t="shared" si="12"/>
        <v>7.3395376954076745</v>
      </c>
      <c r="G52" s="7">
        <f t="shared" si="12"/>
        <v>7.2800082528841878</v>
      </c>
      <c r="H52" s="7">
        <f t="shared" si="12"/>
        <v>7.4024515208182438</v>
      </c>
      <c r="I52" s="7"/>
      <c r="J52" s="7">
        <f t="shared" si="12"/>
        <v>7.3317149697264661</v>
      </c>
      <c r="K52" s="7">
        <f t="shared" si="12"/>
        <v>7.5755846515577927</v>
      </c>
      <c r="L52" s="7"/>
      <c r="M52" s="7"/>
    </row>
    <row r="53" spans="1:19" x14ac:dyDescent="0.2">
      <c r="A53" s="4" t="s">
        <v>120</v>
      </c>
      <c r="B53" s="7">
        <f t="shared" ref="B53:K53" si="13">LN(B15)</f>
        <v>7.0392132736018294</v>
      </c>
      <c r="C53" s="7">
        <f t="shared" si="13"/>
        <v>6.9837899652581346</v>
      </c>
      <c r="D53" s="7">
        <f t="shared" si="13"/>
        <v>7.1785454837636999</v>
      </c>
      <c r="E53" s="7">
        <f t="shared" si="13"/>
        <v>7.091742115095153</v>
      </c>
      <c r="F53" s="7">
        <f t="shared" si="13"/>
        <v>7.3152183897529746</v>
      </c>
      <c r="G53" s="7">
        <f t="shared" si="13"/>
        <v>7.3607399030582776</v>
      </c>
      <c r="H53" s="7">
        <f t="shared" si="13"/>
        <v>7.4042791180372678</v>
      </c>
      <c r="I53" s="7"/>
      <c r="J53" s="7">
        <f t="shared" si="13"/>
        <v>7.4067107301776405</v>
      </c>
      <c r="K53" s="7">
        <f t="shared" si="13"/>
        <v>7.5730172560525464</v>
      </c>
      <c r="L53" s="7"/>
      <c r="M53" s="7"/>
    </row>
    <row r="54" spans="1:19" x14ac:dyDescent="0.2">
      <c r="A54" s="4" t="s">
        <v>121</v>
      </c>
      <c r="B54" s="7">
        <f t="shared" ref="B54:K54" si="14">LN(B16)</f>
        <v>7.0392132736018294</v>
      </c>
      <c r="C54" s="7">
        <f t="shared" si="14"/>
        <v>6.9828627514689421</v>
      </c>
      <c r="D54" s="7">
        <f t="shared" si="14"/>
        <v>7.1483457439000677</v>
      </c>
      <c r="E54" s="7">
        <f t="shared" si="14"/>
        <v>7.0690234265782594</v>
      </c>
      <c r="F54" s="7">
        <f t="shared" si="14"/>
        <v>7.4000095171626921</v>
      </c>
      <c r="G54" s="7">
        <f t="shared" si="14"/>
        <v>7.3178761986264957</v>
      </c>
      <c r="H54" s="7">
        <f t="shared" si="14"/>
        <v>7.4000095171626921</v>
      </c>
      <c r="I54" s="7"/>
      <c r="J54" s="7"/>
      <c r="K54" s="7">
        <f t="shared" si="14"/>
        <v>7.5559050936113463</v>
      </c>
      <c r="L54" s="7"/>
      <c r="M54" s="7"/>
    </row>
    <row r="55" spans="1:19" x14ac:dyDescent="0.2">
      <c r="A55" s="4" t="s">
        <v>122</v>
      </c>
      <c r="B55" s="7">
        <f t="shared" ref="B55:K55" si="15">LN(B17)</f>
        <v>7.0392132736018294</v>
      </c>
      <c r="C55" s="7">
        <f t="shared" si="15"/>
        <v>7.2744795587738711</v>
      </c>
      <c r="D55" s="7">
        <f t="shared" si="15"/>
        <v>7.3932630947638378</v>
      </c>
      <c r="E55" s="7">
        <f t="shared" si="15"/>
        <v>7.4656553101340561</v>
      </c>
      <c r="F55" s="7">
        <f t="shared" si="15"/>
        <v>7.3620105512597336</v>
      </c>
      <c r="G55" s="7">
        <f t="shared" si="15"/>
        <v>7.6113477174036213</v>
      </c>
      <c r="H55" s="7">
        <f t="shared" si="15"/>
        <v>7.7182409519593156</v>
      </c>
      <c r="I55" s="7"/>
      <c r="J55" s="7">
        <f t="shared" si="15"/>
        <v>7.4157769754153939</v>
      </c>
      <c r="K55" s="7">
        <f t="shared" si="15"/>
        <v>8.0995542823763635</v>
      </c>
      <c r="L55" s="7"/>
      <c r="M55" s="7"/>
    </row>
    <row r="56" spans="1:19" x14ac:dyDescent="0.2">
      <c r="A56" s="4" t="s">
        <v>123</v>
      </c>
      <c r="B56" s="7">
        <f t="shared" ref="B56:K56" si="16">LN(B18)</f>
        <v>7.0392132736018294</v>
      </c>
      <c r="C56" s="7">
        <f t="shared" si="16"/>
        <v>7.1724245771248452</v>
      </c>
      <c r="D56" s="7">
        <f t="shared" si="16"/>
        <v>7.3421317305847218</v>
      </c>
      <c r="E56" s="7">
        <f t="shared" si="16"/>
        <v>7.4253578870271513</v>
      </c>
      <c r="F56" s="7">
        <f t="shared" si="16"/>
        <v>7.3238305662023171</v>
      </c>
      <c r="G56" s="7">
        <f t="shared" si="16"/>
        <v>7.6558640176160564</v>
      </c>
      <c r="H56" s="7">
        <f t="shared" si="16"/>
        <v>7.6824824465345056</v>
      </c>
      <c r="I56" s="7"/>
      <c r="J56" s="7">
        <f t="shared" si="16"/>
        <v>7.6736881292677301</v>
      </c>
      <c r="K56" s="7">
        <f t="shared" si="16"/>
        <v>8.1152219725623294</v>
      </c>
      <c r="L56" s="7"/>
      <c r="M56" s="7"/>
    </row>
    <row r="57" spans="1:19" x14ac:dyDescent="0.2">
      <c r="A57" s="4" t="s">
        <v>124</v>
      </c>
      <c r="B57" s="7">
        <f t="shared" ref="B57:K57" si="17">LN(B19)</f>
        <v>7.0392132736018294</v>
      </c>
      <c r="C57" s="7">
        <f t="shared" si="17"/>
        <v>7.1662659741336379</v>
      </c>
      <c r="D57" s="7">
        <f t="shared" si="17"/>
        <v>7.3752557780097545</v>
      </c>
      <c r="E57" s="7">
        <f t="shared" si="17"/>
        <v>7.4097419540809231</v>
      </c>
      <c r="F57" s="7">
        <f t="shared" si="17"/>
        <v>7.3284373528951621</v>
      </c>
      <c r="G57" s="7">
        <f t="shared" si="17"/>
        <v>7.6255950721324535</v>
      </c>
      <c r="H57" s="7">
        <f t="shared" si="17"/>
        <v>7.6778635006782103</v>
      </c>
      <c r="I57" s="7"/>
      <c r="J57" s="7"/>
      <c r="K57" s="7">
        <f t="shared" si="17"/>
        <v>8.0827111342375808</v>
      </c>
      <c r="L57" s="7"/>
      <c r="M57" s="7"/>
    </row>
    <row r="58" spans="1:19" x14ac:dyDescent="0.2">
      <c r="A58" s="4" t="s">
        <v>143</v>
      </c>
      <c r="B58" s="7">
        <f t="shared" ref="B58:M58" si="18">LN(B20)</f>
        <v>7.0561752841004104</v>
      </c>
      <c r="C58" s="7">
        <f t="shared" si="18"/>
        <v>6.692083742506628</v>
      </c>
      <c r="D58" s="7">
        <f t="shared" si="18"/>
        <v>7.1324975516600437</v>
      </c>
      <c r="E58" s="7">
        <f t="shared" si="18"/>
        <v>7.5261789133461461</v>
      </c>
      <c r="F58" s="7">
        <f t="shared" si="18"/>
        <v>7.9476785713015676</v>
      </c>
      <c r="G58" s="7"/>
      <c r="H58" s="7">
        <f t="shared" si="18"/>
        <v>9.144414221860016</v>
      </c>
      <c r="I58" s="7">
        <f t="shared" si="18"/>
        <v>9.3964049150489721</v>
      </c>
      <c r="J58" s="7">
        <f t="shared" si="18"/>
        <v>9.6689038110793621</v>
      </c>
      <c r="K58" s="7">
        <f t="shared" si="18"/>
        <v>9.9873690365168297</v>
      </c>
      <c r="L58" s="7">
        <f t="shared" si="18"/>
        <v>10.473986757787737</v>
      </c>
      <c r="M58" s="7">
        <f t="shared" si="18"/>
        <v>10.962405682660039</v>
      </c>
      <c r="N58" s="7">
        <f t="shared" ref="N58:S58" si="19">LN(N20)</f>
        <v>11.503682883603297</v>
      </c>
      <c r="O58" s="7">
        <f t="shared" si="19"/>
        <v>11.66530314539111</v>
      </c>
      <c r="P58" s="7">
        <f t="shared" si="19"/>
        <v>11.772208062900312</v>
      </c>
      <c r="Q58" s="7">
        <f t="shared" si="19"/>
        <v>11.936623341339452</v>
      </c>
      <c r="R58" s="7">
        <f t="shared" si="19"/>
        <v>12.002976789519742</v>
      </c>
      <c r="S58" s="7">
        <f t="shared" si="19"/>
        <v>11.714232321675263</v>
      </c>
    </row>
    <row r="59" spans="1:19" x14ac:dyDescent="0.2">
      <c r="A59" s="4" t="s">
        <v>144</v>
      </c>
      <c r="B59" s="7">
        <f t="shared" ref="B59:M59" si="20">LN(B21)</f>
        <v>7.0012456220694759</v>
      </c>
      <c r="C59" s="7">
        <f t="shared" si="20"/>
        <v>6.6567265241783913</v>
      </c>
      <c r="D59" s="7">
        <f t="shared" si="20"/>
        <v>7.2548848100773382</v>
      </c>
      <c r="E59" s="7">
        <f t="shared" si="20"/>
        <v>7.4627891574124483</v>
      </c>
      <c r="F59" s="7">
        <f t="shared" si="20"/>
        <v>7.886081401775745</v>
      </c>
      <c r="G59" s="7"/>
      <c r="H59" s="7">
        <f t="shared" si="20"/>
        <v>9.14782646658694</v>
      </c>
      <c r="I59" s="7">
        <f t="shared" si="20"/>
        <v>9.4170292852184314</v>
      </c>
      <c r="J59" s="7">
        <f t="shared" si="20"/>
        <v>9.6474333377646584</v>
      </c>
      <c r="K59" s="7">
        <f t="shared" si="20"/>
        <v>9.9580230851841414</v>
      </c>
      <c r="L59" s="7">
        <f t="shared" si="20"/>
        <v>10.472742448925512</v>
      </c>
      <c r="M59" s="7">
        <f t="shared" si="20"/>
        <v>10.932553245011482</v>
      </c>
      <c r="N59" s="7">
        <f t="shared" ref="N59:S59" si="21">LN(N21)</f>
        <v>11.473976714831654</v>
      </c>
      <c r="O59" s="7">
        <f t="shared" si="21"/>
        <v>11.629463281218181</v>
      </c>
      <c r="P59" s="7">
        <f t="shared" si="21"/>
        <v>11.777901699886371</v>
      </c>
      <c r="Q59" s="7">
        <f t="shared" si="21"/>
        <v>11.935051013971501</v>
      </c>
      <c r="R59" s="7">
        <f t="shared" si="21"/>
        <v>11.994610598989802</v>
      </c>
      <c r="S59" s="7">
        <f t="shared" si="21"/>
        <v>11.706681399389845</v>
      </c>
    </row>
    <row r="60" spans="1:19" x14ac:dyDescent="0.2">
      <c r="A60" s="4" t="s">
        <v>145</v>
      </c>
      <c r="B60" s="7">
        <f t="shared" ref="B60:M60" si="22">LN(B22)</f>
        <v>7.0596176282913827</v>
      </c>
      <c r="C60" s="7">
        <f t="shared" si="22"/>
        <v>6.6528630293533473</v>
      </c>
      <c r="D60" s="7">
        <f t="shared" si="22"/>
        <v>7.0934046258687662</v>
      </c>
      <c r="E60" s="7">
        <f t="shared" si="22"/>
        <v>7.3802557884264601</v>
      </c>
      <c r="F60" s="7">
        <f t="shared" si="22"/>
        <v>7.9255189797869257</v>
      </c>
      <c r="G60" s="7"/>
      <c r="H60" s="7"/>
      <c r="I60" s="7">
        <f t="shared" si="22"/>
        <v>9.4109928854548617</v>
      </c>
      <c r="J60" s="7">
        <f t="shared" si="22"/>
        <v>9.6324659209774541</v>
      </c>
      <c r="K60" s="7">
        <f t="shared" si="22"/>
        <v>9.9658988126575245</v>
      </c>
      <c r="L60" s="7">
        <f t="shared" si="22"/>
        <v>10.460499954601437</v>
      </c>
      <c r="M60" s="7">
        <f t="shared" si="22"/>
        <v>10.905203403958541</v>
      </c>
      <c r="N60" s="7">
        <f t="shared" ref="N60:S60" si="23">LN(N22)</f>
        <v>11.445288816254417</v>
      </c>
      <c r="O60" s="7">
        <f t="shared" si="23"/>
        <v>11.61890578850746</v>
      </c>
      <c r="P60" s="7">
        <f t="shared" si="23"/>
        <v>11.780047623456648</v>
      </c>
      <c r="Q60" s="7">
        <f t="shared" si="23"/>
        <v>11.906183029970649</v>
      </c>
      <c r="R60" s="7">
        <f t="shared" si="23"/>
        <v>11.979924585195665</v>
      </c>
      <c r="S60" s="7">
        <f t="shared" si="23"/>
        <v>11.694413341015606</v>
      </c>
    </row>
    <row r="61" spans="1:19" x14ac:dyDescent="0.2">
      <c r="A61" s="4" t="s">
        <v>146</v>
      </c>
      <c r="B61" s="7">
        <f t="shared" ref="B61:M61" si="24">LN(B23)</f>
        <v>6.4425401664681985</v>
      </c>
      <c r="C61" s="7">
        <f t="shared" si="24"/>
        <v>6.7190131543852596</v>
      </c>
      <c r="D61" s="7">
        <f t="shared" si="24"/>
        <v>7.1236727852046071</v>
      </c>
      <c r="E61" s="7">
        <f t="shared" si="24"/>
        <v>7.3323692059290622</v>
      </c>
      <c r="F61" s="7">
        <f t="shared" si="24"/>
        <v>7.6506445514368968</v>
      </c>
      <c r="G61" s="7"/>
      <c r="H61" s="7">
        <f t="shared" si="24"/>
        <v>8.8050752438706841</v>
      </c>
      <c r="I61" s="7">
        <f t="shared" si="24"/>
        <v>9.3352976113805664</v>
      </c>
      <c r="J61" s="7">
        <f t="shared" si="24"/>
        <v>9.214133170214879</v>
      </c>
      <c r="K61" s="7">
        <f t="shared" si="24"/>
        <v>9.545168400484906</v>
      </c>
      <c r="L61" s="7">
        <f t="shared" si="24"/>
        <v>9.9580230851841414</v>
      </c>
      <c r="M61" s="7">
        <f t="shared" si="24"/>
        <v>10.512682309099187</v>
      </c>
      <c r="N61" s="7">
        <f t="shared" ref="N61:S61" si="25">LN(N23)</f>
        <v>10.953959465876302</v>
      </c>
      <c r="O61" s="7">
        <f t="shared" si="25"/>
        <v>11.304177793939751</v>
      </c>
      <c r="P61" s="7">
        <f t="shared" si="25"/>
        <v>11.711120370920472</v>
      </c>
      <c r="Q61" s="7">
        <f t="shared" si="25"/>
        <v>11.804250892336809</v>
      </c>
      <c r="R61" s="7">
        <f t="shared" si="25"/>
        <v>11.927548510863158</v>
      </c>
      <c r="S61" s="7">
        <f t="shared" si="25"/>
        <v>11.680809973966413</v>
      </c>
    </row>
    <row r="62" spans="1:19" x14ac:dyDescent="0.2">
      <c r="A62" s="4" t="s">
        <v>147</v>
      </c>
      <c r="B62" s="7">
        <f t="shared" ref="B62:M62" si="26">LN(B24)</f>
        <v>6.4630294569206699</v>
      </c>
      <c r="C62" s="7">
        <f t="shared" si="26"/>
        <v>6.6656837177824082</v>
      </c>
      <c r="D62" s="7">
        <f t="shared" si="26"/>
        <v>7.1090621356871724</v>
      </c>
      <c r="E62" s="7">
        <f t="shared" si="26"/>
        <v>7.3205269622727398</v>
      </c>
      <c r="F62" s="7">
        <f t="shared" si="26"/>
        <v>7.6391611716591727</v>
      </c>
      <c r="G62" s="7"/>
      <c r="H62" s="7">
        <f t="shared" si="26"/>
        <v>8.8037246021106217</v>
      </c>
      <c r="I62" s="7">
        <f t="shared" si="26"/>
        <v>9.1953282518556794</v>
      </c>
      <c r="J62" s="7">
        <f t="shared" si="26"/>
        <v>9.2354231523436461</v>
      </c>
      <c r="K62" s="7">
        <f t="shared" si="26"/>
        <v>9.532423871145296</v>
      </c>
      <c r="L62" s="7">
        <f t="shared" si="26"/>
        <v>9.9476958072004482</v>
      </c>
      <c r="M62" s="7">
        <f t="shared" si="26"/>
        <v>10.517618581666662</v>
      </c>
      <c r="N62" s="7">
        <f t="shared" ref="N62:S62" si="27">LN(N24)</f>
        <v>10.925578703296495</v>
      </c>
      <c r="O62" s="7">
        <f t="shared" si="27"/>
        <v>11.306147267742283</v>
      </c>
      <c r="P62" s="7">
        <f t="shared" si="27"/>
        <v>11.691908120498669</v>
      </c>
      <c r="Q62" s="7">
        <f t="shared" si="27"/>
        <v>11.772979370304535</v>
      </c>
      <c r="R62" s="7">
        <f t="shared" si="27"/>
        <v>11.881173185261577</v>
      </c>
      <c r="S62" s="7">
        <f t="shared" si="27"/>
        <v>11.667533183196667</v>
      </c>
    </row>
    <row r="63" spans="1:19" x14ac:dyDescent="0.2">
      <c r="A63" s="4" t="s">
        <v>148</v>
      </c>
      <c r="B63" s="7">
        <f t="shared" ref="B63:M63" si="28">LN(B25)</f>
        <v>6.4645883036899612</v>
      </c>
      <c r="C63" s="7">
        <f t="shared" si="28"/>
        <v>6.6411821697405911</v>
      </c>
      <c r="D63" s="7">
        <f t="shared" si="28"/>
        <v>7.0774980535692311</v>
      </c>
      <c r="E63" s="7">
        <f t="shared" si="28"/>
        <v>7.3330230143864812</v>
      </c>
      <c r="F63" s="7">
        <f t="shared" si="28"/>
        <v>7.6847839435227847</v>
      </c>
      <c r="G63" s="7"/>
      <c r="H63" s="7"/>
      <c r="I63" s="7"/>
      <c r="J63" s="7">
        <f t="shared" si="28"/>
        <v>9.1424897050680087</v>
      </c>
      <c r="K63" s="7">
        <f t="shared" si="28"/>
        <v>9.5751223648088128</v>
      </c>
      <c r="L63" s="7">
        <f t="shared" si="28"/>
        <v>9.9257381614709477</v>
      </c>
      <c r="M63" s="7">
        <f t="shared" si="28"/>
        <v>10.515695790590721</v>
      </c>
      <c r="N63" s="7">
        <f t="shared" ref="N63:S63" si="29">LN(N25)</f>
        <v>10.941287701807481</v>
      </c>
      <c r="O63" s="7">
        <f t="shared" si="29"/>
        <v>11.302698138922565</v>
      </c>
      <c r="P63" s="7">
        <f t="shared" si="29"/>
        <v>11.680809973966413</v>
      </c>
      <c r="Q63" s="7">
        <f t="shared" si="29"/>
        <v>11.779741344740625</v>
      </c>
      <c r="R63" s="7">
        <f t="shared" si="29"/>
        <v>11.875622241227456</v>
      </c>
      <c r="S63" s="7">
        <f t="shared" si="29"/>
        <v>11.658583037392592</v>
      </c>
    </row>
    <row r="64" spans="1:19" x14ac:dyDescent="0.2">
      <c r="A64" s="4" t="s">
        <v>149</v>
      </c>
      <c r="B64" s="7">
        <f t="shared" ref="B64:M64" si="30">LN(B26)</f>
        <v>6.8977049431286357</v>
      </c>
      <c r="C64" s="7">
        <f t="shared" si="30"/>
        <v>6.9782137426306985</v>
      </c>
      <c r="D64" s="7">
        <f t="shared" si="30"/>
        <v>7.2943772992888212</v>
      </c>
      <c r="E64" s="7">
        <f t="shared" si="30"/>
        <v>7.7634463887273624</v>
      </c>
      <c r="F64" s="7">
        <f t="shared" si="30"/>
        <v>7.8363697605451241</v>
      </c>
      <c r="G64" s="7"/>
      <c r="H64" s="7">
        <f t="shared" si="30"/>
        <v>9.041685005946043</v>
      </c>
      <c r="I64" s="7">
        <f t="shared" si="30"/>
        <v>9.3060141220444645</v>
      </c>
      <c r="J64" s="7">
        <f t="shared" si="30"/>
        <v>9.4964962804319164</v>
      </c>
      <c r="K64" s="7">
        <f t="shared" si="30"/>
        <v>9.8613104736369426</v>
      </c>
      <c r="L64" s="7">
        <f t="shared" si="30"/>
        <v>10.28789925144646</v>
      </c>
      <c r="M64" s="7">
        <f t="shared" si="30"/>
        <v>10.785911214898706</v>
      </c>
      <c r="N64" s="7">
        <f t="shared" ref="N64:S64" si="31">LN(N26)</f>
        <v>11.131665045558881</v>
      </c>
      <c r="O64" s="7">
        <f t="shared" si="31"/>
        <v>11.541901573206745</v>
      </c>
      <c r="P64" s="7">
        <f t="shared" si="31"/>
        <v>11.7550870221202</v>
      </c>
      <c r="Q64" s="7">
        <f t="shared" si="31"/>
        <v>11.880065458756725</v>
      </c>
      <c r="R64" s="7">
        <f t="shared" si="31"/>
        <v>11.933870143926779</v>
      </c>
      <c r="S64" s="7">
        <f t="shared" si="31"/>
        <v>11.778668629903255</v>
      </c>
    </row>
    <row r="65" spans="1:28" x14ac:dyDescent="0.2">
      <c r="A65" s="4" t="s">
        <v>150</v>
      </c>
      <c r="B65" s="7">
        <f t="shared" ref="B65:M65" si="32">LN(B27)</f>
        <v>6.8966943316227125</v>
      </c>
      <c r="C65" s="7">
        <f t="shared" si="32"/>
        <v>6.9246123960485599</v>
      </c>
      <c r="D65" s="7">
        <f t="shared" si="32"/>
        <v>7.301147805856032</v>
      </c>
      <c r="E65" s="7">
        <f t="shared" si="32"/>
        <v>7.6577552711348655</v>
      </c>
      <c r="F65" s="7">
        <f t="shared" si="32"/>
        <v>7.8485434824566793</v>
      </c>
      <c r="G65" s="7"/>
      <c r="H65" s="7">
        <f t="shared" si="32"/>
        <v>9.0822797019086643</v>
      </c>
      <c r="I65" s="7">
        <f t="shared" si="32"/>
        <v>9.2685149360272554</v>
      </c>
      <c r="J65" s="7">
        <f t="shared" si="32"/>
        <v>9.5003198034766463</v>
      </c>
      <c r="K65" s="7">
        <f t="shared" si="32"/>
        <v>9.8123586191250265</v>
      </c>
      <c r="L65" s="7">
        <f t="shared" si="32"/>
        <v>10.277461993552922</v>
      </c>
      <c r="M65" s="7">
        <f t="shared" si="32"/>
        <v>10.801634680173994</v>
      </c>
      <c r="N65" s="7">
        <f t="shared" ref="N65:S65" si="33">LN(N27)</f>
        <v>11.146200185177994</v>
      </c>
      <c r="O65" s="7">
        <f t="shared" si="33"/>
        <v>11.531550929093394</v>
      </c>
      <c r="P65" s="7">
        <f t="shared" si="33"/>
        <v>11.751154653702478</v>
      </c>
      <c r="Q65" s="7">
        <f t="shared" si="33"/>
        <v>11.881034786534624</v>
      </c>
      <c r="R65" s="7">
        <f t="shared" si="33"/>
        <v>11.954915347760766</v>
      </c>
      <c r="S65" s="7">
        <f t="shared" si="33"/>
        <v>11.767412632564369</v>
      </c>
    </row>
    <row r="66" spans="1:28" x14ac:dyDescent="0.2">
      <c r="A66" s="4" t="s">
        <v>151</v>
      </c>
      <c r="B66" s="7">
        <f t="shared" ref="B66:M66" si="34">LN(B28)</f>
        <v>6.8875525716646173</v>
      </c>
      <c r="C66" s="7">
        <f t="shared" si="34"/>
        <v>6.9744789110250451</v>
      </c>
      <c r="D66" s="7">
        <f t="shared" si="34"/>
        <v>7.2800082528841878</v>
      </c>
      <c r="E66" s="7">
        <f t="shared" si="34"/>
        <v>7.6943928026294213</v>
      </c>
      <c r="F66" s="7">
        <f t="shared" si="34"/>
        <v>7.8946908504256239</v>
      </c>
      <c r="G66" s="7"/>
      <c r="H66" s="7"/>
      <c r="I66" s="7"/>
      <c r="J66" s="7">
        <f t="shared" si="34"/>
        <v>9.4679239966039308</v>
      </c>
      <c r="K66" s="7">
        <f t="shared" si="34"/>
        <v>9.8348339092190802</v>
      </c>
      <c r="L66" s="7">
        <f t="shared" si="34"/>
        <v>10.253052278679716</v>
      </c>
      <c r="M66" s="7">
        <f t="shared" si="34"/>
        <v>10.816633344266204</v>
      </c>
      <c r="N66" s="7">
        <f t="shared" ref="N66:S66" si="35">LN(N28)</f>
        <v>11.124317473928487</v>
      </c>
      <c r="O66" s="7">
        <f t="shared" si="35"/>
        <v>11.555601739250665</v>
      </c>
      <c r="P66" s="7">
        <f t="shared" si="35"/>
        <v>11.737507980478693</v>
      </c>
      <c r="Q66" s="7">
        <f t="shared" si="35"/>
        <v>11.8894422511225</v>
      </c>
      <c r="R66" s="7">
        <f t="shared" si="35"/>
        <v>11.923046384614587</v>
      </c>
      <c r="S66" s="7">
        <f t="shared" si="35"/>
        <v>11.765705485412745</v>
      </c>
    </row>
    <row r="67" spans="1:28" x14ac:dyDescent="0.2">
      <c r="A67" s="4" t="s">
        <v>179</v>
      </c>
      <c r="B67" s="7">
        <f t="shared" ref="B67:M67" si="36">LN(B29)</f>
        <v>6.9923629360169626</v>
      </c>
      <c r="C67" s="7">
        <f t="shared" si="36"/>
        <v>7.6468313914304824</v>
      </c>
      <c r="D67" s="7">
        <f t="shared" si="36"/>
        <v>7.1451961349971711</v>
      </c>
      <c r="E67" s="7">
        <f t="shared" si="36"/>
        <v>8.898092345579153</v>
      </c>
      <c r="F67" s="7">
        <f t="shared" si="36"/>
        <v>9.8708093901455456</v>
      </c>
      <c r="G67" s="7">
        <f t="shared" si="36"/>
        <v>10.563620718477313</v>
      </c>
      <c r="H67" s="7">
        <f t="shared" si="36"/>
        <v>11.527419911120681</v>
      </c>
      <c r="I67" s="7">
        <f t="shared" si="36"/>
        <v>12.250089530946948</v>
      </c>
      <c r="J67" s="7">
        <f t="shared" si="36"/>
        <v>12.534944644806817</v>
      </c>
      <c r="K67" s="7">
        <f t="shared" si="36"/>
        <v>12.675138335047933</v>
      </c>
      <c r="L67" s="7">
        <f t="shared" si="36"/>
        <v>12.794581271977549</v>
      </c>
      <c r="M67" s="7">
        <f t="shared" si="36"/>
        <v>12.778294358161238</v>
      </c>
    </row>
    <row r="68" spans="1:28" x14ac:dyDescent="0.2">
      <c r="A68" s="4" t="s">
        <v>180</v>
      </c>
      <c r="B68" s="7">
        <f t="shared" ref="B68:M68" si="37">LN(B30)</f>
        <v>6.9923629360169626</v>
      </c>
      <c r="C68" s="7">
        <f t="shared" si="37"/>
        <v>7.755767170102998</v>
      </c>
      <c r="D68" s="7">
        <f t="shared" si="37"/>
        <v>7.1098794630722715</v>
      </c>
      <c r="E68" s="7">
        <f t="shared" si="37"/>
        <v>8.8797507985131254</v>
      </c>
      <c r="F68" s="7">
        <f t="shared" si="37"/>
        <v>9.8660971633175691</v>
      </c>
      <c r="G68" s="7">
        <f t="shared" si="37"/>
        <v>10.560696626290444</v>
      </c>
      <c r="H68" s="7">
        <f t="shared" si="37"/>
        <v>11.492314511066104</v>
      </c>
      <c r="I68" s="7">
        <f t="shared" si="37"/>
        <v>12.223617824745922</v>
      </c>
      <c r="J68" s="7">
        <f t="shared" si="37"/>
        <v>12.493354637960614</v>
      </c>
      <c r="K68" s="7">
        <f t="shared" si="37"/>
        <v>12.643165611318651</v>
      </c>
      <c r="L68" s="7">
        <f t="shared" si="37"/>
        <v>12.765688433465597</v>
      </c>
      <c r="M68" s="7">
        <f t="shared" si="37"/>
        <v>12.801055577302888</v>
      </c>
    </row>
    <row r="69" spans="1:28" x14ac:dyDescent="0.2">
      <c r="A69" s="4" t="s">
        <v>181</v>
      </c>
      <c r="B69" s="7">
        <f t="shared" ref="B69:M69" si="38">LN(B31)</f>
        <v>6.9923629360169626</v>
      </c>
      <c r="C69" s="7">
        <f t="shared" si="38"/>
        <v>7.7471649665203346</v>
      </c>
      <c r="D69" s="7">
        <f t="shared" si="38"/>
        <v>7.1066061377273027</v>
      </c>
      <c r="E69" s="7">
        <f t="shared" si="38"/>
        <v>8.8662995658550177</v>
      </c>
      <c r="F69" s="7">
        <f t="shared" si="38"/>
        <v>9.8337086579282111</v>
      </c>
      <c r="G69" s="7">
        <f t="shared" si="38"/>
        <v>10.542811926398567</v>
      </c>
      <c r="H69" s="7">
        <f t="shared" si="38"/>
        <v>11.511123843023601</v>
      </c>
      <c r="I69" s="7">
        <f t="shared" si="38"/>
        <v>12.230374938053139</v>
      </c>
      <c r="J69" s="7">
        <f t="shared" si="38"/>
        <v>12.506473490389729</v>
      </c>
      <c r="K69" s="7">
        <f t="shared" si="38"/>
        <v>12.650437902595895</v>
      </c>
      <c r="L69" s="7">
        <f t="shared" si="38"/>
        <v>12.790687619266658</v>
      </c>
      <c r="M69" s="7">
        <f t="shared" si="38"/>
        <v>12.803149357339386</v>
      </c>
    </row>
    <row r="70" spans="1:28" x14ac:dyDescent="0.2">
      <c r="A70" s="4" t="s">
        <v>182</v>
      </c>
      <c r="B70" s="7">
        <f t="shared" ref="B70:M70" si="39">LN(B32)</f>
        <v>6.9923629360169626</v>
      </c>
      <c r="C70" s="7">
        <f t="shared" si="39"/>
        <v>7.6582275261613519</v>
      </c>
      <c r="D70" s="7">
        <f t="shared" si="39"/>
        <v>7.1989312406881734</v>
      </c>
      <c r="E70" s="7">
        <f t="shared" si="39"/>
        <v>8.9197206555370592</v>
      </c>
      <c r="F70" s="7">
        <f t="shared" si="39"/>
        <v>9.7898708257491602</v>
      </c>
      <c r="G70" s="7">
        <f t="shared" si="39"/>
        <v>10.494602007530922</v>
      </c>
      <c r="H70" s="7">
        <f t="shared" si="39"/>
        <v>11.49067985602291</v>
      </c>
      <c r="I70" s="7">
        <f t="shared" si="39"/>
        <v>12.236989748164895</v>
      </c>
      <c r="J70" s="7">
        <f t="shared" si="39"/>
        <v>12.535807954212954</v>
      </c>
      <c r="K70" s="7">
        <f t="shared" si="39"/>
        <v>12.615728958256806</v>
      </c>
      <c r="L70" s="7">
        <f t="shared" si="39"/>
        <v>12.784706439301358</v>
      </c>
      <c r="M70" s="7">
        <f t="shared" si="39"/>
        <v>12.84301977640192</v>
      </c>
    </row>
    <row r="71" spans="1:28" x14ac:dyDescent="0.2">
      <c r="A71" s="4" t="s">
        <v>183</v>
      </c>
      <c r="B71" s="7">
        <f t="shared" ref="B71:M71" si="40">LN(B33)</f>
        <v>6.9923629360169626</v>
      </c>
      <c r="C71" s="7">
        <f t="shared" si="40"/>
        <v>7.6113477174036213</v>
      </c>
      <c r="D71" s="7">
        <f t="shared" si="40"/>
        <v>7.0732697174597101</v>
      </c>
      <c r="E71" s="7">
        <f t="shared" si="40"/>
        <v>8.9169084675437951</v>
      </c>
      <c r="F71" s="7">
        <f t="shared" si="40"/>
        <v>9.7796801568080554</v>
      </c>
      <c r="G71" s="7">
        <f t="shared" si="40"/>
        <v>10.496814397813862</v>
      </c>
      <c r="H71" s="7">
        <f t="shared" si="40"/>
        <v>11.441859016536368</v>
      </c>
      <c r="I71" s="7">
        <f t="shared" si="40"/>
        <v>12.169719816064376</v>
      </c>
      <c r="J71" s="7">
        <f t="shared" si="40"/>
        <v>12.517300331556969</v>
      </c>
      <c r="K71" s="7">
        <f t="shared" si="40"/>
        <v>12.592083065804204</v>
      </c>
      <c r="L71" s="7">
        <f t="shared" si="40"/>
        <v>12.769623537919045</v>
      </c>
      <c r="M71" s="7">
        <f t="shared" si="40"/>
        <v>12.772976099515869</v>
      </c>
    </row>
    <row r="72" spans="1:28" x14ac:dyDescent="0.2">
      <c r="A72" s="4" t="s">
        <v>184</v>
      </c>
      <c r="B72" s="7">
        <f t="shared" ref="B72:M72" si="41">LN(B34)</f>
        <v>6.9923629360169626</v>
      </c>
      <c r="C72" s="7">
        <f t="shared" si="41"/>
        <v>7.7514753180214564</v>
      </c>
      <c r="D72" s="7">
        <f t="shared" si="41"/>
        <v>7.0791843946096682</v>
      </c>
      <c r="E72" s="7">
        <f t="shared" si="41"/>
        <v>8.908424139496578</v>
      </c>
      <c r="F72" s="7">
        <f t="shared" si="41"/>
        <v>9.7848729211998862</v>
      </c>
      <c r="G72" s="7">
        <f t="shared" si="41"/>
        <v>10.496786773122912</v>
      </c>
      <c r="H72" s="7">
        <f t="shared" si="41"/>
        <v>11.460368214231552</v>
      </c>
      <c r="I72" s="7">
        <f t="shared" si="41"/>
        <v>12.240280816859912</v>
      </c>
      <c r="J72" s="7">
        <f t="shared" si="41"/>
        <v>12.512453795414439</v>
      </c>
      <c r="K72" s="7">
        <f t="shared" si="41"/>
        <v>12.620497495009809</v>
      </c>
      <c r="L72" s="7">
        <f t="shared" si="41"/>
        <v>12.758807672373374</v>
      </c>
      <c r="M72" s="7">
        <f t="shared" si="41"/>
        <v>12.800172672488884</v>
      </c>
    </row>
    <row r="73" spans="1:28" x14ac:dyDescent="0.2">
      <c r="A73" s="4" t="s">
        <v>185</v>
      </c>
      <c r="B73" s="7">
        <f t="shared" ref="B73:M73" si="42">LN(B35)</f>
        <v>6.9923629360169626</v>
      </c>
      <c r="C73" s="7">
        <f t="shared" si="42"/>
        <v>7.7587605441576626</v>
      </c>
      <c r="D73" s="7">
        <f t="shared" si="42"/>
        <v>7.0457765768795113</v>
      </c>
      <c r="E73" s="7">
        <f t="shared" si="42"/>
        <v>8.9139538588942546</v>
      </c>
      <c r="F73" s="7">
        <f t="shared" si="42"/>
        <v>9.7513265586370252</v>
      </c>
      <c r="G73" s="7">
        <f t="shared" si="42"/>
        <v>10.446509274518435</v>
      </c>
      <c r="H73" s="7">
        <f t="shared" si="42"/>
        <v>11.366511446514693</v>
      </c>
      <c r="I73" s="7">
        <f t="shared" si="42"/>
        <v>12.158666523132903</v>
      </c>
      <c r="J73" s="7">
        <f t="shared" si="42"/>
        <v>12.554614606238717</v>
      </c>
      <c r="K73" s="7">
        <f t="shared" si="42"/>
        <v>12.587859626283761</v>
      </c>
      <c r="L73" s="7">
        <f t="shared" si="42"/>
        <v>12.844869231340038</v>
      </c>
      <c r="M73" s="7">
        <f t="shared" si="42"/>
        <v>12.823364173786583</v>
      </c>
    </row>
    <row r="74" spans="1:28" x14ac:dyDescent="0.2">
      <c r="A74" s="4" t="s">
        <v>186</v>
      </c>
      <c r="B74" s="7">
        <f t="shared" ref="B74:M74" si="43">LN(B36)</f>
        <v>6.9923629360169626</v>
      </c>
      <c r="C74" s="7">
        <f t="shared" si="43"/>
        <v>7.5908521236885811</v>
      </c>
      <c r="D74" s="7">
        <f t="shared" si="43"/>
        <v>7.0604763659998007</v>
      </c>
      <c r="E74" s="7">
        <f t="shared" si="43"/>
        <v>8.9138193508571977</v>
      </c>
      <c r="F74" s="7">
        <f t="shared" si="43"/>
        <v>9.7451949735415351</v>
      </c>
      <c r="G74" s="7">
        <f t="shared" si="43"/>
        <v>10.452735493899395</v>
      </c>
      <c r="H74" s="7">
        <f t="shared" si="43"/>
        <v>11.360473341778551</v>
      </c>
      <c r="I74" s="7">
        <f t="shared" si="43"/>
        <v>12.122364896456689</v>
      </c>
      <c r="J74" s="7">
        <f t="shared" si="43"/>
        <v>12.492003184943147</v>
      </c>
      <c r="K74" s="7">
        <f t="shared" si="43"/>
        <v>12.570160049184359</v>
      </c>
      <c r="L74" s="7">
        <f t="shared" si="43"/>
        <v>12.815566441092866</v>
      </c>
      <c r="M74" s="7">
        <f t="shared" si="43"/>
        <v>12.842913989879024</v>
      </c>
    </row>
    <row r="75" spans="1:28" x14ac:dyDescent="0.2">
      <c r="A75" s="4" t="s">
        <v>187</v>
      </c>
      <c r="B75" s="7">
        <f t="shared" ref="B75:M75" si="44">LN(B37)</f>
        <v>6.9923629360169626</v>
      </c>
      <c r="C75" s="7">
        <f t="shared" si="44"/>
        <v>7.6128310304073565</v>
      </c>
      <c r="D75" s="7">
        <f t="shared" si="44"/>
        <v>7.0900768357760917</v>
      </c>
      <c r="E75" s="7">
        <f t="shared" si="44"/>
        <v>8.919453168575453</v>
      </c>
      <c r="F75" s="7">
        <f t="shared" si="44"/>
        <v>9.7448434590965309</v>
      </c>
      <c r="G75" s="7">
        <f t="shared" si="44"/>
        <v>10.462560335928407</v>
      </c>
      <c r="H75" s="7">
        <f t="shared" si="44"/>
        <v>11.319340715897564</v>
      </c>
      <c r="I75" s="7">
        <f t="shared" si="44"/>
        <v>12.088752002953632</v>
      </c>
      <c r="J75" s="7">
        <f t="shared" si="44"/>
        <v>12.516420888480866</v>
      </c>
      <c r="K75" s="7">
        <f t="shared" si="44"/>
        <v>12.581628223232194</v>
      </c>
      <c r="L75" s="7">
        <f t="shared" si="44"/>
        <v>12.815185830480109</v>
      </c>
      <c r="M75" s="7">
        <f t="shared" si="44"/>
        <v>12.839522898831991</v>
      </c>
    </row>
    <row r="78" spans="1:28" s="25" customFormat="1" ht="16" x14ac:dyDescent="0.2">
      <c r="A78" s="24" t="s">
        <v>219</v>
      </c>
      <c r="B78" s="25">
        <v>0</v>
      </c>
      <c r="C78" s="25">
        <v>2</v>
      </c>
      <c r="D78" s="25">
        <v>4</v>
      </c>
      <c r="E78" s="25">
        <v>6</v>
      </c>
      <c r="F78" s="25">
        <v>8</v>
      </c>
      <c r="G78" s="25">
        <v>10</v>
      </c>
      <c r="H78" s="25">
        <v>12</v>
      </c>
      <c r="I78" s="25">
        <v>14</v>
      </c>
      <c r="J78" s="25">
        <v>16</v>
      </c>
      <c r="K78" s="25">
        <v>18</v>
      </c>
      <c r="L78" s="25">
        <v>20</v>
      </c>
      <c r="M78" s="25">
        <v>22</v>
      </c>
      <c r="N78" s="25">
        <v>24</v>
      </c>
      <c r="O78" s="25">
        <v>26</v>
      </c>
      <c r="P78" s="25">
        <v>28</v>
      </c>
      <c r="Q78" s="25">
        <v>30</v>
      </c>
      <c r="R78" s="25">
        <v>32</v>
      </c>
      <c r="S78" s="25">
        <v>34</v>
      </c>
      <c r="Y78" s="20" t="s">
        <v>290</v>
      </c>
      <c r="Z78" s="21" t="s">
        <v>291</v>
      </c>
      <c r="AA78" s="21" t="s">
        <v>292</v>
      </c>
      <c r="AB78" s="21" t="s">
        <v>293</v>
      </c>
    </row>
    <row r="79" spans="1:28" s="10" customFormat="1" x14ac:dyDescent="0.2">
      <c r="A79" s="9" t="s">
        <v>255</v>
      </c>
      <c r="B79" s="11">
        <f>AVERAGE(B40:B42)</f>
        <v>7.0392132736018285</v>
      </c>
      <c r="C79" s="11">
        <f t="shared" ref="C79:M79" si="45">AVERAGE(C40:C42)</f>
        <v>7.5004503615664548</v>
      </c>
      <c r="D79" s="11">
        <f t="shared" si="45"/>
        <v>8.0520957585174546</v>
      </c>
      <c r="E79" s="11">
        <f t="shared" si="45"/>
        <v>8.4964387494966971</v>
      </c>
      <c r="F79" s="11">
        <f t="shared" si="45"/>
        <v>9.1507825635903028</v>
      </c>
      <c r="G79" s="11">
        <f t="shared" si="45"/>
        <v>9.5420976251463685</v>
      </c>
      <c r="H79" s="11">
        <f t="shared" si="45"/>
        <v>10.072071891648745</v>
      </c>
      <c r="I79" s="11"/>
      <c r="J79" s="11">
        <f t="shared" si="45"/>
        <v>11.943384788122877</v>
      </c>
      <c r="K79" s="11">
        <f t="shared" si="45"/>
        <v>12.493004015662835</v>
      </c>
      <c r="L79" s="11">
        <f t="shared" si="45"/>
        <v>12.187088411634832</v>
      </c>
      <c r="M79" s="11">
        <f t="shared" si="45"/>
        <v>12.257401867552872</v>
      </c>
      <c r="O79" s="12">
        <v>0.32519999999999999</v>
      </c>
      <c r="Y79" s="6">
        <v>4</v>
      </c>
      <c r="Z79" s="6">
        <v>18</v>
      </c>
      <c r="AA79" s="6">
        <v>0.32519999999999999</v>
      </c>
      <c r="AB79" s="6">
        <v>0.98273999999999995</v>
      </c>
    </row>
    <row r="80" spans="1:28" s="10" customFormat="1" x14ac:dyDescent="0.2">
      <c r="A80" s="9" t="s">
        <v>256</v>
      </c>
      <c r="B80" s="11">
        <f t="shared" ref="B80:M80" si="46">AVERAGE(B43:B45)</f>
        <v>7.0392132736018285</v>
      </c>
      <c r="C80" s="11">
        <f t="shared" si="46"/>
        <v>7.2521091042423151</v>
      </c>
      <c r="D80" s="11">
        <f t="shared" si="46"/>
        <v>7.5166124384193296</v>
      </c>
      <c r="E80" s="11">
        <f t="shared" si="46"/>
        <v>7.8930181356815359</v>
      </c>
      <c r="F80" s="11">
        <f t="shared" si="46"/>
        <v>8.719238237735965</v>
      </c>
      <c r="G80" s="11">
        <f t="shared" si="46"/>
        <v>9.0083001062692105</v>
      </c>
      <c r="H80" s="11">
        <f t="shared" si="46"/>
        <v>9.4649676643025487</v>
      </c>
      <c r="I80" s="11"/>
      <c r="J80" s="11">
        <f t="shared" si="46"/>
        <v>11.150496064544106</v>
      </c>
      <c r="K80" s="11">
        <f t="shared" si="46"/>
        <v>11.825987745167135</v>
      </c>
      <c r="L80" s="11">
        <f t="shared" si="46"/>
        <v>11.995740235248354</v>
      </c>
      <c r="M80" s="11">
        <f t="shared" si="46"/>
        <v>12.075353926467315</v>
      </c>
      <c r="O80" s="12">
        <v>0.30980000000000002</v>
      </c>
      <c r="P80" s="12">
        <f>AVERAGE(O79:O81)</f>
        <v>0.3226</v>
      </c>
      <c r="Q80" s="12">
        <f>STDEV(O79:O81)</f>
        <v>1.1718361660232183E-2</v>
      </c>
      <c r="Y80" s="6">
        <v>4</v>
      </c>
      <c r="Z80" s="6">
        <v>18</v>
      </c>
      <c r="AA80" s="6">
        <v>0.30980000000000002</v>
      </c>
      <c r="AB80" s="6">
        <v>0.98394999999999999</v>
      </c>
    </row>
    <row r="81" spans="1:28" s="10" customFormat="1" x14ac:dyDescent="0.2">
      <c r="A81" s="9" t="s">
        <v>257</v>
      </c>
      <c r="B81" s="11">
        <f t="shared" ref="B81:L81" si="47">AVERAGE(B46:B48)</f>
        <v>7.0392132736018285</v>
      </c>
      <c r="C81" s="11">
        <f t="shared" si="47"/>
        <v>7.4089637626850235</v>
      </c>
      <c r="D81" s="11">
        <f t="shared" si="47"/>
        <v>7.6232548796085808</v>
      </c>
      <c r="E81" s="11">
        <f t="shared" si="47"/>
        <v>8.1786797125406476</v>
      </c>
      <c r="F81" s="11">
        <f t="shared" si="47"/>
        <v>9.0276416172597393</v>
      </c>
      <c r="G81" s="11">
        <f t="shared" si="47"/>
        <v>9.3782435307063476</v>
      </c>
      <c r="H81" s="11">
        <f t="shared" si="47"/>
        <v>9.8494403289306529</v>
      </c>
      <c r="I81" s="11"/>
      <c r="J81" s="11">
        <f t="shared" si="47"/>
        <v>11.747479579217281</v>
      </c>
      <c r="K81" s="11">
        <f t="shared" si="47"/>
        <v>12.209538441670476</v>
      </c>
      <c r="L81" s="11">
        <f t="shared" si="47"/>
        <v>12.077404314022862</v>
      </c>
      <c r="M81" s="11">
        <f>AVERAGE(M46:M48)</f>
        <v>12.213006100065977</v>
      </c>
      <c r="O81" s="12">
        <v>0.33279999999999998</v>
      </c>
      <c r="Y81" s="6">
        <v>4</v>
      </c>
      <c r="Z81" s="6">
        <v>18</v>
      </c>
      <c r="AA81" s="6">
        <v>0.33279999999999998</v>
      </c>
      <c r="AB81" s="6">
        <v>0.98717999999999995</v>
      </c>
    </row>
    <row r="82" spans="1:28" s="10" customFormat="1" x14ac:dyDescent="0.2">
      <c r="A82" s="9" t="s">
        <v>258</v>
      </c>
      <c r="B82" s="11">
        <f t="shared" ref="B82:K82" si="48">AVERAGE(B49:B51)</f>
        <v>7.0392132736018285</v>
      </c>
      <c r="C82" s="11">
        <f t="shared" si="48"/>
        <v>7.2803761652898942</v>
      </c>
      <c r="D82" s="11">
        <f t="shared" si="48"/>
        <v>7.3056250697121969</v>
      </c>
      <c r="E82" s="11">
        <f t="shared" si="48"/>
        <v>7.3628299548233116</v>
      </c>
      <c r="F82" s="11">
        <f t="shared" si="48"/>
        <v>7.6361428951470387</v>
      </c>
      <c r="G82" s="11">
        <f t="shared" si="48"/>
        <v>7.5762738841874979</v>
      </c>
      <c r="H82" s="11">
        <f t="shared" si="48"/>
        <v>7.7478804004487642</v>
      </c>
      <c r="I82" s="11"/>
      <c r="J82" s="11">
        <f t="shared" si="48"/>
        <v>7.8922613237480483</v>
      </c>
      <c r="K82" s="11">
        <f t="shared" si="48"/>
        <v>7.633663985174171</v>
      </c>
      <c r="L82" s="11"/>
      <c r="M82" s="11"/>
      <c r="Y82" s="6"/>
      <c r="Z82" s="6"/>
      <c r="AA82" s="6"/>
      <c r="AB82" s="6"/>
    </row>
    <row r="83" spans="1:28" s="10" customFormat="1" x14ac:dyDescent="0.2">
      <c r="A83" s="9" t="s">
        <v>259</v>
      </c>
      <c r="B83" s="11">
        <f t="shared" ref="B83:K83" si="49">AVERAGE(B52:B54)</f>
        <v>7.0392132736018285</v>
      </c>
      <c r="C83" s="11">
        <f t="shared" si="49"/>
        <v>7.0032708775718051</v>
      </c>
      <c r="D83" s="11">
        <f t="shared" si="49"/>
        <v>7.1669498491401882</v>
      </c>
      <c r="E83" s="11">
        <f t="shared" si="49"/>
        <v>7.0974880173801083</v>
      </c>
      <c r="F83" s="11">
        <f t="shared" si="49"/>
        <v>7.3515885341077807</v>
      </c>
      <c r="G83" s="11">
        <f t="shared" si="49"/>
        <v>7.3195414515229871</v>
      </c>
      <c r="H83" s="11">
        <f t="shared" si="49"/>
        <v>7.4022467186727354</v>
      </c>
      <c r="I83" s="11"/>
      <c r="J83" s="11">
        <f t="shared" si="49"/>
        <v>7.3692128499520528</v>
      </c>
      <c r="K83" s="11">
        <f t="shared" si="49"/>
        <v>7.5681690004072282</v>
      </c>
      <c r="L83" s="11"/>
      <c r="M83" s="11"/>
      <c r="Y83" s="6"/>
      <c r="Z83" s="6"/>
      <c r="AA83" s="6"/>
      <c r="AB83" s="6"/>
    </row>
    <row r="84" spans="1:28" s="10" customFormat="1" x14ac:dyDescent="0.2">
      <c r="A84" s="9" t="s">
        <v>260</v>
      </c>
      <c r="B84" s="11">
        <f t="shared" ref="B84:K84" si="50">AVERAGE(B55:B57)</f>
        <v>7.0392132736018285</v>
      </c>
      <c r="C84" s="11">
        <f t="shared" si="50"/>
        <v>7.2043900366774514</v>
      </c>
      <c r="D84" s="11">
        <f t="shared" si="50"/>
        <v>7.3702168677861053</v>
      </c>
      <c r="E84" s="11">
        <f t="shared" si="50"/>
        <v>7.4335850504140426</v>
      </c>
      <c r="F84" s="11">
        <f t="shared" si="50"/>
        <v>7.3380928234524037</v>
      </c>
      <c r="G84" s="11">
        <f t="shared" si="50"/>
        <v>7.6309356023840449</v>
      </c>
      <c r="H84" s="11">
        <f t="shared" si="50"/>
        <v>7.6928622997240099</v>
      </c>
      <c r="I84" s="11"/>
      <c r="J84" s="11">
        <f t="shared" si="50"/>
        <v>7.5447325523415625</v>
      </c>
      <c r="K84" s="11">
        <f t="shared" si="50"/>
        <v>8.0991624630587573</v>
      </c>
      <c r="L84" s="11"/>
      <c r="M84" s="11"/>
      <c r="Y84" s="6"/>
      <c r="Z84" s="6"/>
      <c r="AA84" s="6"/>
      <c r="AB84" s="6"/>
    </row>
    <row r="85" spans="1:28" s="10" customFormat="1" x14ac:dyDescent="0.2">
      <c r="A85" s="9" t="s">
        <v>261</v>
      </c>
      <c r="B85" s="11">
        <f t="shared" ref="B85:M85" si="51">AVERAGE(B58:B60)</f>
        <v>7.039012844820423</v>
      </c>
      <c r="C85" s="11">
        <f t="shared" si="51"/>
        <v>6.6672244320127882</v>
      </c>
      <c r="D85" s="11">
        <f t="shared" si="51"/>
        <v>7.1602623292020491</v>
      </c>
      <c r="E85" s="11">
        <f t="shared" si="51"/>
        <v>7.4564079530616851</v>
      </c>
      <c r="F85" s="11">
        <f t="shared" si="51"/>
        <v>7.9197596509547461</v>
      </c>
      <c r="G85" s="11"/>
      <c r="H85" s="11">
        <f t="shared" si="51"/>
        <v>9.146120344223478</v>
      </c>
      <c r="I85" s="11">
        <f t="shared" si="51"/>
        <v>9.4081423619074211</v>
      </c>
      <c r="J85" s="11">
        <f t="shared" si="51"/>
        <v>9.6496010232738243</v>
      </c>
      <c r="K85" s="11">
        <f t="shared" si="51"/>
        <v>9.9704303114528319</v>
      </c>
      <c r="L85" s="11">
        <f t="shared" si="51"/>
        <v>10.469076387104897</v>
      </c>
      <c r="M85" s="11">
        <f t="shared" si="51"/>
        <v>10.933387443876688</v>
      </c>
      <c r="N85" s="11">
        <f t="shared" ref="N85:S85" si="52">AVERAGE(N58:N60)</f>
        <v>11.474316138229788</v>
      </c>
      <c r="O85" s="11">
        <f t="shared" si="52"/>
        <v>11.637890738372251</v>
      </c>
      <c r="P85" s="11">
        <f t="shared" si="52"/>
        <v>11.776719128747777</v>
      </c>
      <c r="Q85" s="11">
        <f t="shared" si="52"/>
        <v>11.925952461760533</v>
      </c>
      <c r="R85" s="11">
        <f t="shared" si="52"/>
        <v>11.992503991235068</v>
      </c>
      <c r="S85" s="11">
        <f t="shared" si="52"/>
        <v>11.705109020693572</v>
      </c>
      <c r="U85" s="12">
        <v>0.1971</v>
      </c>
      <c r="Y85" s="6">
        <v>2</v>
      </c>
      <c r="Z85" s="6">
        <v>30</v>
      </c>
      <c r="AA85" s="6">
        <v>0.1971</v>
      </c>
      <c r="AB85" s="6">
        <v>0.98643999999999998</v>
      </c>
    </row>
    <row r="86" spans="1:28" s="10" customFormat="1" x14ac:dyDescent="0.2">
      <c r="A86" s="9" t="s">
        <v>262</v>
      </c>
      <c r="B86" s="11">
        <f t="shared" ref="B86:M86" si="53">AVERAGE(B61:B63)</f>
        <v>6.4567193090262762</v>
      </c>
      <c r="C86" s="11">
        <f t="shared" si="53"/>
        <v>6.6752930139694193</v>
      </c>
      <c r="D86" s="11">
        <f t="shared" si="53"/>
        <v>7.1034109914870029</v>
      </c>
      <c r="E86" s="11">
        <f t="shared" si="53"/>
        <v>7.3286397275294277</v>
      </c>
      <c r="F86" s="11">
        <f t="shared" si="53"/>
        <v>7.6581965555396181</v>
      </c>
      <c r="G86" s="11"/>
      <c r="H86" s="11">
        <f t="shared" si="53"/>
        <v>8.8043999229906529</v>
      </c>
      <c r="I86" s="11">
        <f t="shared" si="53"/>
        <v>9.2653129316181229</v>
      </c>
      <c r="J86" s="11">
        <f t="shared" si="53"/>
        <v>9.1973486758755119</v>
      </c>
      <c r="K86" s="11">
        <f t="shared" si="53"/>
        <v>9.5509048788130055</v>
      </c>
      <c r="L86" s="11">
        <f t="shared" si="53"/>
        <v>9.9438190179518458</v>
      </c>
      <c r="M86" s="11">
        <f t="shared" si="53"/>
        <v>10.515332227118856</v>
      </c>
      <c r="N86" s="11">
        <f t="shared" ref="N86:S86" si="54">AVERAGE(N61:N63)</f>
        <v>10.94027529032676</v>
      </c>
      <c r="O86" s="11">
        <f t="shared" si="54"/>
        <v>11.304341066868199</v>
      </c>
      <c r="P86" s="11">
        <f t="shared" si="54"/>
        <v>11.694612821795184</v>
      </c>
      <c r="Q86" s="11">
        <f t="shared" si="54"/>
        <v>11.785657202460655</v>
      </c>
      <c r="R86" s="11">
        <f t="shared" si="54"/>
        <v>11.89478131245073</v>
      </c>
      <c r="S86" s="11">
        <f t="shared" si="54"/>
        <v>11.668975398185225</v>
      </c>
      <c r="U86" s="12">
        <v>0.189</v>
      </c>
      <c r="V86" s="12">
        <f>AVERAGE(U85:U87)</f>
        <v>0.19033333333333333</v>
      </c>
      <c r="W86" s="12">
        <f>STDEV(U85:U87)</f>
        <v>6.2083277404896458E-3</v>
      </c>
      <c r="Y86" s="6">
        <v>2</v>
      </c>
      <c r="Z86" s="6">
        <v>30</v>
      </c>
      <c r="AA86" s="6">
        <v>0.189</v>
      </c>
      <c r="AB86" s="6">
        <v>0.99182999999999999</v>
      </c>
    </row>
    <row r="87" spans="1:28" s="10" customFormat="1" x14ac:dyDescent="0.2">
      <c r="A87" s="9" t="s">
        <v>263</v>
      </c>
      <c r="B87" s="11">
        <f t="shared" ref="B87:M87" si="55">AVERAGE(B64:B66)</f>
        <v>6.8939839488053218</v>
      </c>
      <c r="C87" s="11">
        <f t="shared" si="55"/>
        <v>6.9591016832347679</v>
      </c>
      <c r="D87" s="11">
        <f t="shared" si="55"/>
        <v>7.2918444526763473</v>
      </c>
      <c r="E87" s="11">
        <f t="shared" si="55"/>
        <v>7.7051981541638837</v>
      </c>
      <c r="F87" s="11">
        <f t="shared" si="55"/>
        <v>7.8598680311424758</v>
      </c>
      <c r="G87" s="11"/>
      <c r="H87" s="11">
        <f t="shared" si="55"/>
        <v>9.0619823539273536</v>
      </c>
      <c r="I87" s="11">
        <f t="shared" si="55"/>
        <v>9.2872645290358591</v>
      </c>
      <c r="J87" s="11">
        <f t="shared" si="55"/>
        <v>9.4882466935041645</v>
      </c>
      <c r="K87" s="11">
        <f t="shared" si="55"/>
        <v>9.8361676673270164</v>
      </c>
      <c r="L87" s="11">
        <f t="shared" si="55"/>
        <v>10.272804507893033</v>
      </c>
      <c r="M87" s="11">
        <f t="shared" si="55"/>
        <v>10.801393079779634</v>
      </c>
      <c r="N87" s="11">
        <f t="shared" ref="N87:S87" si="56">AVERAGE(N64:N66)</f>
        <v>11.134060901555122</v>
      </c>
      <c r="O87" s="11">
        <f t="shared" si="56"/>
        <v>11.543018080516935</v>
      </c>
      <c r="P87" s="11">
        <f t="shared" si="56"/>
        <v>11.747916552100458</v>
      </c>
      <c r="Q87" s="11">
        <f t="shared" si="56"/>
        <v>11.883514165471283</v>
      </c>
      <c r="R87" s="11">
        <f t="shared" si="56"/>
        <v>11.93727729210071</v>
      </c>
      <c r="S87" s="11">
        <f t="shared" si="56"/>
        <v>11.77059558262679</v>
      </c>
      <c r="U87" s="12">
        <v>0.18490000000000001</v>
      </c>
      <c r="Y87" s="6">
        <v>2</v>
      </c>
      <c r="Z87" s="6">
        <v>30</v>
      </c>
      <c r="AA87" s="6">
        <v>0.18490000000000001</v>
      </c>
      <c r="AB87" s="6">
        <v>0.99331000000000003</v>
      </c>
    </row>
    <row r="88" spans="1:28" s="10" customFormat="1" x14ac:dyDescent="0.2">
      <c r="A88" s="9" t="s">
        <v>264</v>
      </c>
      <c r="B88" s="11">
        <f t="shared" ref="B88:M88" si="57">AVERAGE(B67:B69)</f>
        <v>6.9923629360169626</v>
      </c>
      <c r="C88" s="11">
        <f t="shared" si="57"/>
        <v>7.7165878426846044</v>
      </c>
      <c r="D88" s="11"/>
      <c r="E88" s="11">
        <f t="shared" si="57"/>
        <v>8.8813809033157654</v>
      </c>
      <c r="F88" s="11">
        <f t="shared" si="57"/>
        <v>9.856871737130442</v>
      </c>
      <c r="G88" s="11">
        <f t="shared" si="57"/>
        <v>10.555709757055441</v>
      </c>
      <c r="H88" s="11">
        <f t="shared" si="57"/>
        <v>11.510286088403461</v>
      </c>
      <c r="I88" s="11">
        <f t="shared" si="57"/>
        <v>12.234694097915337</v>
      </c>
      <c r="J88" s="11">
        <f t="shared" si="57"/>
        <v>12.51159092438572</v>
      </c>
      <c r="K88" s="11">
        <f t="shared" si="57"/>
        <v>12.656247282987493</v>
      </c>
      <c r="L88" s="11">
        <f t="shared" si="57"/>
        <v>12.783652441569934</v>
      </c>
      <c r="M88" s="11">
        <f t="shared" si="57"/>
        <v>12.794166430934505</v>
      </c>
      <c r="O88" s="12">
        <v>0.36570000000000003</v>
      </c>
      <c r="Y88" s="6">
        <v>2</v>
      </c>
      <c r="Z88" s="6">
        <v>16</v>
      </c>
      <c r="AA88" s="6">
        <v>0.36570000000000003</v>
      </c>
      <c r="AB88" s="6">
        <v>0.98912999999999995</v>
      </c>
    </row>
    <row r="89" spans="1:28" s="10" customFormat="1" x14ac:dyDescent="0.2">
      <c r="A89" s="9" t="s">
        <v>265</v>
      </c>
      <c r="B89" s="11">
        <f t="shared" ref="B89:M89" si="58">AVERAGE(B70:B72)</f>
        <v>6.9923629360169626</v>
      </c>
      <c r="C89" s="11">
        <f t="shared" si="58"/>
        <v>7.673683520528809</v>
      </c>
      <c r="D89" s="11"/>
      <c r="E89" s="11">
        <f t="shared" si="58"/>
        <v>8.915017754192478</v>
      </c>
      <c r="F89" s="11">
        <f t="shared" si="58"/>
        <v>9.7848079679190345</v>
      </c>
      <c r="G89" s="11">
        <f t="shared" si="58"/>
        <v>10.4960677261559</v>
      </c>
      <c r="H89" s="11">
        <f t="shared" si="58"/>
        <v>11.464302362263609</v>
      </c>
      <c r="I89" s="11">
        <f t="shared" si="58"/>
        <v>12.215663460363061</v>
      </c>
      <c r="J89" s="11">
        <f t="shared" si="58"/>
        <v>12.521854027061453</v>
      </c>
      <c r="K89" s="11">
        <f t="shared" si="58"/>
        <v>12.609436506356941</v>
      </c>
      <c r="L89" s="11">
        <f t="shared" si="58"/>
        <v>12.771045883197926</v>
      </c>
      <c r="M89" s="11">
        <f t="shared" si="58"/>
        <v>12.805389516135557</v>
      </c>
      <c r="O89" s="12">
        <v>0.36709999999999998</v>
      </c>
      <c r="P89" s="12">
        <f>AVERAGE(O88:O90)</f>
        <v>0.36549999999999999</v>
      </c>
      <c r="Q89" s="12">
        <f>STDEV(O88:O90)</f>
        <v>1.7088007490634869E-3</v>
      </c>
      <c r="Y89" s="6">
        <v>2</v>
      </c>
      <c r="Z89" s="6">
        <v>16</v>
      </c>
      <c r="AA89" s="6">
        <v>0.36709999999999998</v>
      </c>
      <c r="AB89" s="6">
        <v>0.99158000000000002</v>
      </c>
    </row>
    <row r="90" spans="1:28" s="10" customFormat="1" x14ac:dyDescent="0.2">
      <c r="A90" s="9" t="s">
        <v>266</v>
      </c>
      <c r="B90" s="11">
        <f t="shared" ref="B90:M90" si="59">AVERAGE(B73:B75)</f>
        <v>6.9923629360169626</v>
      </c>
      <c r="C90" s="11">
        <f t="shared" si="59"/>
        <v>7.6541478994178673</v>
      </c>
      <c r="D90" s="11"/>
      <c r="E90" s="11">
        <f t="shared" si="59"/>
        <v>8.9157421261089684</v>
      </c>
      <c r="F90" s="11">
        <f t="shared" si="59"/>
        <v>9.7471216637583638</v>
      </c>
      <c r="G90" s="11">
        <f t="shared" si="59"/>
        <v>10.453935034782079</v>
      </c>
      <c r="H90" s="11">
        <f t="shared" si="59"/>
        <v>11.348775168063602</v>
      </c>
      <c r="I90" s="11">
        <f t="shared" si="59"/>
        <v>12.12326114084774</v>
      </c>
      <c r="J90" s="11">
        <f t="shared" si="59"/>
        <v>12.521012893220911</v>
      </c>
      <c r="K90" s="11">
        <f t="shared" si="59"/>
        <v>12.579882632900103</v>
      </c>
      <c r="L90" s="11">
        <f t="shared" si="59"/>
        <v>12.825207167637672</v>
      </c>
      <c r="M90" s="11">
        <f t="shared" si="59"/>
        <v>12.835267020832532</v>
      </c>
      <c r="O90" s="12">
        <v>0.36370000000000002</v>
      </c>
      <c r="Y90" s="6">
        <v>2</v>
      </c>
      <c r="Z90" s="6">
        <v>16</v>
      </c>
      <c r="AA90" s="6">
        <v>0.36370000000000002</v>
      </c>
      <c r="AB90" s="6">
        <v>0.995</v>
      </c>
    </row>
    <row r="92" spans="1:28" s="16" customFormat="1" x14ac:dyDescent="0.2">
      <c r="A92" s="15" t="s">
        <v>267</v>
      </c>
      <c r="B92" s="16">
        <v>0</v>
      </c>
      <c r="C92" s="16">
        <v>2</v>
      </c>
      <c r="D92" s="16">
        <v>4</v>
      </c>
      <c r="E92" s="17">
        <v>6</v>
      </c>
      <c r="F92" s="17">
        <v>8</v>
      </c>
      <c r="G92" s="17">
        <v>10</v>
      </c>
      <c r="H92" s="17">
        <v>12</v>
      </c>
      <c r="I92" s="17">
        <v>14</v>
      </c>
      <c r="J92" s="17">
        <v>16</v>
      </c>
      <c r="K92" s="17">
        <v>18</v>
      </c>
      <c r="L92" s="17">
        <v>20</v>
      </c>
      <c r="M92" s="17">
        <v>22</v>
      </c>
      <c r="N92" s="17">
        <v>24</v>
      </c>
      <c r="O92" s="17">
        <v>26</v>
      </c>
      <c r="P92" s="17">
        <v>28</v>
      </c>
      <c r="Q92" s="17">
        <v>30</v>
      </c>
      <c r="R92" s="17">
        <v>32</v>
      </c>
      <c r="S92" s="17">
        <v>34</v>
      </c>
    </row>
    <row r="93" spans="1:28" s="16" customFormat="1" x14ac:dyDescent="0.2">
      <c r="A93" s="15" t="s">
        <v>255</v>
      </c>
      <c r="B93" s="18">
        <f>AVERAGE(B2:B4)</f>
        <v>1140.49</v>
      </c>
      <c r="C93" s="18">
        <f t="shared" ref="C93:L93" si="60">AVERAGE(C2:C4)</f>
        <v>1809.3333333333333</v>
      </c>
      <c r="D93" s="18">
        <f t="shared" si="60"/>
        <v>3143.3333333333335</v>
      </c>
      <c r="E93" s="18">
        <f t="shared" si="60"/>
        <v>4898.333333333333</v>
      </c>
      <c r="F93" s="18">
        <f t="shared" si="60"/>
        <v>9567</v>
      </c>
      <c r="G93" s="18">
        <f t="shared" si="60"/>
        <v>13952.333333333334</v>
      </c>
      <c r="H93" s="18">
        <f t="shared" si="60"/>
        <v>23674</v>
      </c>
      <c r="I93" s="18"/>
      <c r="J93" s="18">
        <f t="shared" si="60"/>
        <v>154040</v>
      </c>
      <c r="K93" s="18">
        <f t="shared" si="60"/>
        <v>266560</v>
      </c>
      <c r="L93" s="18">
        <f t="shared" si="60"/>
        <v>196240</v>
      </c>
      <c r="M93" s="18">
        <f>AVERAGE(M2:M4)</f>
        <v>210553.33333333334</v>
      </c>
      <c r="N93" s="18"/>
      <c r="O93" s="18"/>
      <c r="P93" s="18"/>
      <c r="Q93" s="18"/>
      <c r="R93" s="18"/>
      <c r="S93" s="18"/>
    </row>
    <row r="94" spans="1:28" s="16" customFormat="1" x14ac:dyDescent="0.2">
      <c r="A94" s="15" t="s">
        <v>256</v>
      </c>
      <c r="B94" s="18">
        <f>AVERAGE(B5:B7)</f>
        <v>1140.49</v>
      </c>
      <c r="C94" s="18">
        <f t="shared" ref="C94:M94" si="61">AVERAGE(C5:C7)</f>
        <v>1411.3333333333333</v>
      </c>
      <c r="D94" s="18">
        <f t="shared" si="61"/>
        <v>1838.6666666666667</v>
      </c>
      <c r="E94" s="18">
        <f t="shared" si="61"/>
        <v>2679.3333333333335</v>
      </c>
      <c r="F94" s="18">
        <f t="shared" si="61"/>
        <v>6119.666666666667</v>
      </c>
      <c r="G94" s="18">
        <f t="shared" si="61"/>
        <v>8178</v>
      </c>
      <c r="H94" s="18">
        <f t="shared" si="61"/>
        <v>12902.333333333334</v>
      </c>
      <c r="I94" s="18"/>
      <c r="J94" s="18">
        <f t="shared" si="61"/>
        <v>69600</v>
      </c>
      <c r="K94" s="18">
        <f t="shared" si="61"/>
        <v>136833.33333333334</v>
      </c>
      <c r="L94" s="18">
        <f t="shared" si="61"/>
        <v>163680</v>
      </c>
      <c r="M94" s="18">
        <f t="shared" si="61"/>
        <v>175533.33333333334</v>
      </c>
      <c r="N94" s="18"/>
      <c r="O94" s="18"/>
      <c r="P94" s="18"/>
      <c r="Q94" s="18"/>
      <c r="R94" s="18"/>
      <c r="S94" s="18"/>
    </row>
    <row r="95" spans="1:28" s="16" customFormat="1" x14ac:dyDescent="0.2">
      <c r="A95" s="15" t="s">
        <v>257</v>
      </c>
      <c r="B95" s="18">
        <f>AVERAGE(B8:B10)</f>
        <v>1140.49</v>
      </c>
      <c r="C95" s="18">
        <f t="shared" ref="C95:L95" si="62">AVERAGE(C8:C10)</f>
        <v>1651.3333333333333</v>
      </c>
      <c r="D95" s="18">
        <f t="shared" si="62"/>
        <v>2045.3333333333333</v>
      </c>
      <c r="E95" s="18">
        <f t="shared" si="62"/>
        <v>3565.3333333333335</v>
      </c>
      <c r="F95" s="18">
        <f t="shared" si="62"/>
        <v>8330.3333333333339</v>
      </c>
      <c r="G95" s="18">
        <f t="shared" si="62"/>
        <v>11837.666666666666</v>
      </c>
      <c r="H95" s="18">
        <f t="shared" si="62"/>
        <v>18948.666666666668</v>
      </c>
      <c r="I95" s="18"/>
      <c r="J95" s="18">
        <f t="shared" si="62"/>
        <v>126460</v>
      </c>
      <c r="K95" s="18">
        <f t="shared" si="62"/>
        <v>200853.33333333334</v>
      </c>
      <c r="L95" s="18">
        <f t="shared" si="62"/>
        <v>177500</v>
      </c>
      <c r="M95" s="18">
        <f>AVERAGE(M8:M10)</f>
        <v>201393.33333333334</v>
      </c>
      <c r="N95" s="18"/>
      <c r="O95" s="18"/>
      <c r="P95" s="18"/>
      <c r="Q95" s="18"/>
      <c r="R95" s="18"/>
      <c r="S95" s="18"/>
    </row>
    <row r="96" spans="1:28" s="16" customFormat="1" x14ac:dyDescent="0.2">
      <c r="A96" s="15" t="s">
        <v>258</v>
      </c>
      <c r="B96" s="18">
        <f>AVERAGE(B11:B13)</f>
        <v>1140.49</v>
      </c>
      <c r="C96" s="18">
        <f t="shared" ref="C96:K96" si="63">AVERAGE(C11:C13)</f>
        <v>1451.6666666666667</v>
      </c>
      <c r="D96" s="18">
        <f t="shared" si="63"/>
        <v>1489</v>
      </c>
      <c r="E96" s="18">
        <f t="shared" si="63"/>
        <v>1576.6666666666667</v>
      </c>
      <c r="F96" s="18">
        <f t="shared" si="63"/>
        <v>2072.3333333333335</v>
      </c>
      <c r="G96" s="18">
        <f t="shared" si="63"/>
        <v>1952.3333333333333</v>
      </c>
      <c r="H96" s="18">
        <f t="shared" si="63"/>
        <v>2319.3333333333335</v>
      </c>
      <c r="I96" s="18"/>
      <c r="J96" s="18">
        <f t="shared" si="63"/>
        <v>2676.5</v>
      </c>
      <c r="K96" s="18">
        <f t="shared" si="63"/>
        <v>2066.6666666666665</v>
      </c>
      <c r="L96" s="18"/>
      <c r="M96" s="18"/>
      <c r="N96" s="18"/>
      <c r="O96" s="18"/>
      <c r="P96" s="18"/>
      <c r="Q96" s="18"/>
      <c r="R96" s="18"/>
      <c r="S96" s="18"/>
    </row>
    <row r="97" spans="1:19" s="16" customFormat="1" x14ac:dyDescent="0.2">
      <c r="A97" s="15" t="s">
        <v>259</v>
      </c>
      <c r="B97" s="18">
        <f>AVERAGE(B14:B16)</f>
        <v>1140.49</v>
      </c>
      <c r="C97" s="18">
        <f t="shared" ref="C97:K97" si="64">AVERAGE(C14:C16)</f>
        <v>1100.6666666666667</v>
      </c>
      <c r="D97" s="18">
        <f t="shared" si="64"/>
        <v>1296</v>
      </c>
      <c r="E97" s="18">
        <f t="shared" si="64"/>
        <v>1209.3333333333333</v>
      </c>
      <c r="F97" s="18">
        <f t="shared" si="64"/>
        <v>1559.6666666666667</v>
      </c>
      <c r="G97" s="18">
        <f t="shared" si="64"/>
        <v>1510.3333333333333</v>
      </c>
      <c r="H97" s="18">
        <f t="shared" si="64"/>
        <v>1639.6666666666667</v>
      </c>
      <c r="I97" s="18"/>
      <c r="J97" s="18">
        <f t="shared" si="64"/>
        <v>1587.5</v>
      </c>
      <c r="K97" s="18">
        <f t="shared" si="64"/>
        <v>1935.6666666666667</v>
      </c>
      <c r="L97" s="18"/>
      <c r="M97" s="18"/>
      <c r="N97" s="18"/>
      <c r="O97" s="18"/>
      <c r="P97" s="18"/>
      <c r="Q97" s="18"/>
      <c r="R97" s="18"/>
      <c r="S97" s="18"/>
    </row>
    <row r="98" spans="1:19" s="16" customFormat="1" x14ac:dyDescent="0.2">
      <c r="A98" s="15" t="s">
        <v>260</v>
      </c>
      <c r="B98" s="18">
        <f>AVERAGE(B17:B19)</f>
        <v>1140.49</v>
      </c>
      <c r="C98" s="18">
        <f t="shared" ref="C98:K98" si="65">AVERAGE(C17:C19)</f>
        <v>1347</v>
      </c>
      <c r="D98" s="18">
        <f t="shared" si="65"/>
        <v>1588.3333333333333</v>
      </c>
      <c r="E98" s="18">
        <f t="shared" si="65"/>
        <v>1692.3333333333333</v>
      </c>
      <c r="F98" s="18">
        <f t="shared" si="65"/>
        <v>1538</v>
      </c>
      <c r="G98" s="18">
        <f t="shared" si="65"/>
        <v>2061.3333333333335</v>
      </c>
      <c r="H98" s="18">
        <f t="shared" si="65"/>
        <v>2193</v>
      </c>
      <c r="I98" s="18"/>
      <c r="J98" s="18">
        <f t="shared" si="65"/>
        <v>1906.5</v>
      </c>
      <c r="K98" s="18">
        <f t="shared" si="65"/>
        <v>3292</v>
      </c>
      <c r="L98" s="18"/>
      <c r="M98" s="18"/>
      <c r="N98" s="18"/>
      <c r="O98" s="18"/>
      <c r="P98" s="18"/>
      <c r="Q98" s="18"/>
      <c r="R98" s="18"/>
      <c r="S98" s="18"/>
    </row>
    <row r="99" spans="1:19" s="16" customFormat="1" x14ac:dyDescent="0.2">
      <c r="A99" s="15" t="s">
        <v>261</v>
      </c>
      <c r="B99" s="18">
        <f>AVERAGE(B20:B22)</f>
        <v>1140.6666666666667</v>
      </c>
      <c r="C99" s="18">
        <f t="shared" ref="C99:R99" si="66">AVERAGE(C20:C22)</f>
        <v>786.33333333333337</v>
      </c>
      <c r="D99" s="18">
        <f t="shared" si="66"/>
        <v>1290.3333333333333</v>
      </c>
      <c r="E99" s="18">
        <f t="shared" si="66"/>
        <v>1734</v>
      </c>
      <c r="F99" s="18">
        <f t="shared" si="66"/>
        <v>2752</v>
      </c>
      <c r="G99" s="18"/>
      <c r="H99" s="18">
        <f t="shared" si="66"/>
        <v>9378</v>
      </c>
      <c r="I99" s="18">
        <f t="shared" si="66"/>
        <v>12187.666666666666</v>
      </c>
      <c r="J99" s="18">
        <f t="shared" si="66"/>
        <v>15517.333333333334</v>
      </c>
      <c r="K99" s="18">
        <f t="shared" si="66"/>
        <v>21386.333333333332</v>
      </c>
      <c r="L99" s="18">
        <f t="shared" si="66"/>
        <v>35210.333333333336</v>
      </c>
      <c r="M99" s="18">
        <f t="shared" si="66"/>
        <v>56031</v>
      </c>
      <c r="N99" s="18">
        <f t="shared" si="66"/>
        <v>96240</v>
      </c>
      <c r="O99" s="18">
        <f t="shared" si="66"/>
        <v>113333.33333333333</v>
      </c>
      <c r="P99" s="18">
        <f t="shared" si="66"/>
        <v>130186.66666666667</v>
      </c>
      <c r="Q99" s="18">
        <f t="shared" si="66"/>
        <v>151153.33333333334</v>
      </c>
      <c r="R99" s="18">
        <f t="shared" si="66"/>
        <v>161546.66666666666</v>
      </c>
      <c r="S99" s="18">
        <f>AVERAGE(S20:S22)</f>
        <v>121193.33333333333</v>
      </c>
    </row>
    <row r="100" spans="1:19" s="16" customFormat="1" x14ac:dyDescent="0.2">
      <c r="A100" s="15" t="s">
        <v>262</v>
      </c>
      <c r="B100" s="18">
        <f>AVERAGE(B23:B25)</f>
        <v>637</v>
      </c>
      <c r="C100" s="18">
        <f t="shared" ref="C100:S100" si="67">AVERAGE(C23:C25)</f>
        <v>793</v>
      </c>
      <c r="D100" s="18">
        <f t="shared" si="67"/>
        <v>1216.3333333333333</v>
      </c>
      <c r="E100" s="18">
        <f t="shared" si="67"/>
        <v>1523.3333333333333</v>
      </c>
      <c r="F100" s="18">
        <f t="shared" si="67"/>
        <v>2118.3333333333335</v>
      </c>
      <c r="G100" s="18"/>
      <c r="H100" s="18">
        <f t="shared" si="67"/>
        <v>6663.5</v>
      </c>
      <c r="I100" s="18">
        <f t="shared" si="67"/>
        <v>10591</v>
      </c>
      <c r="J100" s="18">
        <f t="shared" si="67"/>
        <v>9878.6666666666661</v>
      </c>
      <c r="K100" s="18">
        <f t="shared" si="67"/>
        <v>14059.666666666666</v>
      </c>
      <c r="L100" s="18">
        <f t="shared" si="67"/>
        <v>20825</v>
      </c>
      <c r="M100" s="18">
        <f t="shared" si="67"/>
        <v>36876.666666666664</v>
      </c>
      <c r="N100" s="18">
        <f t="shared" si="67"/>
        <v>56406.666666666664</v>
      </c>
      <c r="O100" s="18">
        <f t="shared" si="67"/>
        <v>81173.333333333328</v>
      </c>
      <c r="P100" s="18">
        <f t="shared" si="67"/>
        <v>119933.33333333333</v>
      </c>
      <c r="Q100" s="18">
        <f t="shared" si="67"/>
        <v>131366.66666666666</v>
      </c>
      <c r="R100" s="18">
        <f t="shared" si="67"/>
        <v>146540</v>
      </c>
      <c r="S100" s="18">
        <f t="shared" si="67"/>
        <v>116893.33333333333</v>
      </c>
    </row>
    <row r="101" spans="1:19" s="16" customFormat="1" x14ac:dyDescent="0.2">
      <c r="A101" s="15" t="s">
        <v>263</v>
      </c>
      <c r="B101" s="18">
        <f>AVERAGE(B26:B28)</f>
        <v>986.33333333333337</v>
      </c>
      <c r="C101" s="18">
        <f t="shared" ref="C101:R101" si="68">AVERAGE(C26:C28)</f>
        <v>1053</v>
      </c>
      <c r="D101" s="18">
        <f t="shared" si="68"/>
        <v>1468.3333333333333</v>
      </c>
      <c r="E101" s="18">
        <f t="shared" si="68"/>
        <v>2222</v>
      </c>
      <c r="F101" s="18">
        <f t="shared" si="68"/>
        <v>2592</v>
      </c>
      <c r="G101" s="18"/>
      <c r="H101" s="18">
        <f t="shared" si="68"/>
        <v>8623</v>
      </c>
      <c r="I101" s="18">
        <f t="shared" si="68"/>
        <v>10801.5</v>
      </c>
      <c r="J101" s="18">
        <f t="shared" si="68"/>
        <v>13205</v>
      </c>
      <c r="K101" s="18">
        <f t="shared" si="68"/>
        <v>18701.666666666668</v>
      </c>
      <c r="L101" s="18">
        <f t="shared" si="68"/>
        <v>28938</v>
      </c>
      <c r="M101" s="18">
        <f t="shared" si="68"/>
        <v>49093</v>
      </c>
      <c r="N101" s="18">
        <f t="shared" si="68"/>
        <v>68466.666666666672</v>
      </c>
      <c r="O101" s="18">
        <f t="shared" si="68"/>
        <v>103060</v>
      </c>
      <c r="P101" s="18">
        <f t="shared" si="68"/>
        <v>126493.33333333333</v>
      </c>
      <c r="Q101" s="18">
        <f t="shared" si="68"/>
        <v>144860</v>
      </c>
      <c r="R101" s="18">
        <f t="shared" si="68"/>
        <v>152873.33333333334</v>
      </c>
      <c r="S101" s="18">
        <f>AVERAGE(S26:S28)</f>
        <v>129393.33333333333</v>
      </c>
    </row>
    <row r="102" spans="1:19" s="16" customFormat="1" x14ac:dyDescent="0.2">
      <c r="A102" s="15" t="s">
        <v>264</v>
      </c>
      <c r="B102" s="18">
        <f>AVERAGE(B29:B31)</f>
        <v>1088.29</v>
      </c>
      <c r="C102" s="18">
        <f t="shared" ref="C102:L102" si="69">AVERAGE(C29:C31)</f>
        <v>2248</v>
      </c>
      <c r="D102" s="18">
        <f t="shared" si="69"/>
        <v>1237.3333333333333</v>
      </c>
      <c r="E102" s="18">
        <f t="shared" si="69"/>
        <v>7197.333333333333</v>
      </c>
      <c r="F102" s="18">
        <f t="shared" si="69"/>
        <v>19091.666666666668</v>
      </c>
      <c r="G102" s="18">
        <f t="shared" si="69"/>
        <v>38397.666666666664</v>
      </c>
      <c r="H102" s="18">
        <f t="shared" si="69"/>
        <v>99746.666666666672</v>
      </c>
      <c r="I102" s="18">
        <f t="shared" si="69"/>
        <v>205820</v>
      </c>
      <c r="J102" s="18">
        <f t="shared" si="69"/>
        <v>271506.66666666669</v>
      </c>
      <c r="K102" s="18">
        <f t="shared" si="69"/>
        <v>313746.66666666669</v>
      </c>
      <c r="L102" s="18">
        <f t="shared" si="69"/>
        <v>356373.33333333331</v>
      </c>
      <c r="M102" s="18">
        <f>AVERAGE(M29:M31)</f>
        <v>360133.33333333331</v>
      </c>
      <c r="N102" s="18"/>
      <c r="O102" s="18"/>
      <c r="P102" s="18"/>
      <c r="Q102" s="18"/>
      <c r="R102" s="18"/>
      <c r="S102" s="18"/>
    </row>
    <row r="103" spans="1:19" s="16" customFormat="1" x14ac:dyDescent="0.2">
      <c r="A103" s="15" t="s">
        <v>265</v>
      </c>
      <c r="B103" s="18">
        <f>AVERAGE(B32:B34)</f>
        <v>1088.29</v>
      </c>
      <c r="C103" s="18">
        <f t="shared" ref="C103:M103" si="70">AVERAGE(C32:C34)</f>
        <v>2154.6666666666665</v>
      </c>
      <c r="D103" s="18">
        <f t="shared" si="70"/>
        <v>1235</v>
      </c>
      <c r="E103" s="18">
        <f t="shared" si="70"/>
        <v>7443</v>
      </c>
      <c r="F103" s="18">
        <f t="shared" si="70"/>
        <v>17762</v>
      </c>
      <c r="G103" s="18">
        <f t="shared" si="70"/>
        <v>36173</v>
      </c>
      <c r="H103" s="18">
        <f t="shared" si="70"/>
        <v>95273.333333333328</v>
      </c>
      <c r="I103" s="18">
        <f t="shared" si="70"/>
        <v>202033.33333333334</v>
      </c>
      <c r="J103" s="18">
        <f t="shared" si="70"/>
        <v>274280</v>
      </c>
      <c r="K103" s="18">
        <f t="shared" si="70"/>
        <v>299393.33333333331</v>
      </c>
      <c r="L103" s="18">
        <f t="shared" si="70"/>
        <v>351900</v>
      </c>
      <c r="M103" s="18">
        <f t="shared" si="70"/>
        <v>364326.66666666669</v>
      </c>
      <c r="N103" s="18"/>
      <c r="O103" s="18"/>
      <c r="P103" s="18"/>
      <c r="Q103" s="18"/>
      <c r="R103" s="18"/>
      <c r="S103" s="18"/>
    </row>
    <row r="104" spans="1:19" s="16" customFormat="1" x14ac:dyDescent="0.2">
      <c r="A104" s="15" t="s">
        <v>266</v>
      </c>
      <c r="B104" s="18">
        <f>AVERAGE(B35:B37)</f>
        <v>1088.29</v>
      </c>
      <c r="C104" s="18">
        <f t="shared" ref="C104:L104" si="71">AVERAGE(C35:C37)</f>
        <v>2115.3333333333335</v>
      </c>
      <c r="D104" s="18">
        <f t="shared" si="71"/>
        <v>1171</v>
      </c>
      <c r="E104" s="18">
        <f t="shared" si="71"/>
        <v>7448.333333333333</v>
      </c>
      <c r="F104" s="18">
        <f t="shared" si="71"/>
        <v>17105</v>
      </c>
      <c r="G104" s="18">
        <f t="shared" si="71"/>
        <v>34681.333333333336</v>
      </c>
      <c r="H104" s="18">
        <f t="shared" si="71"/>
        <v>84880</v>
      </c>
      <c r="I104" s="18">
        <f t="shared" si="71"/>
        <v>184180</v>
      </c>
      <c r="J104" s="18">
        <f t="shared" si="71"/>
        <v>274126.66666666669</v>
      </c>
      <c r="K104" s="18">
        <f t="shared" si="71"/>
        <v>290660</v>
      </c>
      <c r="L104" s="18">
        <f t="shared" si="71"/>
        <v>371500</v>
      </c>
      <c r="M104" s="18">
        <f>AVERAGE(M35:M37)</f>
        <v>375233.33333333331</v>
      </c>
      <c r="N104" s="18"/>
      <c r="O104" s="18"/>
      <c r="P104" s="18"/>
      <c r="Q104" s="18"/>
      <c r="R104" s="18"/>
      <c r="S104" s="18"/>
    </row>
    <row r="105" spans="1:19" s="16" customFormat="1" x14ac:dyDescent="0.2">
      <c r="A105" s="15"/>
      <c r="F105" s="19"/>
    </row>
    <row r="106" spans="1:19" s="16" customFormat="1" x14ac:dyDescent="0.2">
      <c r="A106" s="15"/>
      <c r="B106" s="16">
        <v>0</v>
      </c>
      <c r="C106" s="16">
        <v>2</v>
      </c>
      <c r="D106" s="16">
        <v>4</v>
      </c>
      <c r="E106" s="17">
        <v>6</v>
      </c>
      <c r="F106" s="17">
        <v>8</v>
      </c>
      <c r="G106" s="17">
        <v>10</v>
      </c>
      <c r="H106" s="17">
        <v>12</v>
      </c>
      <c r="I106" s="17">
        <v>14</v>
      </c>
      <c r="J106" s="17">
        <v>16</v>
      </c>
      <c r="K106" s="17">
        <v>18</v>
      </c>
      <c r="L106" s="17">
        <v>20</v>
      </c>
      <c r="M106" s="17">
        <v>22</v>
      </c>
      <c r="N106" s="17">
        <v>24</v>
      </c>
      <c r="O106" s="17">
        <v>26</v>
      </c>
      <c r="P106" s="17">
        <v>28</v>
      </c>
      <c r="Q106" s="17">
        <v>30</v>
      </c>
      <c r="R106" s="17">
        <v>32</v>
      </c>
      <c r="S106" s="17">
        <v>34</v>
      </c>
    </row>
    <row r="107" spans="1:19" s="16" customFormat="1" x14ac:dyDescent="0.2">
      <c r="A107" s="15" t="s">
        <v>286</v>
      </c>
      <c r="B107" s="18">
        <f>AVERAGE(B96:B98)</f>
        <v>1140.49</v>
      </c>
      <c r="C107" s="18">
        <f t="shared" ref="C107:J107" si="72">AVERAGE(C96:C98)</f>
        <v>1299.7777777777778</v>
      </c>
      <c r="D107" s="18">
        <f t="shared" si="72"/>
        <v>1457.7777777777776</v>
      </c>
      <c r="E107" s="18">
        <f t="shared" si="72"/>
        <v>1492.7777777777776</v>
      </c>
      <c r="F107" s="18">
        <f t="shared" si="72"/>
        <v>1723.3333333333333</v>
      </c>
      <c r="G107" s="18">
        <f t="shared" si="72"/>
        <v>1841.3333333333333</v>
      </c>
      <c r="H107" s="18">
        <f t="shared" si="72"/>
        <v>2050.6666666666665</v>
      </c>
      <c r="I107" s="18"/>
      <c r="J107" s="18">
        <f t="shared" si="72"/>
        <v>2056.8333333333335</v>
      </c>
      <c r="K107" s="18">
        <f>AVERAGE(K96:K98)</f>
        <v>2431.4444444444443</v>
      </c>
      <c r="L107" s="18"/>
      <c r="M107" s="18"/>
      <c r="N107" s="18"/>
      <c r="O107" s="18"/>
      <c r="P107" s="18"/>
      <c r="Q107" s="18"/>
      <c r="R107" s="18"/>
      <c r="S107" s="18"/>
    </row>
    <row r="108" spans="1:19" s="16" customFormat="1" x14ac:dyDescent="0.2">
      <c r="A108" s="15" t="s">
        <v>270</v>
      </c>
      <c r="B108" s="18">
        <f>STDEV(B96:B98)</f>
        <v>0</v>
      </c>
      <c r="C108" s="18">
        <f t="shared" ref="C108:J108" si="73">STDEV(C96:C98)</f>
        <v>180.20184156579484</v>
      </c>
      <c r="D108" s="18">
        <f t="shared" si="73"/>
        <v>148.64661050563785</v>
      </c>
      <c r="E108" s="18">
        <f t="shared" si="73"/>
        <v>252.19091827276372</v>
      </c>
      <c r="F108" s="18">
        <f t="shared" si="73"/>
        <v>302.43695394430722</v>
      </c>
      <c r="G108" s="18">
        <f t="shared" si="73"/>
        <v>291.78930754912869</v>
      </c>
      <c r="H108" s="18">
        <f t="shared" si="73"/>
        <v>361.49796372563151</v>
      </c>
      <c r="I108" s="18"/>
      <c r="J108" s="18">
        <f t="shared" si="73"/>
        <v>559.84849140935717</v>
      </c>
      <c r="K108" s="18">
        <f>STDEV(K96:K98)</f>
        <v>748.13578189266502</v>
      </c>
      <c r="L108" s="18"/>
      <c r="M108" s="18"/>
      <c r="N108" s="18"/>
      <c r="O108" s="18"/>
      <c r="P108" s="18"/>
      <c r="Q108" s="18"/>
      <c r="R108" s="18"/>
      <c r="S108" s="18"/>
    </row>
    <row r="109" spans="1:19" s="16" customFormat="1" x14ac:dyDescent="0.2">
      <c r="A109" s="15" t="s">
        <v>287</v>
      </c>
      <c r="B109" s="18">
        <f>AVERAGE(B99:B101)</f>
        <v>921.33333333333337</v>
      </c>
      <c r="C109" s="18">
        <f t="shared" ref="C109:S109" si="74">AVERAGE(C99:C101)</f>
        <v>877.44444444444446</v>
      </c>
      <c r="D109" s="18">
        <f t="shared" si="74"/>
        <v>1325</v>
      </c>
      <c r="E109" s="18">
        <f t="shared" si="74"/>
        <v>1826.4444444444443</v>
      </c>
      <c r="F109" s="18">
        <f t="shared" si="74"/>
        <v>2487.4444444444448</v>
      </c>
      <c r="G109" s="18"/>
      <c r="H109" s="18">
        <f t="shared" si="74"/>
        <v>8221.5</v>
      </c>
      <c r="I109" s="18">
        <f t="shared" si="74"/>
        <v>11193.388888888889</v>
      </c>
      <c r="J109" s="18">
        <f t="shared" si="74"/>
        <v>12867</v>
      </c>
      <c r="K109" s="18">
        <f t="shared" si="74"/>
        <v>18049.222222222223</v>
      </c>
      <c r="L109" s="18">
        <f t="shared" si="74"/>
        <v>28324.444444444449</v>
      </c>
      <c r="M109" s="18">
        <f t="shared" si="74"/>
        <v>47333.555555555555</v>
      </c>
      <c r="N109" s="18">
        <f t="shared" si="74"/>
        <v>73704.444444444438</v>
      </c>
      <c r="O109" s="18">
        <f t="shared" si="74"/>
        <v>99188.888888888876</v>
      </c>
      <c r="P109" s="18">
        <f t="shared" si="74"/>
        <v>125537.77777777777</v>
      </c>
      <c r="Q109" s="18">
        <f t="shared" si="74"/>
        <v>142460</v>
      </c>
      <c r="R109" s="18">
        <f>AVERAGE(R99:R101)</f>
        <v>153653.33333333334</v>
      </c>
      <c r="S109" s="18">
        <f t="shared" si="74"/>
        <v>122493.33333333333</v>
      </c>
    </row>
    <row r="110" spans="1:19" s="16" customFormat="1" x14ac:dyDescent="0.2">
      <c r="A110" s="15" t="s">
        <v>270</v>
      </c>
      <c r="B110" s="18">
        <f>STDEV(B99:B101)</f>
        <v>258.04801448137079</v>
      </c>
      <c r="C110" s="18">
        <f t="shared" ref="C110:S110" si="75">STDEV(C99:C101)</f>
        <v>152.07210765267115</v>
      </c>
      <c r="D110" s="18">
        <f t="shared" si="75"/>
        <v>129.52734589009896</v>
      </c>
      <c r="E110" s="18">
        <f t="shared" si="75"/>
        <v>358.38981467008705</v>
      </c>
      <c r="F110" s="18">
        <f t="shared" si="75"/>
        <v>329.51822295475455</v>
      </c>
      <c r="G110" s="18"/>
      <c r="H110" s="18">
        <f t="shared" si="75"/>
        <v>1401.0814573036073</v>
      </c>
      <c r="I110" s="18">
        <f t="shared" si="75"/>
        <v>867.47840724541174</v>
      </c>
      <c r="J110" s="18">
        <f t="shared" si="75"/>
        <v>2834.4882156122026</v>
      </c>
      <c r="K110" s="18">
        <f t="shared" si="75"/>
        <v>3706.652657847219</v>
      </c>
      <c r="L110" s="18">
        <f t="shared" si="75"/>
        <v>7212.2667444148565</v>
      </c>
      <c r="M110" s="18">
        <f t="shared" si="75"/>
        <v>9697.6210962238929</v>
      </c>
      <c r="N110" s="18">
        <f t="shared" si="75"/>
        <v>20426.682259930258</v>
      </c>
      <c r="O110" s="18">
        <f t="shared" si="75"/>
        <v>16425.758001563525</v>
      </c>
      <c r="P110" s="18">
        <f t="shared" si="75"/>
        <v>5193.0266633174506</v>
      </c>
      <c r="Q110" s="18">
        <f t="shared" si="75"/>
        <v>10109.304844767747</v>
      </c>
      <c r="R110" s="18">
        <f>STDEV(R99:R101)</f>
        <v>7533.6784581710835</v>
      </c>
      <c r="S110" s="18">
        <f t="shared" si="75"/>
        <v>6350.5905237229708</v>
      </c>
    </row>
    <row r="111" spans="1:19" s="16" customFormat="1" x14ac:dyDescent="0.2">
      <c r="A111" s="15" t="s">
        <v>288</v>
      </c>
      <c r="B111" s="18">
        <f>AVERAGE(B93:B95)</f>
        <v>1140.49</v>
      </c>
      <c r="C111" s="18">
        <f t="shared" ref="C111:L111" si="76">AVERAGE(C93:C95)</f>
        <v>1624</v>
      </c>
      <c r="D111" s="18">
        <f t="shared" si="76"/>
        <v>2342.4444444444443</v>
      </c>
      <c r="E111" s="18">
        <f t="shared" si="76"/>
        <v>3714.3333333333335</v>
      </c>
      <c r="F111" s="18">
        <f t="shared" si="76"/>
        <v>8005.666666666667</v>
      </c>
      <c r="G111" s="18">
        <f t="shared" si="76"/>
        <v>11322.666666666666</v>
      </c>
      <c r="H111" s="18">
        <f t="shared" si="76"/>
        <v>18508.333333333332</v>
      </c>
      <c r="I111" s="18"/>
      <c r="J111" s="18">
        <f t="shared" si="76"/>
        <v>116700</v>
      </c>
      <c r="K111" s="18">
        <f t="shared" si="76"/>
        <v>201415.55555555559</v>
      </c>
      <c r="L111" s="18">
        <f t="shared" si="76"/>
        <v>179140</v>
      </c>
      <c r="M111" s="18">
        <f>AVERAGE(M93:M95)</f>
        <v>195826.66666666666</v>
      </c>
      <c r="N111" s="18"/>
      <c r="O111" s="18"/>
      <c r="P111" s="18"/>
      <c r="Q111" s="18"/>
      <c r="R111" s="18"/>
      <c r="S111" s="18"/>
    </row>
    <row r="112" spans="1:19" s="16" customFormat="1" x14ac:dyDescent="0.2">
      <c r="A112" s="15" t="s">
        <v>270</v>
      </c>
      <c r="B112" s="18">
        <f>STDEV(B93:B95)</f>
        <v>0</v>
      </c>
      <c r="C112" s="18">
        <f t="shared" ref="C112:L112" si="77">STDEV(C93:C95)</f>
        <v>200.40292745699355</v>
      </c>
      <c r="D112" s="18">
        <f t="shared" si="77"/>
        <v>701.24534724804937</v>
      </c>
      <c r="E112" s="18">
        <f t="shared" si="77"/>
        <v>1116.9785136698003</v>
      </c>
      <c r="F112" s="18">
        <f t="shared" si="77"/>
        <v>1746.4487141370928</v>
      </c>
      <c r="G112" s="18">
        <f t="shared" si="77"/>
        <v>2921.4123486955987</v>
      </c>
      <c r="H112" s="18">
        <f t="shared" si="77"/>
        <v>5399.3166954511689</v>
      </c>
      <c r="I112" s="18"/>
      <c r="J112" s="18">
        <f t="shared" si="77"/>
        <v>43057.770494998927</v>
      </c>
      <c r="K112" s="18">
        <f t="shared" si="77"/>
        <v>64865.160768177149</v>
      </c>
      <c r="L112" s="18">
        <f t="shared" si="77"/>
        <v>16341.835882176763</v>
      </c>
      <c r="M112" s="18">
        <f>STDEV(M93:M95)</f>
        <v>18161.523430960668</v>
      </c>
      <c r="N112" s="18"/>
      <c r="O112" s="18"/>
      <c r="P112" s="18"/>
      <c r="Q112" s="18"/>
      <c r="R112" s="18"/>
      <c r="S112" s="18"/>
    </row>
    <row r="113" spans="1:19" s="16" customFormat="1" x14ac:dyDescent="0.2">
      <c r="A113" s="15" t="s">
        <v>289</v>
      </c>
      <c r="B113" s="18">
        <f>AVERAGE(B102:B104)</f>
        <v>1088.29</v>
      </c>
      <c r="C113" s="18">
        <f t="shared" ref="C113:L113" si="78">AVERAGE(C102:C104)</f>
        <v>2172.6666666666665</v>
      </c>
      <c r="D113" s="18">
        <f t="shared" si="78"/>
        <v>1214.4444444444443</v>
      </c>
      <c r="E113" s="18">
        <f t="shared" si="78"/>
        <v>7362.8888888888878</v>
      </c>
      <c r="F113" s="18">
        <f t="shared" si="78"/>
        <v>17986.222222222223</v>
      </c>
      <c r="G113" s="18">
        <f t="shared" si="78"/>
        <v>36417.333333333336</v>
      </c>
      <c r="H113" s="18">
        <f t="shared" si="78"/>
        <v>93300</v>
      </c>
      <c r="I113" s="18">
        <f t="shared" si="78"/>
        <v>197344.44444444447</v>
      </c>
      <c r="J113" s="18">
        <f t="shared" si="78"/>
        <v>273304.4444444445</v>
      </c>
      <c r="K113" s="18">
        <f t="shared" si="78"/>
        <v>301266.66666666669</v>
      </c>
      <c r="L113" s="18">
        <f t="shared" si="78"/>
        <v>359924.44444444444</v>
      </c>
      <c r="M113" s="18">
        <f>AVERAGE(M102:M104)</f>
        <v>366564.44444444444</v>
      </c>
      <c r="N113" s="18"/>
      <c r="O113" s="18"/>
      <c r="P113" s="18"/>
      <c r="Q113" s="18"/>
      <c r="R113" s="18"/>
      <c r="S113" s="18"/>
    </row>
    <row r="114" spans="1:19" s="16" customFormat="1" x14ac:dyDescent="0.2">
      <c r="A114" s="15" t="s">
        <v>270</v>
      </c>
      <c r="B114" s="18">
        <f>STDEV(B102:B104)</f>
        <v>0</v>
      </c>
      <c r="C114" s="18">
        <f t="shared" ref="C114:L114" si="79">STDEV(C102:C104)</f>
        <v>68.140377978927475</v>
      </c>
      <c r="D114" s="18">
        <f t="shared" si="79"/>
        <v>37.642076535785378</v>
      </c>
      <c r="E114" s="18">
        <f t="shared" si="79"/>
        <v>143.40011364218864</v>
      </c>
      <c r="F114" s="18">
        <f t="shared" si="79"/>
        <v>1012.1352749582518</v>
      </c>
      <c r="G114" s="18">
        <f t="shared" si="79"/>
        <v>1870.1757790230404</v>
      </c>
      <c r="H114" s="18">
        <f t="shared" si="79"/>
        <v>7627.2523085169933</v>
      </c>
      <c r="I114" s="18">
        <f t="shared" si="79"/>
        <v>11556.887957372404</v>
      </c>
      <c r="J114" s="18">
        <f t="shared" si="79"/>
        <v>1558.8077115159081</v>
      </c>
      <c r="K114" s="18">
        <f t="shared" si="79"/>
        <v>11656.782479645834</v>
      </c>
      <c r="L114" s="18">
        <f t="shared" si="79"/>
        <v>10271.211836613666</v>
      </c>
      <c r="M114" s="18">
        <f>STDEV(M102:M104)</f>
        <v>7794.7570223219245</v>
      </c>
      <c r="N114" s="18"/>
      <c r="O114" s="18"/>
      <c r="P114" s="18"/>
      <c r="Q114" s="18"/>
      <c r="R114" s="18"/>
      <c r="S114" s="18"/>
    </row>
    <row r="117" spans="1:19" x14ac:dyDescent="0.2">
      <c r="C117" s="6" t="s">
        <v>286</v>
      </c>
      <c r="D117" s="6" t="s">
        <v>270</v>
      </c>
      <c r="E117" s="6" t="s">
        <v>287</v>
      </c>
      <c r="F117" s="6" t="s">
        <v>270</v>
      </c>
      <c r="G117" s="6" t="s">
        <v>288</v>
      </c>
      <c r="H117" s="6" t="s">
        <v>270</v>
      </c>
      <c r="I117" s="6" t="s">
        <v>289</v>
      </c>
      <c r="J117" s="6" t="s">
        <v>270</v>
      </c>
    </row>
    <row r="118" spans="1:19" x14ac:dyDescent="0.2">
      <c r="B118" s="6">
        <v>0</v>
      </c>
      <c r="C118" s="5">
        <v>1140.49</v>
      </c>
      <c r="D118" s="5">
        <v>0</v>
      </c>
      <c r="E118" s="5">
        <v>921.33333333333337</v>
      </c>
      <c r="F118" s="5">
        <v>258.04801448137079</v>
      </c>
      <c r="G118" s="5">
        <v>1140.49</v>
      </c>
      <c r="H118" s="5">
        <v>0</v>
      </c>
      <c r="I118" s="5">
        <v>1088.29</v>
      </c>
      <c r="J118" s="5">
        <v>0</v>
      </c>
    </row>
    <row r="119" spans="1:19" x14ac:dyDescent="0.2">
      <c r="B119" s="6">
        <v>2</v>
      </c>
      <c r="C119" s="5">
        <v>1299.7777777777778</v>
      </c>
      <c r="D119" s="5">
        <v>180.20184156579484</v>
      </c>
      <c r="E119" s="5">
        <v>877.44444444444446</v>
      </c>
      <c r="F119" s="5">
        <v>152.07210765267115</v>
      </c>
      <c r="G119" s="5">
        <v>1624</v>
      </c>
      <c r="H119" s="5">
        <v>200.40292745699355</v>
      </c>
      <c r="I119" s="5">
        <v>2172.6666666666665</v>
      </c>
      <c r="J119" s="5">
        <v>68.140377978927475</v>
      </c>
    </row>
    <row r="120" spans="1:19" x14ac:dyDescent="0.2">
      <c r="B120" s="6">
        <v>4</v>
      </c>
      <c r="C120" s="5">
        <v>1457.7777777777776</v>
      </c>
      <c r="D120" s="5">
        <v>148.64661050563785</v>
      </c>
      <c r="E120" s="5">
        <v>1325</v>
      </c>
      <c r="F120" s="5">
        <v>129.52734589009896</v>
      </c>
      <c r="G120" s="5">
        <v>2342.4444444444443</v>
      </c>
      <c r="H120" s="5">
        <v>701.24534724804937</v>
      </c>
      <c r="I120" s="5">
        <v>1214.4444444444443</v>
      </c>
      <c r="J120" s="5">
        <v>37.642076535785378</v>
      </c>
    </row>
    <row r="121" spans="1:19" x14ac:dyDescent="0.2">
      <c r="B121" s="5">
        <v>6</v>
      </c>
      <c r="C121" s="5">
        <v>1492.7777777777776</v>
      </c>
      <c r="D121" s="5">
        <v>252.19091827276372</v>
      </c>
      <c r="E121" s="5">
        <v>1826.4444444444443</v>
      </c>
      <c r="F121" s="5">
        <v>358.38981467008705</v>
      </c>
      <c r="G121" s="5">
        <v>3714.3333333333335</v>
      </c>
      <c r="H121" s="5">
        <v>1116.9785136698003</v>
      </c>
      <c r="I121" s="5">
        <v>7362.8888888888878</v>
      </c>
      <c r="J121" s="5">
        <v>143.40011364218864</v>
      </c>
    </row>
    <row r="122" spans="1:19" x14ac:dyDescent="0.2">
      <c r="B122" s="6">
        <v>8</v>
      </c>
      <c r="C122" s="5">
        <v>1723.3333333333333</v>
      </c>
      <c r="D122" s="5">
        <v>302.43695394430722</v>
      </c>
      <c r="E122" s="5">
        <v>2487.4444444444448</v>
      </c>
      <c r="F122" s="5">
        <v>329.51822295475455</v>
      </c>
      <c r="G122" s="5">
        <v>8005.666666666667</v>
      </c>
      <c r="H122" s="5">
        <v>1746.4487141370928</v>
      </c>
      <c r="I122" s="5">
        <v>17986.222222222223</v>
      </c>
      <c r="J122" s="5">
        <v>1012.1352749582518</v>
      </c>
    </row>
    <row r="123" spans="1:19" x14ac:dyDescent="0.2">
      <c r="B123" s="6">
        <v>10</v>
      </c>
      <c r="C123" s="5">
        <v>1841.3333333333333</v>
      </c>
      <c r="D123" s="5">
        <v>291.78930754912869</v>
      </c>
      <c r="E123" s="5"/>
      <c r="F123" s="5"/>
      <c r="G123" s="5">
        <v>11322.666666666666</v>
      </c>
      <c r="H123" s="5">
        <v>2921.4123486955987</v>
      </c>
      <c r="I123" s="5">
        <v>36417.333333333336</v>
      </c>
      <c r="J123" s="5">
        <v>1870.1757790230404</v>
      </c>
    </row>
    <row r="124" spans="1:19" x14ac:dyDescent="0.2">
      <c r="B124" s="6">
        <v>12</v>
      </c>
      <c r="C124" s="5">
        <v>2050.6666666666665</v>
      </c>
      <c r="D124" s="5">
        <v>361.49796372563151</v>
      </c>
      <c r="E124" s="5">
        <v>8221.5</v>
      </c>
      <c r="F124" s="5">
        <v>1401.0814573036073</v>
      </c>
      <c r="G124" s="5">
        <v>18508.333333333332</v>
      </c>
      <c r="H124" s="5">
        <v>5399.3166954511689</v>
      </c>
      <c r="I124" s="5">
        <v>93300</v>
      </c>
      <c r="J124" s="5">
        <v>7627.2523085169933</v>
      </c>
    </row>
    <row r="125" spans="1:19" x14ac:dyDescent="0.2">
      <c r="B125" s="6">
        <v>14</v>
      </c>
      <c r="C125" s="5"/>
      <c r="D125" s="5"/>
      <c r="E125" s="5">
        <v>11193.388888888889</v>
      </c>
      <c r="F125" s="5">
        <v>867.47840724541174</v>
      </c>
      <c r="G125" s="5"/>
      <c r="H125" s="5"/>
      <c r="I125" s="5">
        <v>197344.44444444447</v>
      </c>
      <c r="J125" s="5">
        <v>11556.887957372404</v>
      </c>
    </row>
    <row r="126" spans="1:19" x14ac:dyDescent="0.2">
      <c r="B126" s="6">
        <v>16</v>
      </c>
      <c r="C126" s="5">
        <v>2056.8333333333335</v>
      </c>
      <c r="D126" s="5">
        <v>559.84849140935717</v>
      </c>
      <c r="E126" s="5">
        <v>12867</v>
      </c>
      <c r="F126" s="5">
        <v>2834.4882156122026</v>
      </c>
      <c r="G126" s="5">
        <v>116700</v>
      </c>
      <c r="H126" s="5">
        <v>43057.770494998927</v>
      </c>
      <c r="I126" s="5">
        <v>273304.4444444445</v>
      </c>
      <c r="J126" s="5">
        <v>1558.8077115159081</v>
      </c>
    </row>
    <row r="127" spans="1:19" x14ac:dyDescent="0.2">
      <c r="B127" s="6">
        <v>18</v>
      </c>
      <c r="C127" s="5">
        <v>2431.4444444444443</v>
      </c>
      <c r="D127" s="5">
        <v>748.13578189266502</v>
      </c>
      <c r="E127" s="5">
        <v>18049.222222222223</v>
      </c>
      <c r="F127" s="5">
        <v>3706.652657847219</v>
      </c>
      <c r="G127" s="5">
        <v>201415.55555555559</v>
      </c>
      <c r="H127" s="5">
        <v>64865.160768177149</v>
      </c>
      <c r="I127" s="5">
        <v>301266.66666666669</v>
      </c>
      <c r="J127" s="5">
        <v>11656.782479645834</v>
      </c>
    </row>
    <row r="128" spans="1:19" x14ac:dyDescent="0.2">
      <c r="B128" s="6">
        <v>20</v>
      </c>
      <c r="C128" s="5"/>
      <c r="D128" s="5"/>
      <c r="E128" s="5">
        <v>28324.444444444449</v>
      </c>
      <c r="F128" s="5">
        <v>7212.2667444148565</v>
      </c>
      <c r="G128" s="5">
        <v>179140</v>
      </c>
      <c r="H128" s="5">
        <v>16341.835882176763</v>
      </c>
      <c r="I128" s="5">
        <v>359924.44444444444</v>
      </c>
      <c r="J128" s="5">
        <v>10271.211836613666</v>
      </c>
    </row>
    <row r="129" spans="2:10" x14ac:dyDescent="0.2">
      <c r="B129" s="6">
        <v>22</v>
      </c>
      <c r="C129" s="5"/>
      <c r="D129" s="5"/>
      <c r="E129" s="5">
        <v>47333.555555555555</v>
      </c>
      <c r="F129" s="5">
        <v>9697.6210962238929</v>
      </c>
      <c r="G129" s="5">
        <v>195826.66666666666</v>
      </c>
      <c r="H129" s="5">
        <v>18161.523430960668</v>
      </c>
      <c r="I129" s="5">
        <v>366564.44444444444</v>
      </c>
      <c r="J129" s="5">
        <v>7794.7570223219245</v>
      </c>
    </row>
    <row r="130" spans="2:10" x14ac:dyDescent="0.2">
      <c r="B130" s="6">
        <v>24</v>
      </c>
      <c r="C130" s="5"/>
      <c r="D130" s="5"/>
      <c r="E130" s="5">
        <v>73704.444444444438</v>
      </c>
      <c r="F130" s="5">
        <v>20426.682259930258</v>
      </c>
      <c r="G130" s="5"/>
      <c r="H130" s="5"/>
      <c r="I130" s="5"/>
      <c r="J130" s="5"/>
    </row>
    <row r="131" spans="2:10" x14ac:dyDescent="0.2">
      <c r="B131" s="6">
        <v>26</v>
      </c>
      <c r="C131" s="5"/>
      <c r="D131" s="5"/>
      <c r="E131" s="5">
        <v>99188.888888888876</v>
      </c>
      <c r="F131" s="5">
        <v>16425.758001563525</v>
      </c>
      <c r="G131" s="5"/>
      <c r="H131" s="5"/>
      <c r="I131" s="5"/>
      <c r="J131" s="5"/>
    </row>
    <row r="132" spans="2:10" x14ac:dyDescent="0.2">
      <c r="B132" s="6">
        <v>28</v>
      </c>
      <c r="C132" s="5"/>
      <c r="D132" s="5"/>
      <c r="E132" s="5">
        <v>125537.77777777777</v>
      </c>
      <c r="F132" s="5">
        <v>5193.0266633174506</v>
      </c>
      <c r="G132" s="5"/>
      <c r="H132" s="5"/>
      <c r="I132" s="5"/>
      <c r="J132" s="5"/>
    </row>
    <row r="133" spans="2:10" x14ac:dyDescent="0.2">
      <c r="B133" s="6">
        <v>30</v>
      </c>
      <c r="C133" s="5"/>
      <c r="D133" s="5"/>
      <c r="E133" s="5">
        <v>142460</v>
      </c>
      <c r="F133" s="5">
        <v>10109.304844767747</v>
      </c>
      <c r="G133" s="5"/>
      <c r="H133" s="5"/>
      <c r="I133" s="5"/>
      <c r="J133" s="5"/>
    </row>
    <row r="134" spans="2:10" x14ac:dyDescent="0.2">
      <c r="B134" s="6">
        <v>32</v>
      </c>
      <c r="C134" s="5"/>
      <c r="D134" s="5"/>
      <c r="E134" s="5">
        <v>153653.33333333334</v>
      </c>
      <c r="F134" s="5">
        <v>7533.6784581710835</v>
      </c>
      <c r="G134" s="5"/>
      <c r="H134" s="5"/>
      <c r="I134" s="5"/>
      <c r="J134" s="5"/>
    </row>
    <row r="135" spans="2:10" x14ac:dyDescent="0.2">
      <c r="B135" s="6">
        <v>34</v>
      </c>
      <c r="C135" s="5"/>
      <c r="D135" s="5"/>
      <c r="E135" s="5">
        <v>122493.33333333333</v>
      </c>
      <c r="F135" s="5">
        <v>6350.5905237229708</v>
      </c>
      <c r="G135" s="5"/>
      <c r="H135" s="5"/>
      <c r="I135" s="5"/>
      <c r="J13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specific_growth</vt:lpstr>
      <vt:lpstr>avg</vt:lpstr>
      <vt:lpstr>necro</vt:lpstr>
      <vt:lpstr>psygmo</vt:lpstr>
      <vt:lpstr>min</vt:lpstr>
      <vt:lpstr>Smic</vt:lpstr>
      <vt:lpstr>vor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2017-10-04T15:40:19Z</cp:lastPrinted>
  <dcterms:created xsi:type="dcterms:W3CDTF">2017-09-11T08:52:50Z</dcterms:created>
  <dcterms:modified xsi:type="dcterms:W3CDTF">2019-07-01T20:11:37Z</dcterms:modified>
</cp:coreProperties>
</file>