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annahreich/Desktop/PhD/chapters/chapter 4 - temp treatments/for_coauthors_v1/data_code/"/>
    </mc:Choice>
  </mc:AlternateContent>
  <bookViews>
    <workbookView xWindow="-23440" yWindow="640" windowWidth="18360" windowHeight="19160" tabRatio="500" activeTab="3"/>
  </bookViews>
  <sheets>
    <sheet name="raw_cellden" sheetId="1" r:id="rId1"/>
    <sheet name="spgrowth_r" sheetId="2" r:id="rId2"/>
    <sheet name="pH" sheetId="4" r:id="rId3"/>
    <sheet name="vol" sheetId="5" r:id="rId4"/>
    <sheet name="spgrowth_calc" sheetId="3" r:id="rId5"/>
  </sheets>
  <externalReferences>
    <externalReference r:id="rId6"/>
  </externalReferences>
  <definedNames>
    <definedName name="_xlnm._FilterDatabase" localSheetId="3" hidden="1">vol!$A$1:$H$73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9" i="3" l="1"/>
  <c r="R275" i="3"/>
  <c r="Q219" i="3"/>
  <c r="Q275" i="3"/>
  <c r="O219" i="3"/>
  <c r="O275" i="3"/>
  <c r="N219" i="3"/>
  <c r="N275" i="3"/>
  <c r="L219" i="3"/>
  <c r="L275" i="3"/>
  <c r="K219" i="3"/>
  <c r="K275" i="3"/>
  <c r="J219" i="3"/>
  <c r="J275" i="3"/>
  <c r="H219" i="3"/>
  <c r="H275" i="3"/>
  <c r="G219" i="3"/>
  <c r="G275" i="3"/>
  <c r="F161" i="3"/>
  <c r="F162" i="3"/>
  <c r="F163" i="3"/>
  <c r="F219" i="3"/>
  <c r="F275" i="3"/>
  <c r="R218" i="3"/>
  <c r="R274" i="3"/>
  <c r="Q218" i="3"/>
  <c r="Q274" i="3"/>
  <c r="O218" i="3"/>
  <c r="O274" i="3"/>
  <c r="N218" i="3"/>
  <c r="N274" i="3"/>
  <c r="L218" i="3"/>
  <c r="L274" i="3"/>
  <c r="K218" i="3"/>
  <c r="K274" i="3"/>
  <c r="J218" i="3"/>
  <c r="J274" i="3"/>
  <c r="H218" i="3"/>
  <c r="H274" i="3"/>
  <c r="G218" i="3"/>
  <c r="G274" i="3"/>
  <c r="F158" i="3"/>
  <c r="F159" i="3"/>
  <c r="F160" i="3"/>
  <c r="F218" i="3"/>
  <c r="F274" i="3"/>
  <c r="R217" i="3"/>
  <c r="R273" i="3"/>
  <c r="Q217" i="3"/>
  <c r="Q273" i="3"/>
  <c r="O217" i="3"/>
  <c r="O273" i="3"/>
  <c r="N217" i="3"/>
  <c r="N273" i="3"/>
  <c r="L217" i="3"/>
  <c r="L273" i="3"/>
  <c r="K217" i="3"/>
  <c r="K273" i="3"/>
  <c r="J217" i="3"/>
  <c r="J273" i="3"/>
  <c r="H217" i="3"/>
  <c r="H273" i="3"/>
  <c r="G217" i="3"/>
  <c r="G273" i="3"/>
  <c r="F155" i="3"/>
  <c r="F156" i="3"/>
  <c r="F157" i="3"/>
  <c r="F217" i="3"/>
  <c r="F273" i="3"/>
  <c r="R216" i="3"/>
  <c r="R272" i="3"/>
  <c r="Q216" i="3"/>
  <c r="Q272" i="3"/>
  <c r="O216" i="3"/>
  <c r="O272" i="3"/>
  <c r="N216" i="3"/>
  <c r="N272" i="3"/>
  <c r="L216" i="3"/>
  <c r="L272" i="3"/>
  <c r="K216" i="3"/>
  <c r="K272" i="3"/>
  <c r="J216" i="3"/>
  <c r="J272" i="3"/>
  <c r="H216" i="3"/>
  <c r="H272" i="3"/>
  <c r="G216" i="3"/>
  <c r="G272" i="3"/>
  <c r="F134" i="3"/>
  <c r="F135" i="3"/>
  <c r="F136" i="3"/>
  <c r="F216" i="3"/>
  <c r="F272" i="3"/>
  <c r="R215" i="3"/>
  <c r="R271" i="3"/>
  <c r="Q215" i="3"/>
  <c r="Q271" i="3"/>
  <c r="O215" i="3"/>
  <c r="O271" i="3"/>
  <c r="N215" i="3"/>
  <c r="N271" i="3"/>
  <c r="L215" i="3"/>
  <c r="L271" i="3"/>
  <c r="K215" i="3"/>
  <c r="K271" i="3"/>
  <c r="J215" i="3"/>
  <c r="J271" i="3"/>
  <c r="H215" i="3"/>
  <c r="H271" i="3"/>
  <c r="G215" i="3"/>
  <c r="G271" i="3"/>
  <c r="F131" i="3"/>
  <c r="F132" i="3"/>
  <c r="F133" i="3"/>
  <c r="F215" i="3"/>
  <c r="F271" i="3"/>
  <c r="R214" i="3"/>
  <c r="R270" i="3"/>
  <c r="Q214" i="3"/>
  <c r="Q270" i="3"/>
  <c r="O214" i="3"/>
  <c r="O270" i="3"/>
  <c r="N214" i="3"/>
  <c r="N270" i="3"/>
  <c r="L214" i="3"/>
  <c r="L270" i="3"/>
  <c r="K214" i="3"/>
  <c r="K270" i="3"/>
  <c r="J214" i="3"/>
  <c r="J270" i="3"/>
  <c r="H214" i="3"/>
  <c r="H270" i="3"/>
  <c r="G214" i="3"/>
  <c r="G270" i="3"/>
  <c r="F128" i="3"/>
  <c r="F129" i="3"/>
  <c r="F130" i="3"/>
  <c r="F214" i="3"/>
  <c r="F270" i="3"/>
  <c r="N152" i="3"/>
  <c r="N153" i="3"/>
  <c r="N154" i="3"/>
  <c r="N213" i="3"/>
  <c r="N269" i="3"/>
  <c r="M152" i="3"/>
  <c r="M153" i="3"/>
  <c r="M154" i="3"/>
  <c r="M213" i="3"/>
  <c r="M269" i="3"/>
  <c r="L152" i="3"/>
  <c r="L153" i="3"/>
  <c r="L154" i="3"/>
  <c r="L213" i="3"/>
  <c r="L269" i="3"/>
  <c r="K213" i="3"/>
  <c r="K269" i="3"/>
  <c r="J213" i="3"/>
  <c r="J269" i="3"/>
  <c r="I213" i="3"/>
  <c r="I269" i="3"/>
  <c r="G213" i="3"/>
  <c r="G269" i="3"/>
  <c r="F152" i="3"/>
  <c r="F153" i="3"/>
  <c r="F154" i="3"/>
  <c r="F213" i="3"/>
  <c r="F269" i="3"/>
  <c r="N149" i="3"/>
  <c r="N150" i="3"/>
  <c r="N151" i="3"/>
  <c r="N212" i="3"/>
  <c r="N268" i="3"/>
  <c r="M149" i="3"/>
  <c r="M150" i="3"/>
  <c r="M151" i="3"/>
  <c r="M212" i="3"/>
  <c r="M268" i="3"/>
  <c r="L149" i="3"/>
  <c r="L150" i="3"/>
  <c r="L151" i="3"/>
  <c r="L212" i="3"/>
  <c r="L268" i="3"/>
  <c r="K212" i="3"/>
  <c r="K268" i="3"/>
  <c r="J212" i="3"/>
  <c r="J268" i="3"/>
  <c r="I212" i="3"/>
  <c r="I268" i="3"/>
  <c r="G212" i="3"/>
  <c r="G268" i="3"/>
  <c r="F149" i="3"/>
  <c r="F150" i="3"/>
  <c r="F151" i="3"/>
  <c r="F212" i="3"/>
  <c r="F268" i="3"/>
  <c r="N146" i="3"/>
  <c r="N147" i="3"/>
  <c r="N148" i="3"/>
  <c r="N211" i="3"/>
  <c r="N267" i="3"/>
  <c r="M146" i="3"/>
  <c r="M147" i="3"/>
  <c r="M148" i="3"/>
  <c r="M211" i="3"/>
  <c r="M267" i="3"/>
  <c r="L146" i="3"/>
  <c r="L147" i="3"/>
  <c r="L148" i="3"/>
  <c r="L211" i="3"/>
  <c r="L267" i="3"/>
  <c r="K211" i="3"/>
  <c r="K267" i="3"/>
  <c r="J211" i="3"/>
  <c r="J267" i="3"/>
  <c r="I211" i="3"/>
  <c r="I267" i="3"/>
  <c r="G211" i="3"/>
  <c r="G267" i="3"/>
  <c r="F146" i="3"/>
  <c r="F147" i="3"/>
  <c r="F148" i="3"/>
  <c r="F211" i="3"/>
  <c r="F267" i="3"/>
  <c r="N143" i="3"/>
  <c r="N144" i="3"/>
  <c r="N145" i="3"/>
  <c r="N210" i="3"/>
  <c r="N266" i="3"/>
  <c r="M143" i="3"/>
  <c r="M144" i="3"/>
  <c r="M145" i="3"/>
  <c r="M210" i="3"/>
  <c r="M266" i="3"/>
  <c r="L143" i="3"/>
  <c r="L144" i="3"/>
  <c r="L145" i="3"/>
  <c r="L210" i="3"/>
  <c r="L266" i="3"/>
  <c r="K210" i="3"/>
  <c r="K266" i="3"/>
  <c r="J210" i="3"/>
  <c r="J266" i="3"/>
  <c r="H210" i="3"/>
  <c r="H266" i="3"/>
  <c r="G210" i="3"/>
  <c r="G266" i="3"/>
  <c r="F143" i="3"/>
  <c r="F144" i="3"/>
  <c r="F145" i="3"/>
  <c r="F210" i="3"/>
  <c r="F266" i="3"/>
  <c r="N140" i="3"/>
  <c r="N141" i="3"/>
  <c r="N142" i="3"/>
  <c r="N209" i="3"/>
  <c r="N265" i="3"/>
  <c r="M140" i="3"/>
  <c r="M141" i="3"/>
  <c r="M142" i="3"/>
  <c r="M209" i="3"/>
  <c r="M265" i="3"/>
  <c r="L140" i="3"/>
  <c r="L141" i="3"/>
  <c r="L142" i="3"/>
  <c r="L209" i="3"/>
  <c r="L265" i="3"/>
  <c r="K209" i="3"/>
  <c r="K265" i="3"/>
  <c r="J209" i="3"/>
  <c r="J265" i="3"/>
  <c r="H209" i="3"/>
  <c r="H265" i="3"/>
  <c r="G209" i="3"/>
  <c r="G265" i="3"/>
  <c r="F140" i="3"/>
  <c r="F141" i="3"/>
  <c r="F142" i="3"/>
  <c r="F209" i="3"/>
  <c r="F265" i="3"/>
  <c r="N137" i="3"/>
  <c r="N138" i="3"/>
  <c r="N139" i="3"/>
  <c r="N208" i="3"/>
  <c r="N264" i="3"/>
  <c r="M137" i="3"/>
  <c r="M138" i="3"/>
  <c r="M139" i="3"/>
  <c r="M208" i="3"/>
  <c r="M264" i="3"/>
  <c r="L137" i="3"/>
  <c r="L138" i="3"/>
  <c r="L139" i="3"/>
  <c r="L208" i="3"/>
  <c r="L264" i="3"/>
  <c r="K208" i="3"/>
  <c r="K264" i="3"/>
  <c r="J208" i="3"/>
  <c r="J264" i="3"/>
  <c r="H208" i="3"/>
  <c r="H264" i="3"/>
  <c r="G208" i="3"/>
  <c r="G264" i="3"/>
  <c r="F137" i="3"/>
  <c r="F138" i="3"/>
  <c r="F139" i="3"/>
  <c r="F208" i="3"/>
  <c r="F264" i="3"/>
  <c r="Q125" i="3"/>
  <c r="Q126" i="3"/>
  <c r="Q127" i="3"/>
  <c r="Q207" i="3"/>
  <c r="Q263" i="3"/>
  <c r="P125" i="3"/>
  <c r="P126" i="3"/>
  <c r="P127" i="3"/>
  <c r="P207" i="3"/>
  <c r="P263" i="3"/>
  <c r="O125" i="3"/>
  <c r="O126" i="3"/>
  <c r="O127" i="3"/>
  <c r="O207" i="3"/>
  <c r="O263" i="3"/>
  <c r="N125" i="3"/>
  <c r="N126" i="3"/>
  <c r="N127" i="3"/>
  <c r="N207" i="3"/>
  <c r="N263" i="3"/>
  <c r="M207" i="3"/>
  <c r="M263" i="3"/>
  <c r="L207" i="3"/>
  <c r="L263" i="3"/>
  <c r="K207" i="3"/>
  <c r="K263" i="3"/>
  <c r="J207" i="3"/>
  <c r="J263" i="3"/>
  <c r="H207" i="3"/>
  <c r="H263" i="3"/>
  <c r="G207" i="3"/>
  <c r="G263" i="3"/>
  <c r="F125" i="3"/>
  <c r="F126" i="3"/>
  <c r="F127" i="3"/>
  <c r="F207" i="3"/>
  <c r="F263" i="3"/>
  <c r="Q122" i="3"/>
  <c r="Q123" i="3"/>
  <c r="Q124" i="3"/>
  <c r="Q206" i="3"/>
  <c r="Q262" i="3"/>
  <c r="P122" i="3"/>
  <c r="P123" i="3"/>
  <c r="P124" i="3"/>
  <c r="P206" i="3"/>
  <c r="P262" i="3"/>
  <c r="O122" i="3"/>
  <c r="O123" i="3"/>
  <c r="O124" i="3"/>
  <c r="O206" i="3"/>
  <c r="O262" i="3"/>
  <c r="N122" i="3"/>
  <c r="N123" i="3"/>
  <c r="N124" i="3"/>
  <c r="N206" i="3"/>
  <c r="N262" i="3"/>
  <c r="M206" i="3"/>
  <c r="M262" i="3"/>
  <c r="L206" i="3"/>
  <c r="L262" i="3"/>
  <c r="K206" i="3"/>
  <c r="K262" i="3"/>
  <c r="J206" i="3"/>
  <c r="J262" i="3"/>
  <c r="H206" i="3"/>
  <c r="H262" i="3"/>
  <c r="G206" i="3"/>
  <c r="G262" i="3"/>
  <c r="F122" i="3"/>
  <c r="F123" i="3"/>
  <c r="F124" i="3"/>
  <c r="F206" i="3"/>
  <c r="F262" i="3"/>
  <c r="Q119" i="3"/>
  <c r="Q120" i="3"/>
  <c r="Q121" i="3"/>
  <c r="Q205" i="3"/>
  <c r="Q261" i="3"/>
  <c r="P119" i="3"/>
  <c r="P120" i="3"/>
  <c r="P121" i="3"/>
  <c r="P205" i="3"/>
  <c r="P261" i="3"/>
  <c r="O119" i="3"/>
  <c r="O120" i="3"/>
  <c r="O121" i="3"/>
  <c r="O205" i="3"/>
  <c r="O261" i="3"/>
  <c r="N119" i="3"/>
  <c r="N120" i="3"/>
  <c r="N121" i="3"/>
  <c r="N205" i="3"/>
  <c r="N261" i="3"/>
  <c r="M205" i="3"/>
  <c r="M261" i="3"/>
  <c r="L205" i="3"/>
  <c r="L261" i="3"/>
  <c r="K205" i="3"/>
  <c r="K261" i="3"/>
  <c r="J205" i="3"/>
  <c r="J261" i="3"/>
  <c r="H205" i="3"/>
  <c r="H261" i="3"/>
  <c r="G205" i="3"/>
  <c r="G261" i="3"/>
  <c r="F119" i="3"/>
  <c r="F120" i="3"/>
  <c r="F121" i="3"/>
  <c r="F205" i="3"/>
  <c r="F261" i="3"/>
  <c r="P116" i="3"/>
  <c r="P117" i="3"/>
  <c r="P118" i="3"/>
  <c r="P204" i="3"/>
  <c r="P260" i="3"/>
  <c r="O116" i="3"/>
  <c r="O117" i="3"/>
  <c r="O118" i="3"/>
  <c r="O204" i="3"/>
  <c r="O260" i="3"/>
  <c r="N116" i="3"/>
  <c r="N117" i="3"/>
  <c r="N118" i="3"/>
  <c r="N204" i="3"/>
  <c r="N260" i="3"/>
  <c r="M116" i="3"/>
  <c r="M117" i="3"/>
  <c r="M118" i="3"/>
  <c r="M204" i="3"/>
  <c r="M260" i="3"/>
  <c r="L116" i="3"/>
  <c r="L117" i="3"/>
  <c r="L118" i="3"/>
  <c r="L204" i="3"/>
  <c r="L260" i="3"/>
  <c r="K204" i="3"/>
  <c r="K260" i="3"/>
  <c r="J204" i="3"/>
  <c r="J260" i="3"/>
  <c r="H204" i="3"/>
  <c r="H260" i="3"/>
  <c r="G204" i="3"/>
  <c r="G260" i="3"/>
  <c r="F116" i="3"/>
  <c r="F117" i="3"/>
  <c r="F118" i="3"/>
  <c r="F204" i="3"/>
  <c r="F260" i="3"/>
  <c r="P113" i="3"/>
  <c r="P114" i="3"/>
  <c r="P115" i="3"/>
  <c r="P203" i="3"/>
  <c r="P259" i="3"/>
  <c r="O113" i="3"/>
  <c r="O114" i="3"/>
  <c r="O115" i="3"/>
  <c r="O203" i="3"/>
  <c r="O259" i="3"/>
  <c r="N113" i="3"/>
  <c r="N114" i="3"/>
  <c r="N115" i="3"/>
  <c r="N203" i="3"/>
  <c r="N259" i="3"/>
  <c r="M113" i="3"/>
  <c r="M114" i="3"/>
  <c r="M115" i="3"/>
  <c r="M203" i="3"/>
  <c r="M259" i="3"/>
  <c r="L113" i="3"/>
  <c r="L114" i="3"/>
  <c r="L115" i="3"/>
  <c r="L203" i="3"/>
  <c r="L259" i="3"/>
  <c r="K203" i="3"/>
  <c r="K259" i="3"/>
  <c r="J203" i="3"/>
  <c r="J259" i="3"/>
  <c r="H203" i="3"/>
  <c r="H259" i="3"/>
  <c r="G203" i="3"/>
  <c r="G259" i="3"/>
  <c r="F113" i="3"/>
  <c r="F114" i="3"/>
  <c r="F115" i="3"/>
  <c r="F203" i="3"/>
  <c r="F259" i="3"/>
  <c r="P110" i="3"/>
  <c r="P111" i="3"/>
  <c r="P112" i="3"/>
  <c r="P202" i="3"/>
  <c r="P258" i="3"/>
  <c r="O110" i="3"/>
  <c r="O111" i="3"/>
  <c r="O112" i="3"/>
  <c r="O202" i="3"/>
  <c r="O258" i="3"/>
  <c r="N110" i="3"/>
  <c r="N111" i="3"/>
  <c r="N112" i="3"/>
  <c r="N202" i="3"/>
  <c r="N258" i="3"/>
  <c r="M110" i="3"/>
  <c r="M111" i="3"/>
  <c r="M112" i="3"/>
  <c r="M202" i="3"/>
  <c r="M258" i="3"/>
  <c r="L110" i="3"/>
  <c r="L111" i="3"/>
  <c r="L112" i="3"/>
  <c r="L202" i="3"/>
  <c r="L258" i="3"/>
  <c r="K202" i="3"/>
  <c r="K258" i="3"/>
  <c r="J202" i="3"/>
  <c r="J258" i="3"/>
  <c r="H202" i="3"/>
  <c r="H258" i="3"/>
  <c r="G202" i="3"/>
  <c r="G258" i="3"/>
  <c r="F110" i="3"/>
  <c r="F111" i="3"/>
  <c r="F112" i="3"/>
  <c r="F202" i="3"/>
  <c r="F258" i="3"/>
  <c r="T107" i="3"/>
  <c r="T108" i="3"/>
  <c r="T109" i="3"/>
  <c r="T201" i="3"/>
  <c r="T257" i="3"/>
  <c r="S107" i="3"/>
  <c r="S108" i="3"/>
  <c r="S109" i="3"/>
  <c r="S201" i="3"/>
  <c r="S257" i="3"/>
  <c r="R107" i="3"/>
  <c r="R108" i="3"/>
  <c r="R109" i="3"/>
  <c r="R201" i="3"/>
  <c r="R257" i="3"/>
  <c r="Q201" i="3"/>
  <c r="Q257" i="3"/>
  <c r="P201" i="3"/>
  <c r="P257" i="3"/>
  <c r="O201" i="3"/>
  <c r="O257" i="3"/>
  <c r="N201" i="3"/>
  <c r="N257" i="3"/>
  <c r="M201" i="3"/>
  <c r="M257" i="3"/>
  <c r="K201" i="3"/>
  <c r="K257" i="3"/>
  <c r="J201" i="3"/>
  <c r="J257" i="3"/>
  <c r="I201" i="3"/>
  <c r="I257" i="3"/>
  <c r="H201" i="3"/>
  <c r="H257" i="3"/>
  <c r="G201" i="3"/>
  <c r="G257" i="3"/>
  <c r="F107" i="3"/>
  <c r="F108" i="3"/>
  <c r="F109" i="3"/>
  <c r="F201" i="3"/>
  <c r="F257" i="3"/>
  <c r="T104" i="3"/>
  <c r="T105" i="3"/>
  <c r="T106" i="3"/>
  <c r="T200" i="3"/>
  <c r="T256" i="3"/>
  <c r="S104" i="3"/>
  <c r="S105" i="3"/>
  <c r="S106" i="3"/>
  <c r="S200" i="3"/>
  <c r="S256" i="3"/>
  <c r="R104" i="3"/>
  <c r="R105" i="3"/>
  <c r="R106" i="3"/>
  <c r="R200" i="3"/>
  <c r="R256" i="3"/>
  <c r="Q200" i="3"/>
  <c r="Q256" i="3"/>
  <c r="P200" i="3"/>
  <c r="P256" i="3"/>
  <c r="O200" i="3"/>
  <c r="O256" i="3"/>
  <c r="N200" i="3"/>
  <c r="N256" i="3"/>
  <c r="M200" i="3"/>
  <c r="M256" i="3"/>
  <c r="K200" i="3"/>
  <c r="K256" i="3"/>
  <c r="J200" i="3"/>
  <c r="J256" i="3"/>
  <c r="I200" i="3"/>
  <c r="I256" i="3"/>
  <c r="H200" i="3"/>
  <c r="H256" i="3"/>
  <c r="G200" i="3"/>
  <c r="G256" i="3"/>
  <c r="F104" i="3"/>
  <c r="F105" i="3"/>
  <c r="F106" i="3"/>
  <c r="F200" i="3"/>
  <c r="F256" i="3"/>
  <c r="T101" i="3"/>
  <c r="T102" i="3"/>
  <c r="T103" i="3"/>
  <c r="T199" i="3"/>
  <c r="T255" i="3"/>
  <c r="S101" i="3"/>
  <c r="S102" i="3"/>
  <c r="S103" i="3"/>
  <c r="S199" i="3"/>
  <c r="S255" i="3"/>
  <c r="R101" i="3"/>
  <c r="R102" i="3"/>
  <c r="R103" i="3"/>
  <c r="R199" i="3"/>
  <c r="R255" i="3"/>
  <c r="Q199" i="3"/>
  <c r="Q255" i="3"/>
  <c r="P199" i="3"/>
  <c r="P255" i="3"/>
  <c r="O199" i="3"/>
  <c r="O255" i="3"/>
  <c r="N199" i="3"/>
  <c r="N255" i="3"/>
  <c r="M199" i="3"/>
  <c r="M255" i="3"/>
  <c r="K199" i="3"/>
  <c r="K255" i="3"/>
  <c r="J199" i="3"/>
  <c r="J255" i="3"/>
  <c r="I199" i="3"/>
  <c r="I255" i="3"/>
  <c r="H199" i="3"/>
  <c r="H255" i="3"/>
  <c r="G199" i="3"/>
  <c r="G255" i="3"/>
  <c r="F101" i="3"/>
  <c r="F102" i="3"/>
  <c r="F103" i="3"/>
  <c r="F199" i="3"/>
  <c r="F255" i="3"/>
  <c r="S98" i="3"/>
  <c r="S99" i="3"/>
  <c r="S100" i="3"/>
  <c r="S198" i="3"/>
  <c r="S254" i="3"/>
  <c r="R98" i="3"/>
  <c r="R99" i="3"/>
  <c r="R100" i="3"/>
  <c r="R198" i="3"/>
  <c r="R254" i="3"/>
  <c r="Q198" i="3"/>
  <c r="Q254" i="3"/>
  <c r="P198" i="3"/>
  <c r="P254" i="3"/>
  <c r="O198" i="3"/>
  <c r="O254" i="3"/>
  <c r="N198" i="3"/>
  <c r="N254" i="3"/>
  <c r="M198" i="3"/>
  <c r="M254" i="3"/>
  <c r="K198" i="3"/>
  <c r="K254" i="3"/>
  <c r="J198" i="3"/>
  <c r="J254" i="3"/>
  <c r="I198" i="3"/>
  <c r="I254" i="3"/>
  <c r="H198" i="3"/>
  <c r="H254" i="3"/>
  <c r="G198" i="3"/>
  <c r="G254" i="3"/>
  <c r="F98" i="3"/>
  <c r="F99" i="3"/>
  <c r="F100" i="3"/>
  <c r="F198" i="3"/>
  <c r="F254" i="3"/>
  <c r="S95" i="3"/>
  <c r="S96" i="3"/>
  <c r="S97" i="3"/>
  <c r="S197" i="3"/>
  <c r="S253" i="3"/>
  <c r="R95" i="3"/>
  <c r="R96" i="3"/>
  <c r="R97" i="3"/>
  <c r="R197" i="3"/>
  <c r="R253" i="3"/>
  <c r="Q95" i="3"/>
  <c r="Q96" i="3"/>
  <c r="Q97" i="3"/>
  <c r="Q197" i="3"/>
  <c r="Q253" i="3"/>
  <c r="P95" i="3"/>
  <c r="P96" i="3"/>
  <c r="P97" i="3"/>
  <c r="P197" i="3"/>
  <c r="P253" i="3"/>
  <c r="O197" i="3"/>
  <c r="O253" i="3"/>
  <c r="N197" i="3"/>
  <c r="N253" i="3"/>
  <c r="M197" i="3"/>
  <c r="M253" i="3"/>
  <c r="K197" i="3"/>
  <c r="K253" i="3"/>
  <c r="J197" i="3"/>
  <c r="J253" i="3"/>
  <c r="I197" i="3"/>
  <c r="I253" i="3"/>
  <c r="H197" i="3"/>
  <c r="H253" i="3"/>
  <c r="G197" i="3"/>
  <c r="G253" i="3"/>
  <c r="F95" i="3"/>
  <c r="F96" i="3"/>
  <c r="F97" i="3"/>
  <c r="F197" i="3"/>
  <c r="F253" i="3"/>
  <c r="S92" i="3"/>
  <c r="S93" i="3"/>
  <c r="S94" i="3"/>
  <c r="S196" i="3"/>
  <c r="S252" i="3"/>
  <c r="R92" i="3"/>
  <c r="R93" i="3"/>
  <c r="R94" i="3"/>
  <c r="R196" i="3"/>
  <c r="R252" i="3"/>
  <c r="Q196" i="3"/>
  <c r="Q252" i="3"/>
  <c r="P196" i="3"/>
  <c r="P252" i="3"/>
  <c r="O196" i="3"/>
  <c r="O252" i="3"/>
  <c r="N196" i="3"/>
  <c r="N252" i="3"/>
  <c r="M196" i="3"/>
  <c r="M252" i="3"/>
  <c r="K196" i="3"/>
  <c r="K252" i="3"/>
  <c r="J196" i="3"/>
  <c r="J252" i="3"/>
  <c r="I196" i="3"/>
  <c r="I252" i="3"/>
  <c r="H196" i="3"/>
  <c r="H252" i="3"/>
  <c r="G196" i="3"/>
  <c r="G252" i="3"/>
  <c r="F92" i="3"/>
  <c r="F93" i="3"/>
  <c r="F94" i="3"/>
  <c r="F196" i="3"/>
  <c r="F252" i="3"/>
  <c r="W195" i="3"/>
  <c r="W251" i="3"/>
  <c r="V195" i="3"/>
  <c r="V251" i="3"/>
  <c r="U195" i="3"/>
  <c r="U251" i="3"/>
  <c r="T195" i="3"/>
  <c r="T251" i="3"/>
  <c r="S195" i="3"/>
  <c r="S251" i="3"/>
  <c r="R195" i="3"/>
  <c r="R251" i="3"/>
  <c r="Q195" i="3"/>
  <c r="Q251" i="3"/>
  <c r="P195" i="3"/>
  <c r="P251" i="3"/>
  <c r="O195" i="3"/>
  <c r="O251" i="3"/>
  <c r="N195" i="3"/>
  <c r="N251" i="3"/>
  <c r="M195" i="3"/>
  <c r="M251" i="3"/>
  <c r="K195" i="3"/>
  <c r="K251" i="3"/>
  <c r="J195" i="3"/>
  <c r="J251" i="3"/>
  <c r="I195" i="3"/>
  <c r="I251" i="3"/>
  <c r="H195" i="3"/>
  <c r="H251" i="3"/>
  <c r="G195" i="3"/>
  <c r="G251" i="3"/>
  <c r="F89" i="3"/>
  <c r="F90" i="3"/>
  <c r="F91" i="3"/>
  <c r="F195" i="3"/>
  <c r="F251" i="3"/>
  <c r="W86" i="3"/>
  <c r="W87" i="3"/>
  <c r="W88" i="3"/>
  <c r="W194" i="3"/>
  <c r="W250" i="3"/>
  <c r="V86" i="3"/>
  <c r="V87" i="3"/>
  <c r="V88" i="3"/>
  <c r="V194" i="3"/>
  <c r="V250" i="3"/>
  <c r="U86" i="3"/>
  <c r="U87" i="3"/>
  <c r="U88" i="3"/>
  <c r="U194" i="3"/>
  <c r="U250" i="3"/>
  <c r="T194" i="3"/>
  <c r="T250" i="3"/>
  <c r="S194" i="3"/>
  <c r="S250" i="3"/>
  <c r="R194" i="3"/>
  <c r="R250" i="3"/>
  <c r="Q194" i="3"/>
  <c r="Q250" i="3"/>
  <c r="P86" i="3"/>
  <c r="P87" i="3"/>
  <c r="P88" i="3"/>
  <c r="P194" i="3"/>
  <c r="P250" i="3"/>
  <c r="O194" i="3"/>
  <c r="O250" i="3"/>
  <c r="N194" i="3"/>
  <c r="N250" i="3"/>
  <c r="M194" i="3"/>
  <c r="M250" i="3"/>
  <c r="K194" i="3"/>
  <c r="K250" i="3"/>
  <c r="J194" i="3"/>
  <c r="J250" i="3"/>
  <c r="I194" i="3"/>
  <c r="I250" i="3"/>
  <c r="H194" i="3"/>
  <c r="H250" i="3"/>
  <c r="G194" i="3"/>
  <c r="G250" i="3"/>
  <c r="F86" i="3"/>
  <c r="F87" i="3"/>
  <c r="F88" i="3"/>
  <c r="F194" i="3"/>
  <c r="F250" i="3"/>
  <c r="W83" i="3"/>
  <c r="W84" i="3"/>
  <c r="W85" i="3"/>
  <c r="W193" i="3"/>
  <c r="W249" i="3"/>
  <c r="V83" i="3"/>
  <c r="V84" i="3"/>
  <c r="V85" i="3"/>
  <c r="V193" i="3"/>
  <c r="V249" i="3"/>
  <c r="U83" i="3"/>
  <c r="U84" i="3"/>
  <c r="U85" i="3"/>
  <c r="U193" i="3"/>
  <c r="U249" i="3"/>
  <c r="T83" i="3"/>
  <c r="T84" i="3"/>
  <c r="T85" i="3"/>
  <c r="T193" i="3"/>
  <c r="T249" i="3"/>
  <c r="S83" i="3"/>
  <c r="S84" i="3"/>
  <c r="S85" i="3"/>
  <c r="S193" i="3"/>
  <c r="S249" i="3"/>
  <c r="R83" i="3"/>
  <c r="R84" i="3"/>
  <c r="R85" i="3"/>
  <c r="R193" i="3"/>
  <c r="R249" i="3"/>
  <c r="Q83" i="3"/>
  <c r="Q84" i="3"/>
  <c r="Q85" i="3"/>
  <c r="Q193" i="3"/>
  <c r="Q249" i="3"/>
  <c r="P83" i="3"/>
  <c r="P84" i="3"/>
  <c r="P85" i="3"/>
  <c r="P193" i="3"/>
  <c r="P249" i="3"/>
  <c r="O193" i="3"/>
  <c r="O249" i="3"/>
  <c r="N193" i="3"/>
  <c r="N249" i="3"/>
  <c r="M193" i="3"/>
  <c r="M249" i="3"/>
  <c r="K193" i="3"/>
  <c r="K249" i="3"/>
  <c r="J193" i="3"/>
  <c r="J249" i="3"/>
  <c r="I193" i="3"/>
  <c r="I249" i="3"/>
  <c r="H193" i="3"/>
  <c r="H249" i="3"/>
  <c r="G193" i="3"/>
  <c r="G249" i="3"/>
  <c r="F83" i="3"/>
  <c r="F84" i="3"/>
  <c r="F85" i="3"/>
  <c r="F193" i="3"/>
  <c r="F249" i="3"/>
  <c r="T80" i="3"/>
  <c r="T81" i="3"/>
  <c r="T82" i="3"/>
  <c r="T192" i="3"/>
  <c r="T248" i="3"/>
  <c r="S80" i="3"/>
  <c r="S81" i="3"/>
  <c r="S82" i="3"/>
  <c r="S192" i="3"/>
  <c r="S248" i="3"/>
  <c r="R80" i="3"/>
  <c r="R81" i="3"/>
  <c r="R82" i="3"/>
  <c r="R192" i="3"/>
  <c r="R248" i="3"/>
  <c r="Q192" i="3"/>
  <c r="Q248" i="3"/>
  <c r="P192" i="3"/>
  <c r="P248" i="3"/>
  <c r="O192" i="3"/>
  <c r="O248" i="3"/>
  <c r="N192" i="3"/>
  <c r="N248" i="3"/>
  <c r="M192" i="3"/>
  <c r="M248" i="3"/>
  <c r="K192" i="3"/>
  <c r="K248" i="3"/>
  <c r="J192" i="3"/>
  <c r="J248" i="3"/>
  <c r="I192" i="3"/>
  <c r="I248" i="3"/>
  <c r="H192" i="3"/>
  <c r="H248" i="3"/>
  <c r="G192" i="3"/>
  <c r="G248" i="3"/>
  <c r="F80" i="3"/>
  <c r="F81" i="3"/>
  <c r="F82" i="3"/>
  <c r="F192" i="3"/>
  <c r="F248" i="3"/>
  <c r="T77" i="3"/>
  <c r="T78" i="3"/>
  <c r="T79" i="3"/>
  <c r="T191" i="3"/>
  <c r="T247" i="3"/>
  <c r="S77" i="3"/>
  <c r="S78" i="3"/>
  <c r="S79" i="3"/>
  <c r="S191" i="3"/>
  <c r="S247" i="3"/>
  <c r="R77" i="3"/>
  <c r="R78" i="3"/>
  <c r="R79" i="3"/>
  <c r="R191" i="3"/>
  <c r="R247" i="3"/>
  <c r="Q191" i="3"/>
  <c r="Q247" i="3"/>
  <c r="P191" i="3"/>
  <c r="P247" i="3"/>
  <c r="O191" i="3"/>
  <c r="O247" i="3"/>
  <c r="N191" i="3"/>
  <c r="N247" i="3"/>
  <c r="M191" i="3"/>
  <c r="M247" i="3"/>
  <c r="K191" i="3"/>
  <c r="K247" i="3"/>
  <c r="J191" i="3"/>
  <c r="J247" i="3"/>
  <c r="I191" i="3"/>
  <c r="I247" i="3"/>
  <c r="H191" i="3"/>
  <c r="H247" i="3"/>
  <c r="G191" i="3"/>
  <c r="G247" i="3"/>
  <c r="F77" i="3"/>
  <c r="F78" i="3"/>
  <c r="F79" i="3"/>
  <c r="F191" i="3"/>
  <c r="F247" i="3"/>
  <c r="T74" i="3"/>
  <c r="T75" i="3"/>
  <c r="T76" i="3"/>
  <c r="T190" i="3"/>
  <c r="T246" i="3"/>
  <c r="S74" i="3"/>
  <c r="S75" i="3"/>
  <c r="S76" i="3"/>
  <c r="S190" i="3"/>
  <c r="S246" i="3"/>
  <c r="R74" i="3"/>
  <c r="R75" i="3"/>
  <c r="R76" i="3"/>
  <c r="R190" i="3"/>
  <c r="R246" i="3"/>
  <c r="Q74" i="3"/>
  <c r="Q75" i="3"/>
  <c r="Q76" i="3"/>
  <c r="Q190" i="3"/>
  <c r="Q246" i="3"/>
  <c r="P74" i="3"/>
  <c r="P75" i="3"/>
  <c r="P76" i="3"/>
  <c r="P190" i="3"/>
  <c r="P246" i="3"/>
  <c r="O74" i="3"/>
  <c r="O75" i="3"/>
  <c r="O76" i="3"/>
  <c r="O190" i="3"/>
  <c r="O246" i="3"/>
  <c r="N190" i="3"/>
  <c r="N246" i="3"/>
  <c r="M190" i="3"/>
  <c r="M246" i="3"/>
  <c r="K190" i="3"/>
  <c r="K246" i="3"/>
  <c r="J190" i="3"/>
  <c r="J246" i="3"/>
  <c r="I190" i="3"/>
  <c r="I246" i="3"/>
  <c r="H190" i="3"/>
  <c r="H246" i="3"/>
  <c r="G190" i="3"/>
  <c r="G246" i="3"/>
  <c r="F74" i="3"/>
  <c r="F75" i="3"/>
  <c r="F76" i="3"/>
  <c r="F190" i="3"/>
  <c r="F246" i="3"/>
  <c r="O71" i="3"/>
  <c r="O72" i="3"/>
  <c r="O73" i="3"/>
  <c r="O189" i="3"/>
  <c r="O245" i="3"/>
  <c r="N71" i="3"/>
  <c r="N72" i="3"/>
  <c r="N73" i="3"/>
  <c r="N189" i="3"/>
  <c r="N245" i="3"/>
  <c r="M71" i="3"/>
  <c r="M72" i="3"/>
  <c r="M73" i="3"/>
  <c r="M189" i="3"/>
  <c r="M245" i="3"/>
  <c r="L71" i="3"/>
  <c r="L72" i="3"/>
  <c r="L73" i="3"/>
  <c r="L189" i="3"/>
  <c r="L245" i="3"/>
  <c r="K189" i="3"/>
  <c r="K245" i="3"/>
  <c r="J189" i="3"/>
  <c r="J245" i="3"/>
  <c r="H189" i="3"/>
  <c r="H245" i="3"/>
  <c r="G189" i="3"/>
  <c r="G245" i="3"/>
  <c r="F71" i="3"/>
  <c r="F72" i="3"/>
  <c r="F73" i="3"/>
  <c r="F189" i="3"/>
  <c r="F245" i="3"/>
  <c r="O68" i="3"/>
  <c r="O69" i="3"/>
  <c r="O70" i="3"/>
  <c r="O188" i="3"/>
  <c r="O244" i="3"/>
  <c r="N68" i="3"/>
  <c r="N69" i="3"/>
  <c r="N70" i="3"/>
  <c r="N188" i="3"/>
  <c r="N244" i="3"/>
  <c r="M68" i="3"/>
  <c r="M69" i="3"/>
  <c r="M70" i="3"/>
  <c r="M188" i="3"/>
  <c r="M244" i="3"/>
  <c r="L68" i="3"/>
  <c r="L69" i="3"/>
  <c r="L70" i="3"/>
  <c r="L188" i="3"/>
  <c r="L244" i="3"/>
  <c r="K188" i="3"/>
  <c r="K244" i="3"/>
  <c r="J188" i="3"/>
  <c r="J244" i="3"/>
  <c r="H188" i="3"/>
  <c r="H244" i="3"/>
  <c r="G188" i="3"/>
  <c r="G244" i="3"/>
  <c r="F68" i="3"/>
  <c r="F69" i="3"/>
  <c r="F70" i="3"/>
  <c r="F188" i="3"/>
  <c r="F244" i="3"/>
  <c r="O65" i="3"/>
  <c r="O66" i="3"/>
  <c r="O67" i="3"/>
  <c r="O187" i="3"/>
  <c r="O243" i="3"/>
  <c r="N65" i="3"/>
  <c r="N66" i="3"/>
  <c r="N67" i="3"/>
  <c r="N187" i="3"/>
  <c r="N243" i="3"/>
  <c r="M65" i="3"/>
  <c r="M66" i="3"/>
  <c r="M67" i="3"/>
  <c r="M187" i="3"/>
  <c r="M243" i="3"/>
  <c r="L65" i="3"/>
  <c r="L66" i="3"/>
  <c r="L67" i="3"/>
  <c r="L187" i="3"/>
  <c r="L243" i="3"/>
  <c r="K187" i="3"/>
  <c r="K243" i="3"/>
  <c r="J187" i="3"/>
  <c r="J243" i="3"/>
  <c r="H187" i="3"/>
  <c r="H243" i="3"/>
  <c r="G187" i="3"/>
  <c r="G243" i="3"/>
  <c r="F65" i="3"/>
  <c r="F66" i="3"/>
  <c r="F67" i="3"/>
  <c r="F187" i="3"/>
  <c r="F243" i="3"/>
  <c r="O62" i="3"/>
  <c r="O63" i="3"/>
  <c r="O64" i="3"/>
  <c r="O186" i="3"/>
  <c r="O242" i="3"/>
  <c r="N62" i="3"/>
  <c r="N63" i="3"/>
  <c r="N64" i="3"/>
  <c r="N186" i="3"/>
  <c r="N242" i="3"/>
  <c r="M62" i="3"/>
  <c r="M63" i="3"/>
  <c r="M64" i="3"/>
  <c r="M186" i="3"/>
  <c r="M242" i="3"/>
  <c r="L62" i="3"/>
  <c r="L63" i="3"/>
  <c r="L64" i="3"/>
  <c r="L186" i="3"/>
  <c r="L242" i="3"/>
  <c r="K186" i="3"/>
  <c r="K242" i="3"/>
  <c r="J186" i="3"/>
  <c r="J242" i="3"/>
  <c r="H186" i="3"/>
  <c r="H242" i="3"/>
  <c r="G186" i="3"/>
  <c r="G242" i="3"/>
  <c r="F62" i="3"/>
  <c r="F63" i="3"/>
  <c r="F64" i="3"/>
  <c r="F186" i="3"/>
  <c r="F242" i="3"/>
  <c r="O59" i="3"/>
  <c r="O60" i="3"/>
  <c r="O61" i="3"/>
  <c r="O185" i="3"/>
  <c r="O241" i="3"/>
  <c r="N59" i="3"/>
  <c r="N60" i="3"/>
  <c r="N61" i="3"/>
  <c r="N185" i="3"/>
  <c r="N241" i="3"/>
  <c r="M59" i="3"/>
  <c r="M60" i="3"/>
  <c r="M61" i="3"/>
  <c r="M185" i="3"/>
  <c r="M241" i="3"/>
  <c r="L59" i="3"/>
  <c r="L60" i="3"/>
  <c r="L61" i="3"/>
  <c r="L185" i="3"/>
  <c r="L241" i="3"/>
  <c r="K185" i="3"/>
  <c r="K241" i="3"/>
  <c r="J185" i="3"/>
  <c r="J241" i="3"/>
  <c r="H185" i="3"/>
  <c r="H241" i="3"/>
  <c r="G185" i="3"/>
  <c r="G241" i="3"/>
  <c r="F59" i="3"/>
  <c r="F60" i="3"/>
  <c r="F61" i="3"/>
  <c r="F185" i="3"/>
  <c r="F241" i="3"/>
  <c r="O56" i="3"/>
  <c r="O57" i="3"/>
  <c r="O58" i="3"/>
  <c r="O184" i="3"/>
  <c r="O240" i="3"/>
  <c r="N56" i="3"/>
  <c r="N57" i="3"/>
  <c r="N58" i="3"/>
  <c r="N184" i="3"/>
  <c r="N240" i="3"/>
  <c r="M56" i="3"/>
  <c r="M57" i="3"/>
  <c r="M58" i="3"/>
  <c r="M184" i="3"/>
  <c r="M240" i="3"/>
  <c r="L56" i="3"/>
  <c r="L57" i="3"/>
  <c r="L58" i="3"/>
  <c r="L184" i="3"/>
  <c r="L240" i="3"/>
  <c r="K184" i="3"/>
  <c r="K240" i="3"/>
  <c r="J184" i="3"/>
  <c r="J240" i="3"/>
  <c r="H184" i="3"/>
  <c r="H240" i="3"/>
  <c r="G184" i="3"/>
  <c r="G240" i="3"/>
  <c r="F56" i="3"/>
  <c r="F57" i="3"/>
  <c r="F58" i="3"/>
  <c r="F184" i="3"/>
  <c r="F240" i="3"/>
  <c r="Q53" i="3"/>
  <c r="Q54" i="3"/>
  <c r="Q55" i="3"/>
  <c r="Q183" i="3"/>
  <c r="Q239" i="3"/>
  <c r="P53" i="3"/>
  <c r="P54" i="3"/>
  <c r="P55" i="3"/>
  <c r="P183" i="3"/>
  <c r="P239" i="3"/>
  <c r="O53" i="3"/>
  <c r="O54" i="3"/>
  <c r="O55" i="3"/>
  <c r="O183" i="3"/>
  <c r="O239" i="3"/>
  <c r="N53" i="3"/>
  <c r="N54" i="3"/>
  <c r="N55" i="3"/>
  <c r="N183" i="3"/>
  <c r="N239" i="3"/>
  <c r="M53" i="3"/>
  <c r="M54" i="3"/>
  <c r="M55" i="3"/>
  <c r="M183" i="3"/>
  <c r="M239" i="3"/>
  <c r="L53" i="3"/>
  <c r="L54" i="3"/>
  <c r="L55" i="3"/>
  <c r="L183" i="3"/>
  <c r="L239" i="3"/>
  <c r="K183" i="3"/>
  <c r="K239" i="3"/>
  <c r="J183" i="3"/>
  <c r="J239" i="3"/>
  <c r="H183" i="3"/>
  <c r="H239" i="3"/>
  <c r="G183" i="3"/>
  <c r="G239" i="3"/>
  <c r="F53" i="3"/>
  <c r="F54" i="3"/>
  <c r="F55" i="3"/>
  <c r="F183" i="3"/>
  <c r="F239" i="3"/>
  <c r="Q50" i="3"/>
  <c r="Q51" i="3"/>
  <c r="Q52" i="3"/>
  <c r="Q182" i="3"/>
  <c r="Q238" i="3"/>
  <c r="P50" i="3"/>
  <c r="P51" i="3"/>
  <c r="P52" i="3"/>
  <c r="P182" i="3"/>
  <c r="P238" i="3"/>
  <c r="O50" i="3"/>
  <c r="O51" i="3"/>
  <c r="O52" i="3"/>
  <c r="O182" i="3"/>
  <c r="O238" i="3"/>
  <c r="N50" i="3"/>
  <c r="N51" i="3"/>
  <c r="N52" i="3"/>
  <c r="N182" i="3"/>
  <c r="N238" i="3"/>
  <c r="M50" i="3"/>
  <c r="M51" i="3"/>
  <c r="M52" i="3"/>
  <c r="M182" i="3"/>
  <c r="M238" i="3"/>
  <c r="L50" i="3"/>
  <c r="L51" i="3"/>
  <c r="L52" i="3"/>
  <c r="L182" i="3"/>
  <c r="L238" i="3"/>
  <c r="K182" i="3"/>
  <c r="K238" i="3"/>
  <c r="J182" i="3"/>
  <c r="J238" i="3"/>
  <c r="H182" i="3"/>
  <c r="H238" i="3"/>
  <c r="G182" i="3"/>
  <c r="G238" i="3"/>
  <c r="F50" i="3"/>
  <c r="F51" i="3"/>
  <c r="F52" i="3"/>
  <c r="F182" i="3"/>
  <c r="F238" i="3"/>
  <c r="Q47" i="3"/>
  <c r="Q48" i="3"/>
  <c r="Q49" i="3"/>
  <c r="Q181" i="3"/>
  <c r="Q237" i="3"/>
  <c r="P47" i="3"/>
  <c r="P48" i="3"/>
  <c r="P49" i="3"/>
  <c r="P181" i="3"/>
  <c r="P237" i="3"/>
  <c r="O47" i="3"/>
  <c r="O48" i="3"/>
  <c r="O49" i="3"/>
  <c r="O181" i="3"/>
  <c r="O237" i="3"/>
  <c r="N47" i="3"/>
  <c r="N48" i="3"/>
  <c r="N49" i="3"/>
  <c r="N181" i="3"/>
  <c r="N237" i="3"/>
  <c r="M47" i="3"/>
  <c r="M48" i="3"/>
  <c r="M49" i="3"/>
  <c r="M181" i="3"/>
  <c r="M237" i="3"/>
  <c r="L47" i="3"/>
  <c r="L48" i="3"/>
  <c r="L49" i="3"/>
  <c r="L181" i="3"/>
  <c r="L237" i="3"/>
  <c r="K181" i="3"/>
  <c r="K237" i="3"/>
  <c r="J181" i="3"/>
  <c r="J237" i="3"/>
  <c r="H181" i="3"/>
  <c r="H237" i="3"/>
  <c r="G181" i="3"/>
  <c r="G237" i="3"/>
  <c r="F47" i="3"/>
  <c r="F48" i="3"/>
  <c r="F49" i="3"/>
  <c r="F181" i="3"/>
  <c r="F237" i="3"/>
  <c r="Q44" i="3"/>
  <c r="Q45" i="3"/>
  <c r="Q46" i="3"/>
  <c r="Q180" i="3"/>
  <c r="Q236" i="3"/>
  <c r="P44" i="3"/>
  <c r="P45" i="3"/>
  <c r="P46" i="3"/>
  <c r="P180" i="3"/>
  <c r="P236" i="3"/>
  <c r="O44" i="3"/>
  <c r="O45" i="3"/>
  <c r="O46" i="3"/>
  <c r="O180" i="3"/>
  <c r="O236" i="3"/>
  <c r="N44" i="3"/>
  <c r="N45" i="3"/>
  <c r="N46" i="3"/>
  <c r="N180" i="3"/>
  <c r="N236" i="3"/>
  <c r="M44" i="3"/>
  <c r="M45" i="3"/>
  <c r="M46" i="3"/>
  <c r="M180" i="3"/>
  <c r="M236" i="3"/>
  <c r="L44" i="3"/>
  <c r="L45" i="3"/>
  <c r="L46" i="3"/>
  <c r="L180" i="3"/>
  <c r="L236" i="3"/>
  <c r="K180" i="3"/>
  <c r="K236" i="3"/>
  <c r="J180" i="3"/>
  <c r="J236" i="3"/>
  <c r="H180" i="3"/>
  <c r="H236" i="3"/>
  <c r="G180" i="3"/>
  <c r="G236" i="3"/>
  <c r="F44" i="3"/>
  <c r="F45" i="3"/>
  <c r="F46" i="3"/>
  <c r="F180" i="3"/>
  <c r="F236" i="3"/>
  <c r="Q41" i="3"/>
  <c r="Q42" i="3"/>
  <c r="Q43" i="3"/>
  <c r="Q179" i="3"/>
  <c r="Q235" i="3"/>
  <c r="P41" i="3"/>
  <c r="P42" i="3"/>
  <c r="P43" i="3"/>
  <c r="P179" i="3"/>
  <c r="P235" i="3"/>
  <c r="O41" i="3"/>
  <c r="O42" i="3"/>
  <c r="O43" i="3"/>
  <c r="O179" i="3"/>
  <c r="O235" i="3"/>
  <c r="N41" i="3"/>
  <c r="N42" i="3"/>
  <c r="N43" i="3"/>
  <c r="N179" i="3"/>
  <c r="N235" i="3"/>
  <c r="M41" i="3"/>
  <c r="M42" i="3"/>
  <c r="M43" i="3"/>
  <c r="M179" i="3"/>
  <c r="M235" i="3"/>
  <c r="L41" i="3"/>
  <c r="L42" i="3"/>
  <c r="L43" i="3"/>
  <c r="L179" i="3"/>
  <c r="L235" i="3"/>
  <c r="K179" i="3"/>
  <c r="K235" i="3"/>
  <c r="J179" i="3"/>
  <c r="J235" i="3"/>
  <c r="H179" i="3"/>
  <c r="H235" i="3"/>
  <c r="G179" i="3"/>
  <c r="G235" i="3"/>
  <c r="F41" i="3"/>
  <c r="F42" i="3"/>
  <c r="F43" i="3"/>
  <c r="F179" i="3"/>
  <c r="F235" i="3"/>
  <c r="Q38" i="3"/>
  <c r="Q39" i="3"/>
  <c r="Q40" i="3"/>
  <c r="Q178" i="3"/>
  <c r="Q234" i="3"/>
  <c r="P38" i="3"/>
  <c r="P39" i="3"/>
  <c r="P40" i="3"/>
  <c r="P178" i="3"/>
  <c r="P234" i="3"/>
  <c r="O38" i="3"/>
  <c r="O39" i="3"/>
  <c r="O40" i="3"/>
  <c r="O178" i="3"/>
  <c r="O234" i="3"/>
  <c r="N38" i="3"/>
  <c r="N39" i="3"/>
  <c r="N40" i="3"/>
  <c r="N178" i="3"/>
  <c r="N234" i="3"/>
  <c r="M38" i="3"/>
  <c r="M39" i="3"/>
  <c r="M40" i="3"/>
  <c r="M178" i="3"/>
  <c r="M234" i="3"/>
  <c r="L38" i="3"/>
  <c r="L39" i="3"/>
  <c r="L40" i="3"/>
  <c r="L178" i="3"/>
  <c r="L234" i="3"/>
  <c r="K178" i="3"/>
  <c r="K234" i="3"/>
  <c r="J178" i="3"/>
  <c r="J234" i="3"/>
  <c r="H178" i="3"/>
  <c r="H234" i="3"/>
  <c r="G178" i="3"/>
  <c r="G234" i="3"/>
  <c r="F38" i="3"/>
  <c r="F39" i="3"/>
  <c r="F40" i="3"/>
  <c r="F178" i="3"/>
  <c r="F234" i="3"/>
  <c r="N35" i="3"/>
  <c r="N36" i="3"/>
  <c r="N37" i="3"/>
  <c r="N177" i="3"/>
  <c r="N233" i="3"/>
  <c r="M35" i="3"/>
  <c r="M36" i="3"/>
  <c r="M37" i="3"/>
  <c r="M177" i="3"/>
  <c r="M233" i="3"/>
  <c r="L35" i="3"/>
  <c r="L36" i="3"/>
  <c r="L37" i="3"/>
  <c r="L177" i="3"/>
  <c r="L233" i="3"/>
  <c r="K35" i="3"/>
  <c r="K36" i="3"/>
  <c r="K37" i="3"/>
  <c r="K177" i="3"/>
  <c r="K233" i="3"/>
  <c r="J177" i="3"/>
  <c r="J233" i="3"/>
  <c r="I177" i="3"/>
  <c r="I233" i="3"/>
  <c r="H177" i="3"/>
  <c r="H233" i="3"/>
  <c r="G177" i="3"/>
  <c r="G233" i="3"/>
  <c r="F35" i="3"/>
  <c r="F36" i="3"/>
  <c r="F37" i="3"/>
  <c r="F177" i="3"/>
  <c r="F233" i="3"/>
  <c r="N32" i="3"/>
  <c r="N33" i="3"/>
  <c r="N34" i="3"/>
  <c r="N176" i="3"/>
  <c r="N232" i="3"/>
  <c r="M32" i="3"/>
  <c r="M33" i="3"/>
  <c r="M34" i="3"/>
  <c r="M176" i="3"/>
  <c r="M232" i="3"/>
  <c r="L32" i="3"/>
  <c r="L33" i="3"/>
  <c r="L34" i="3"/>
  <c r="L176" i="3"/>
  <c r="L232" i="3"/>
  <c r="K32" i="3"/>
  <c r="K33" i="3"/>
  <c r="K34" i="3"/>
  <c r="K176" i="3"/>
  <c r="K232" i="3"/>
  <c r="J176" i="3"/>
  <c r="J232" i="3"/>
  <c r="I176" i="3"/>
  <c r="I232" i="3"/>
  <c r="H176" i="3"/>
  <c r="H232" i="3"/>
  <c r="G176" i="3"/>
  <c r="G232" i="3"/>
  <c r="F32" i="3"/>
  <c r="F33" i="3"/>
  <c r="F34" i="3"/>
  <c r="F176" i="3"/>
  <c r="F232" i="3"/>
  <c r="N29" i="3"/>
  <c r="N30" i="3"/>
  <c r="N31" i="3"/>
  <c r="N175" i="3"/>
  <c r="N231" i="3"/>
  <c r="M29" i="3"/>
  <c r="M30" i="3"/>
  <c r="M31" i="3"/>
  <c r="M175" i="3"/>
  <c r="M231" i="3"/>
  <c r="L29" i="3"/>
  <c r="L30" i="3"/>
  <c r="L31" i="3"/>
  <c r="L175" i="3"/>
  <c r="L231" i="3"/>
  <c r="K29" i="3"/>
  <c r="K30" i="3"/>
  <c r="K31" i="3"/>
  <c r="K175" i="3"/>
  <c r="K231" i="3"/>
  <c r="J175" i="3"/>
  <c r="J231" i="3"/>
  <c r="I175" i="3"/>
  <c r="I231" i="3"/>
  <c r="H175" i="3"/>
  <c r="H231" i="3"/>
  <c r="G175" i="3"/>
  <c r="G231" i="3"/>
  <c r="F29" i="3"/>
  <c r="F30" i="3"/>
  <c r="F31" i="3"/>
  <c r="F175" i="3"/>
  <c r="F231" i="3"/>
  <c r="R26" i="3"/>
  <c r="R27" i="3"/>
  <c r="R28" i="3"/>
  <c r="R174" i="3"/>
  <c r="R230" i="3"/>
  <c r="Q26" i="3"/>
  <c r="Q27" i="3"/>
  <c r="Q28" i="3"/>
  <c r="Q174" i="3"/>
  <c r="Q230" i="3"/>
  <c r="P26" i="3"/>
  <c r="P27" i="3"/>
  <c r="P28" i="3"/>
  <c r="P174" i="3"/>
  <c r="P230" i="3"/>
  <c r="O26" i="3"/>
  <c r="O27" i="3"/>
  <c r="O28" i="3"/>
  <c r="O174" i="3"/>
  <c r="O230" i="3"/>
  <c r="N26" i="3"/>
  <c r="N27" i="3"/>
  <c r="N28" i="3"/>
  <c r="N174" i="3"/>
  <c r="N230" i="3"/>
  <c r="M26" i="3"/>
  <c r="M27" i="3"/>
  <c r="M28" i="3"/>
  <c r="M174" i="3"/>
  <c r="M230" i="3"/>
  <c r="L174" i="3"/>
  <c r="L230" i="3"/>
  <c r="K174" i="3"/>
  <c r="K230" i="3"/>
  <c r="J174" i="3"/>
  <c r="J230" i="3"/>
  <c r="I174" i="3"/>
  <c r="I230" i="3"/>
  <c r="H174" i="3"/>
  <c r="H230" i="3"/>
  <c r="G174" i="3"/>
  <c r="G230" i="3"/>
  <c r="F26" i="3"/>
  <c r="F27" i="3"/>
  <c r="F28" i="3"/>
  <c r="F174" i="3"/>
  <c r="F230" i="3"/>
  <c r="R23" i="3"/>
  <c r="R24" i="3"/>
  <c r="R25" i="3"/>
  <c r="R173" i="3"/>
  <c r="R229" i="3"/>
  <c r="Q23" i="3"/>
  <c r="Q24" i="3"/>
  <c r="Q25" i="3"/>
  <c r="Q173" i="3"/>
  <c r="Q229" i="3"/>
  <c r="P23" i="3"/>
  <c r="P24" i="3"/>
  <c r="P25" i="3"/>
  <c r="P173" i="3"/>
  <c r="P229" i="3"/>
  <c r="O23" i="3"/>
  <c r="O24" i="3"/>
  <c r="O25" i="3"/>
  <c r="O173" i="3"/>
  <c r="O229" i="3"/>
  <c r="N23" i="3"/>
  <c r="N24" i="3"/>
  <c r="N25" i="3"/>
  <c r="N173" i="3"/>
  <c r="N229" i="3"/>
  <c r="M23" i="3"/>
  <c r="M24" i="3"/>
  <c r="M25" i="3"/>
  <c r="M173" i="3"/>
  <c r="M229" i="3"/>
  <c r="L173" i="3"/>
  <c r="L229" i="3"/>
  <c r="K173" i="3"/>
  <c r="K229" i="3"/>
  <c r="J173" i="3"/>
  <c r="J229" i="3"/>
  <c r="I173" i="3"/>
  <c r="I229" i="3"/>
  <c r="H173" i="3"/>
  <c r="H229" i="3"/>
  <c r="G173" i="3"/>
  <c r="G229" i="3"/>
  <c r="F23" i="3"/>
  <c r="F24" i="3"/>
  <c r="F25" i="3"/>
  <c r="F173" i="3"/>
  <c r="F229" i="3"/>
  <c r="R20" i="3"/>
  <c r="R21" i="3"/>
  <c r="R22" i="3"/>
  <c r="R172" i="3"/>
  <c r="R228" i="3"/>
  <c r="Q20" i="3"/>
  <c r="Q21" i="3"/>
  <c r="Q22" i="3"/>
  <c r="Q172" i="3"/>
  <c r="Q228" i="3"/>
  <c r="P20" i="3"/>
  <c r="P21" i="3"/>
  <c r="P22" i="3"/>
  <c r="P172" i="3"/>
  <c r="P228" i="3"/>
  <c r="O20" i="3"/>
  <c r="O21" i="3"/>
  <c r="O22" i="3"/>
  <c r="O172" i="3"/>
  <c r="O228" i="3"/>
  <c r="N20" i="3"/>
  <c r="N21" i="3"/>
  <c r="N22" i="3"/>
  <c r="N172" i="3"/>
  <c r="N228" i="3"/>
  <c r="M20" i="3"/>
  <c r="M21" i="3"/>
  <c r="M22" i="3"/>
  <c r="M172" i="3"/>
  <c r="M228" i="3"/>
  <c r="L172" i="3"/>
  <c r="L228" i="3"/>
  <c r="K172" i="3"/>
  <c r="K228" i="3"/>
  <c r="J172" i="3"/>
  <c r="J228" i="3"/>
  <c r="I172" i="3"/>
  <c r="I228" i="3"/>
  <c r="H172" i="3"/>
  <c r="H228" i="3"/>
  <c r="G172" i="3"/>
  <c r="G228" i="3"/>
  <c r="F20" i="3"/>
  <c r="F21" i="3"/>
  <c r="F22" i="3"/>
  <c r="F172" i="3"/>
  <c r="F228" i="3"/>
  <c r="S17" i="3"/>
  <c r="S18" i="3"/>
  <c r="S19" i="3"/>
  <c r="S171" i="3"/>
  <c r="S227" i="3"/>
  <c r="R17" i="3"/>
  <c r="R18" i="3"/>
  <c r="R19" i="3"/>
  <c r="R171" i="3"/>
  <c r="R227" i="3"/>
  <c r="Q17" i="3"/>
  <c r="Q18" i="3"/>
  <c r="Q19" i="3"/>
  <c r="Q171" i="3"/>
  <c r="Q227" i="3"/>
  <c r="P17" i="3"/>
  <c r="P18" i="3"/>
  <c r="P19" i="3"/>
  <c r="P171" i="3"/>
  <c r="P227" i="3"/>
  <c r="O17" i="3"/>
  <c r="O18" i="3"/>
  <c r="O19" i="3"/>
  <c r="O171" i="3"/>
  <c r="O227" i="3"/>
  <c r="N17" i="3"/>
  <c r="N18" i="3"/>
  <c r="N19" i="3"/>
  <c r="N171" i="3"/>
  <c r="N227" i="3"/>
  <c r="M17" i="3"/>
  <c r="M18" i="3"/>
  <c r="M19" i="3"/>
  <c r="M171" i="3"/>
  <c r="M227" i="3"/>
  <c r="L171" i="3"/>
  <c r="L227" i="3"/>
  <c r="K171" i="3"/>
  <c r="K227" i="3"/>
  <c r="J171" i="3"/>
  <c r="J227" i="3"/>
  <c r="I171" i="3"/>
  <c r="I227" i="3"/>
  <c r="H171" i="3"/>
  <c r="H227" i="3"/>
  <c r="G171" i="3"/>
  <c r="G227" i="3"/>
  <c r="F17" i="3"/>
  <c r="F18" i="3"/>
  <c r="F19" i="3"/>
  <c r="F171" i="3"/>
  <c r="F227" i="3"/>
  <c r="S14" i="3"/>
  <c r="S15" i="3"/>
  <c r="S16" i="3"/>
  <c r="S170" i="3"/>
  <c r="S226" i="3"/>
  <c r="R14" i="3"/>
  <c r="R15" i="3"/>
  <c r="R16" i="3"/>
  <c r="R170" i="3"/>
  <c r="R226" i="3"/>
  <c r="Q14" i="3"/>
  <c r="Q15" i="3"/>
  <c r="Q16" i="3"/>
  <c r="Q170" i="3"/>
  <c r="Q226" i="3"/>
  <c r="P14" i="3"/>
  <c r="P15" i="3"/>
  <c r="P16" i="3"/>
  <c r="P170" i="3"/>
  <c r="P226" i="3"/>
  <c r="O14" i="3"/>
  <c r="O15" i="3"/>
  <c r="O16" i="3"/>
  <c r="O170" i="3"/>
  <c r="O226" i="3"/>
  <c r="N14" i="3"/>
  <c r="N15" i="3"/>
  <c r="N16" i="3"/>
  <c r="N170" i="3"/>
  <c r="N226" i="3"/>
  <c r="M14" i="3"/>
  <c r="M15" i="3"/>
  <c r="M16" i="3"/>
  <c r="M170" i="3"/>
  <c r="M226" i="3"/>
  <c r="L170" i="3"/>
  <c r="L226" i="3"/>
  <c r="K170" i="3"/>
  <c r="K226" i="3"/>
  <c r="J170" i="3"/>
  <c r="J226" i="3"/>
  <c r="I170" i="3"/>
  <c r="I226" i="3"/>
  <c r="H170" i="3"/>
  <c r="H226" i="3"/>
  <c r="G170" i="3"/>
  <c r="G226" i="3"/>
  <c r="F14" i="3"/>
  <c r="F15" i="3"/>
  <c r="F16" i="3"/>
  <c r="F170" i="3"/>
  <c r="F226" i="3"/>
  <c r="S11" i="3"/>
  <c r="S12" i="3"/>
  <c r="S13" i="3"/>
  <c r="S169" i="3"/>
  <c r="S225" i="3"/>
  <c r="R11" i="3"/>
  <c r="R12" i="3"/>
  <c r="R13" i="3"/>
  <c r="R169" i="3"/>
  <c r="R225" i="3"/>
  <c r="Q11" i="3"/>
  <c r="Q12" i="3"/>
  <c r="Q13" i="3"/>
  <c r="Q169" i="3"/>
  <c r="Q225" i="3"/>
  <c r="P11" i="3"/>
  <c r="P12" i="3"/>
  <c r="P13" i="3"/>
  <c r="P169" i="3"/>
  <c r="P225" i="3"/>
  <c r="O11" i="3"/>
  <c r="O12" i="3"/>
  <c r="O13" i="3"/>
  <c r="O169" i="3"/>
  <c r="O225" i="3"/>
  <c r="N11" i="3"/>
  <c r="N12" i="3"/>
  <c r="N13" i="3"/>
  <c r="N169" i="3"/>
  <c r="N225" i="3"/>
  <c r="M11" i="3"/>
  <c r="M12" i="3"/>
  <c r="M13" i="3"/>
  <c r="M169" i="3"/>
  <c r="M225" i="3"/>
  <c r="L169" i="3"/>
  <c r="L225" i="3"/>
  <c r="K169" i="3"/>
  <c r="K225" i="3"/>
  <c r="J169" i="3"/>
  <c r="J225" i="3"/>
  <c r="I169" i="3"/>
  <c r="I225" i="3"/>
  <c r="H169" i="3"/>
  <c r="H225" i="3"/>
  <c r="G169" i="3"/>
  <c r="G225" i="3"/>
  <c r="F11" i="3"/>
  <c r="F12" i="3"/>
  <c r="F13" i="3"/>
  <c r="F169" i="3"/>
  <c r="F225" i="3"/>
  <c r="S8" i="3"/>
  <c r="S9" i="3"/>
  <c r="S10" i="3"/>
  <c r="S168" i="3"/>
  <c r="S224" i="3"/>
  <c r="R8" i="3"/>
  <c r="R9" i="3"/>
  <c r="R10" i="3"/>
  <c r="R168" i="3"/>
  <c r="R224" i="3"/>
  <c r="Q8" i="3"/>
  <c r="Q9" i="3"/>
  <c r="Q10" i="3"/>
  <c r="Q168" i="3"/>
  <c r="Q224" i="3"/>
  <c r="P8" i="3"/>
  <c r="P9" i="3"/>
  <c r="P10" i="3"/>
  <c r="P168" i="3"/>
  <c r="P224" i="3"/>
  <c r="O8" i="3"/>
  <c r="O9" i="3"/>
  <c r="O10" i="3"/>
  <c r="O168" i="3"/>
  <c r="O224" i="3"/>
  <c r="N8" i="3"/>
  <c r="N9" i="3"/>
  <c r="N10" i="3"/>
  <c r="N168" i="3"/>
  <c r="N224" i="3"/>
  <c r="M8" i="3"/>
  <c r="M9" i="3"/>
  <c r="M10" i="3"/>
  <c r="M168" i="3"/>
  <c r="M224" i="3"/>
  <c r="L168" i="3"/>
  <c r="L224" i="3"/>
  <c r="K168" i="3"/>
  <c r="K224" i="3"/>
  <c r="J168" i="3"/>
  <c r="J224" i="3"/>
  <c r="I168" i="3"/>
  <c r="I224" i="3"/>
  <c r="H168" i="3"/>
  <c r="H224" i="3"/>
  <c r="G168" i="3"/>
  <c r="G224" i="3"/>
  <c r="F8" i="3"/>
  <c r="F9" i="3"/>
  <c r="F10" i="3"/>
  <c r="F168" i="3"/>
  <c r="F224" i="3"/>
  <c r="S5" i="3"/>
  <c r="S6" i="3"/>
  <c r="S7" i="3"/>
  <c r="S167" i="3"/>
  <c r="S223" i="3"/>
  <c r="R5" i="3"/>
  <c r="R6" i="3"/>
  <c r="R7" i="3"/>
  <c r="R167" i="3"/>
  <c r="R223" i="3"/>
  <c r="Q5" i="3"/>
  <c r="Q6" i="3"/>
  <c r="Q7" i="3"/>
  <c r="Q167" i="3"/>
  <c r="Q223" i="3"/>
  <c r="P5" i="3"/>
  <c r="P6" i="3"/>
  <c r="P7" i="3"/>
  <c r="P167" i="3"/>
  <c r="P223" i="3"/>
  <c r="O5" i="3"/>
  <c r="O6" i="3"/>
  <c r="O7" i="3"/>
  <c r="O167" i="3"/>
  <c r="O223" i="3"/>
  <c r="N5" i="3"/>
  <c r="N6" i="3"/>
  <c r="N7" i="3"/>
  <c r="N167" i="3"/>
  <c r="N223" i="3"/>
  <c r="M5" i="3"/>
  <c r="M6" i="3"/>
  <c r="M7" i="3"/>
  <c r="M167" i="3"/>
  <c r="M223" i="3"/>
  <c r="L167" i="3"/>
  <c r="L223" i="3"/>
  <c r="K167" i="3"/>
  <c r="K223" i="3"/>
  <c r="J167" i="3"/>
  <c r="J223" i="3"/>
  <c r="I167" i="3"/>
  <c r="I223" i="3"/>
  <c r="H167" i="3"/>
  <c r="H223" i="3"/>
  <c r="G167" i="3"/>
  <c r="G223" i="3"/>
  <c r="F5" i="3"/>
  <c r="F6" i="3"/>
  <c r="F7" i="3"/>
  <c r="F167" i="3"/>
  <c r="F223" i="3"/>
  <c r="S2" i="3"/>
  <c r="S3" i="3"/>
  <c r="S4" i="3"/>
  <c r="S166" i="3"/>
  <c r="S222" i="3"/>
  <c r="R2" i="3"/>
  <c r="R3" i="3"/>
  <c r="R4" i="3"/>
  <c r="R166" i="3"/>
  <c r="R222" i="3"/>
  <c r="Q2" i="3"/>
  <c r="Q3" i="3"/>
  <c r="Q4" i="3"/>
  <c r="Q166" i="3"/>
  <c r="Q222" i="3"/>
  <c r="P2" i="3"/>
  <c r="P3" i="3"/>
  <c r="P4" i="3"/>
  <c r="P166" i="3"/>
  <c r="P222" i="3"/>
  <c r="O2" i="3"/>
  <c r="O3" i="3"/>
  <c r="O4" i="3"/>
  <c r="O166" i="3"/>
  <c r="O222" i="3"/>
  <c r="N2" i="3"/>
  <c r="N3" i="3"/>
  <c r="N4" i="3"/>
  <c r="N166" i="3"/>
  <c r="N222" i="3"/>
  <c r="M2" i="3"/>
  <c r="M3" i="3"/>
  <c r="M4" i="3"/>
  <c r="M166" i="3"/>
  <c r="M222" i="3"/>
  <c r="L166" i="3"/>
  <c r="L222" i="3"/>
  <c r="K166" i="3"/>
  <c r="K222" i="3"/>
  <c r="J166" i="3"/>
  <c r="J222" i="3"/>
  <c r="I166" i="3"/>
  <c r="I222" i="3"/>
  <c r="H166" i="3"/>
  <c r="H222" i="3"/>
  <c r="G166" i="3"/>
  <c r="G222" i="3"/>
  <c r="F2" i="3"/>
  <c r="F3" i="3"/>
  <c r="F4" i="3"/>
  <c r="F166" i="3"/>
  <c r="F222" i="3"/>
  <c r="P219" i="3"/>
  <c r="M219" i="3"/>
  <c r="I219" i="3"/>
  <c r="P218" i="3"/>
  <c r="M218" i="3"/>
  <c r="I218" i="3"/>
  <c r="P217" i="3"/>
  <c r="M217" i="3"/>
  <c r="I217" i="3"/>
  <c r="P216" i="3"/>
  <c r="M216" i="3"/>
  <c r="I216" i="3"/>
  <c r="P215" i="3"/>
  <c r="M215" i="3"/>
  <c r="I215" i="3"/>
  <c r="S214" i="3"/>
  <c r="P214" i="3"/>
  <c r="M214" i="3"/>
  <c r="I214" i="3"/>
  <c r="W213" i="3"/>
  <c r="V213" i="3"/>
  <c r="U213" i="3"/>
  <c r="T213" i="3"/>
  <c r="S213" i="3"/>
  <c r="R213" i="3"/>
  <c r="Q213" i="3"/>
  <c r="P213" i="3"/>
  <c r="O213" i="3"/>
  <c r="H213" i="3"/>
  <c r="W212" i="3"/>
  <c r="V212" i="3"/>
  <c r="U212" i="3"/>
  <c r="T212" i="3"/>
  <c r="S212" i="3"/>
  <c r="R212" i="3"/>
  <c r="Q212" i="3"/>
  <c r="P212" i="3"/>
  <c r="O212" i="3"/>
  <c r="H212" i="3"/>
  <c r="W211" i="3"/>
  <c r="V211" i="3"/>
  <c r="U211" i="3"/>
  <c r="T211" i="3"/>
  <c r="S211" i="3"/>
  <c r="R211" i="3"/>
  <c r="Q211" i="3"/>
  <c r="P211" i="3"/>
  <c r="O211" i="3"/>
  <c r="H211" i="3"/>
  <c r="W210" i="3"/>
  <c r="V210" i="3"/>
  <c r="U210" i="3"/>
  <c r="T210" i="3"/>
  <c r="S210" i="3"/>
  <c r="R210" i="3"/>
  <c r="Q210" i="3"/>
  <c r="P210" i="3"/>
  <c r="O210" i="3"/>
  <c r="I210" i="3"/>
  <c r="W209" i="3"/>
  <c r="V209" i="3"/>
  <c r="U209" i="3"/>
  <c r="T209" i="3"/>
  <c r="S209" i="3"/>
  <c r="R209" i="3"/>
  <c r="Q209" i="3"/>
  <c r="P209" i="3"/>
  <c r="O209" i="3"/>
  <c r="I209" i="3"/>
  <c r="W208" i="3"/>
  <c r="V208" i="3"/>
  <c r="U208" i="3"/>
  <c r="T208" i="3"/>
  <c r="S208" i="3"/>
  <c r="R208" i="3"/>
  <c r="Q208" i="3"/>
  <c r="P208" i="3"/>
  <c r="O208" i="3"/>
  <c r="I208" i="3"/>
  <c r="W207" i="3"/>
  <c r="V207" i="3"/>
  <c r="U207" i="3"/>
  <c r="T207" i="3"/>
  <c r="S207" i="3"/>
  <c r="R207" i="3"/>
  <c r="I207" i="3"/>
  <c r="W206" i="3"/>
  <c r="V206" i="3"/>
  <c r="U206" i="3"/>
  <c r="T206" i="3"/>
  <c r="S206" i="3"/>
  <c r="R206" i="3"/>
  <c r="I206" i="3"/>
  <c r="W205" i="3"/>
  <c r="V205" i="3"/>
  <c r="U205" i="3"/>
  <c r="T205" i="3"/>
  <c r="S205" i="3"/>
  <c r="R205" i="3"/>
  <c r="I205" i="3"/>
  <c r="W204" i="3"/>
  <c r="V204" i="3"/>
  <c r="U204" i="3"/>
  <c r="T204" i="3"/>
  <c r="S204" i="3"/>
  <c r="R204" i="3"/>
  <c r="Q204" i="3"/>
  <c r="I204" i="3"/>
  <c r="W203" i="3"/>
  <c r="V203" i="3"/>
  <c r="U203" i="3"/>
  <c r="T203" i="3"/>
  <c r="S203" i="3"/>
  <c r="R203" i="3"/>
  <c r="Q203" i="3"/>
  <c r="I203" i="3"/>
  <c r="W202" i="3"/>
  <c r="V202" i="3"/>
  <c r="U202" i="3"/>
  <c r="T202" i="3"/>
  <c r="S202" i="3"/>
  <c r="R202" i="3"/>
  <c r="Q202" i="3"/>
  <c r="I202" i="3"/>
  <c r="W201" i="3"/>
  <c r="V201" i="3"/>
  <c r="U201" i="3"/>
  <c r="L201" i="3"/>
  <c r="W200" i="3"/>
  <c r="V200" i="3"/>
  <c r="U200" i="3"/>
  <c r="L200" i="3"/>
  <c r="W199" i="3"/>
  <c r="V199" i="3"/>
  <c r="U199" i="3"/>
  <c r="L199" i="3"/>
  <c r="W198" i="3"/>
  <c r="V198" i="3"/>
  <c r="U198" i="3"/>
  <c r="T198" i="3"/>
  <c r="L198" i="3"/>
  <c r="W197" i="3"/>
  <c r="V197" i="3"/>
  <c r="U197" i="3"/>
  <c r="T197" i="3"/>
  <c r="L197" i="3"/>
  <c r="W196" i="3"/>
  <c r="V196" i="3"/>
  <c r="U196" i="3"/>
  <c r="T196" i="3"/>
  <c r="L196" i="3"/>
  <c r="L195" i="3"/>
  <c r="L194" i="3"/>
  <c r="L193" i="3"/>
  <c r="W192" i="3"/>
  <c r="V192" i="3"/>
  <c r="U192" i="3"/>
  <c r="L192" i="3"/>
  <c r="W191" i="3"/>
  <c r="V191" i="3"/>
  <c r="U191" i="3"/>
  <c r="L191" i="3"/>
  <c r="W190" i="3"/>
  <c r="V190" i="3"/>
  <c r="U190" i="3"/>
  <c r="L190" i="3"/>
  <c r="W189" i="3"/>
  <c r="V189" i="3"/>
  <c r="U189" i="3"/>
  <c r="T189" i="3"/>
  <c r="S189" i="3"/>
  <c r="R189" i="3"/>
  <c r="Q189" i="3"/>
  <c r="P189" i="3"/>
  <c r="I189" i="3"/>
  <c r="W188" i="3"/>
  <c r="V188" i="3"/>
  <c r="U188" i="3"/>
  <c r="T188" i="3"/>
  <c r="S188" i="3"/>
  <c r="R188" i="3"/>
  <c r="Q188" i="3"/>
  <c r="P188" i="3"/>
  <c r="I188" i="3"/>
  <c r="W187" i="3"/>
  <c r="V187" i="3"/>
  <c r="U187" i="3"/>
  <c r="T187" i="3"/>
  <c r="S187" i="3"/>
  <c r="R187" i="3"/>
  <c r="Q187" i="3"/>
  <c r="P187" i="3"/>
  <c r="I187" i="3"/>
  <c r="W186" i="3"/>
  <c r="V186" i="3"/>
  <c r="U186" i="3"/>
  <c r="T186" i="3"/>
  <c r="S186" i="3"/>
  <c r="R186" i="3"/>
  <c r="Q186" i="3"/>
  <c r="P186" i="3"/>
  <c r="I186" i="3"/>
  <c r="W185" i="3"/>
  <c r="V185" i="3"/>
  <c r="U185" i="3"/>
  <c r="T185" i="3"/>
  <c r="S185" i="3"/>
  <c r="R185" i="3"/>
  <c r="Q185" i="3"/>
  <c r="P185" i="3"/>
  <c r="I185" i="3"/>
  <c r="W184" i="3"/>
  <c r="V184" i="3"/>
  <c r="U184" i="3"/>
  <c r="T184" i="3"/>
  <c r="S184" i="3"/>
  <c r="R184" i="3"/>
  <c r="Q184" i="3"/>
  <c r="P184" i="3"/>
  <c r="I184" i="3"/>
  <c r="W183" i="3"/>
  <c r="V183" i="3"/>
  <c r="U183" i="3"/>
  <c r="T183" i="3"/>
  <c r="S183" i="3"/>
  <c r="R183" i="3"/>
  <c r="I183" i="3"/>
  <c r="W182" i="3"/>
  <c r="V182" i="3"/>
  <c r="U182" i="3"/>
  <c r="T182" i="3"/>
  <c r="S182" i="3"/>
  <c r="R182" i="3"/>
  <c r="I182" i="3"/>
  <c r="W181" i="3"/>
  <c r="V181" i="3"/>
  <c r="U181" i="3"/>
  <c r="T181" i="3"/>
  <c r="S181" i="3"/>
  <c r="R181" i="3"/>
  <c r="I181" i="3"/>
  <c r="W180" i="3"/>
  <c r="V180" i="3"/>
  <c r="U180" i="3"/>
  <c r="T180" i="3"/>
  <c r="S180" i="3"/>
  <c r="R180" i="3"/>
  <c r="I180" i="3"/>
  <c r="W179" i="3"/>
  <c r="V179" i="3"/>
  <c r="U179" i="3"/>
  <c r="T179" i="3"/>
  <c r="S179" i="3"/>
  <c r="R179" i="3"/>
  <c r="I179" i="3"/>
  <c r="W178" i="3"/>
  <c r="V178" i="3"/>
  <c r="U178" i="3"/>
  <c r="T178" i="3"/>
  <c r="S178" i="3"/>
  <c r="R178" i="3"/>
  <c r="I178" i="3"/>
  <c r="W177" i="3"/>
  <c r="V177" i="3"/>
  <c r="U177" i="3"/>
  <c r="T177" i="3"/>
  <c r="S177" i="3"/>
  <c r="R177" i="3"/>
  <c r="Q177" i="3"/>
  <c r="P177" i="3"/>
  <c r="O177" i="3"/>
  <c r="W176" i="3"/>
  <c r="V176" i="3"/>
  <c r="U176" i="3"/>
  <c r="T176" i="3"/>
  <c r="S176" i="3"/>
  <c r="R176" i="3"/>
  <c r="Q176" i="3"/>
  <c r="P176" i="3"/>
  <c r="O176" i="3"/>
  <c r="W175" i="3"/>
  <c r="V175" i="3"/>
  <c r="U175" i="3"/>
  <c r="T175" i="3"/>
  <c r="S175" i="3"/>
  <c r="R175" i="3"/>
  <c r="Q175" i="3"/>
  <c r="P175" i="3"/>
  <c r="O175" i="3"/>
  <c r="W174" i="3"/>
  <c r="V174" i="3"/>
  <c r="U174" i="3"/>
  <c r="T174" i="3"/>
  <c r="S174" i="3"/>
  <c r="W173" i="3"/>
  <c r="V173" i="3"/>
  <c r="U173" i="3"/>
  <c r="T173" i="3"/>
  <c r="S173" i="3"/>
  <c r="W172" i="3"/>
  <c r="V172" i="3"/>
  <c r="U172" i="3"/>
  <c r="T172" i="3"/>
  <c r="S172" i="3"/>
  <c r="W171" i="3"/>
  <c r="V171" i="3"/>
  <c r="U171" i="3"/>
  <c r="T171" i="3"/>
  <c r="W170" i="3"/>
  <c r="V170" i="3"/>
  <c r="U170" i="3"/>
  <c r="T170" i="3"/>
  <c r="W169" i="3"/>
  <c r="V169" i="3"/>
  <c r="U169" i="3"/>
  <c r="T169" i="3"/>
  <c r="W168" i="3"/>
  <c r="V168" i="3"/>
  <c r="U168" i="3"/>
  <c r="T168" i="3"/>
  <c r="W167" i="3"/>
  <c r="V167" i="3"/>
  <c r="U167" i="3"/>
  <c r="T167" i="3"/>
  <c r="W166" i="3"/>
  <c r="V166" i="3"/>
  <c r="U166" i="3"/>
  <c r="T166" i="3"/>
  <c r="E163" i="1"/>
  <c r="E162" i="1"/>
  <c r="E161" i="1"/>
  <c r="E160" i="1"/>
  <c r="E159" i="1"/>
  <c r="E158" i="1"/>
  <c r="E157" i="1"/>
  <c r="E156" i="1"/>
  <c r="BC155" i="1"/>
  <c r="BB155" i="1"/>
  <c r="AY155" i="1"/>
  <c r="AX155" i="1"/>
  <c r="AQ155" i="1"/>
  <c r="AP155" i="1"/>
  <c r="AM155" i="1"/>
  <c r="AL155" i="1"/>
  <c r="AE155" i="1"/>
  <c r="AD155" i="1"/>
  <c r="AA155" i="1"/>
  <c r="Z155" i="1"/>
  <c r="W155" i="1"/>
  <c r="V155" i="1"/>
  <c r="O155" i="1"/>
  <c r="N155" i="1"/>
  <c r="K155" i="1"/>
  <c r="J155" i="1"/>
  <c r="E155" i="1"/>
  <c r="G155" i="1"/>
  <c r="F155" i="1"/>
  <c r="AK154" i="1"/>
  <c r="AG154" i="1"/>
  <c r="AC154" i="1"/>
  <c r="E154" i="1"/>
  <c r="AK153" i="1"/>
  <c r="AG153" i="1"/>
  <c r="AC153" i="1"/>
  <c r="E153" i="1"/>
  <c r="AK152" i="1"/>
  <c r="AG152" i="1"/>
  <c r="AC152" i="1"/>
  <c r="E152" i="1"/>
  <c r="AK151" i="1"/>
  <c r="AG151" i="1"/>
  <c r="AC151" i="1"/>
  <c r="E151" i="1"/>
  <c r="AK150" i="1"/>
  <c r="AG150" i="1"/>
  <c r="AC150" i="1"/>
  <c r="E150" i="1"/>
  <c r="AK149" i="1"/>
  <c r="AG149" i="1"/>
  <c r="AC149" i="1"/>
  <c r="E149" i="1"/>
  <c r="AK148" i="1"/>
  <c r="AG148" i="1"/>
  <c r="AC148" i="1"/>
  <c r="E148" i="1"/>
  <c r="AK147" i="1"/>
  <c r="AG147" i="1"/>
  <c r="AC147" i="1"/>
  <c r="E147" i="1"/>
  <c r="AK146" i="1"/>
  <c r="AM146" i="1"/>
  <c r="AL146" i="1"/>
  <c r="AG146" i="1"/>
  <c r="AI146" i="1"/>
  <c r="AH146" i="1"/>
  <c r="AC146" i="1"/>
  <c r="AE146" i="1"/>
  <c r="AD146" i="1"/>
  <c r="AA146" i="1"/>
  <c r="Z146" i="1"/>
  <c r="W146" i="1"/>
  <c r="V146" i="1"/>
  <c r="S146" i="1"/>
  <c r="R146" i="1"/>
  <c r="K146" i="1"/>
  <c r="J146" i="1"/>
  <c r="E146" i="1"/>
  <c r="G146" i="1"/>
  <c r="F146" i="1"/>
  <c r="AK145" i="1"/>
  <c r="AG145" i="1"/>
  <c r="AC145" i="1"/>
  <c r="E145" i="1"/>
  <c r="AK144" i="1"/>
  <c r="AG144" i="1"/>
  <c r="AC144" i="1"/>
  <c r="E144" i="1"/>
  <c r="AK143" i="1"/>
  <c r="AG143" i="1"/>
  <c r="AC143" i="1"/>
  <c r="E143" i="1"/>
  <c r="AK142" i="1"/>
  <c r="AG142" i="1"/>
  <c r="AC142" i="1"/>
  <c r="E142" i="1"/>
  <c r="AK141" i="1"/>
  <c r="AG141" i="1"/>
  <c r="AC141" i="1"/>
  <c r="E141" i="1"/>
  <c r="AK140" i="1"/>
  <c r="AG140" i="1"/>
  <c r="AC140" i="1"/>
  <c r="E140" i="1"/>
  <c r="AK139" i="1"/>
  <c r="AG139" i="1"/>
  <c r="AC139" i="1"/>
  <c r="E139" i="1"/>
  <c r="AK138" i="1"/>
  <c r="AG138" i="1"/>
  <c r="AC138" i="1"/>
  <c r="E138" i="1"/>
  <c r="AK137" i="1"/>
  <c r="AM137" i="1"/>
  <c r="AL137" i="1"/>
  <c r="AG137" i="1"/>
  <c r="AI137" i="1"/>
  <c r="AH137" i="1"/>
  <c r="AC137" i="1"/>
  <c r="AE137" i="1"/>
  <c r="AD137" i="1"/>
  <c r="AA137" i="1"/>
  <c r="Z137" i="1"/>
  <c r="W137" i="1"/>
  <c r="V137" i="1"/>
  <c r="O137" i="1"/>
  <c r="N137" i="1"/>
  <c r="K137" i="1"/>
  <c r="J137" i="1"/>
  <c r="E137" i="1"/>
  <c r="G137" i="1"/>
  <c r="F137" i="1"/>
  <c r="E136" i="1"/>
  <c r="E135" i="1"/>
  <c r="E134" i="1"/>
  <c r="E133" i="1"/>
  <c r="E132" i="1"/>
  <c r="E131" i="1"/>
  <c r="E130" i="1"/>
  <c r="E129" i="1"/>
  <c r="BC128" i="1"/>
  <c r="BB128" i="1"/>
  <c r="AY128" i="1"/>
  <c r="AX128" i="1"/>
  <c r="AQ128" i="1"/>
  <c r="AP128" i="1"/>
  <c r="AM128" i="1"/>
  <c r="AL128" i="1"/>
  <c r="AE128" i="1"/>
  <c r="AD128" i="1"/>
  <c r="AA128" i="1"/>
  <c r="Z128" i="1"/>
  <c r="W128" i="1"/>
  <c r="V128" i="1"/>
  <c r="O128" i="1"/>
  <c r="N128" i="1"/>
  <c r="K128" i="1"/>
  <c r="J128" i="1"/>
  <c r="E128" i="1"/>
  <c r="G128" i="1"/>
  <c r="F128" i="1"/>
  <c r="AW127" i="1"/>
  <c r="AS127" i="1"/>
  <c r="AO127" i="1"/>
  <c r="AK127" i="1"/>
  <c r="E127" i="1"/>
  <c r="AW126" i="1"/>
  <c r="AS126" i="1"/>
  <c r="AO126" i="1"/>
  <c r="AK126" i="1"/>
  <c r="E126" i="1"/>
  <c r="AW125" i="1"/>
  <c r="AS125" i="1"/>
  <c r="AO125" i="1"/>
  <c r="AK125" i="1"/>
  <c r="E125" i="1"/>
  <c r="AW124" i="1"/>
  <c r="AS124" i="1"/>
  <c r="AO124" i="1"/>
  <c r="AK124" i="1"/>
  <c r="E124" i="1"/>
  <c r="AW123" i="1"/>
  <c r="AS123" i="1"/>
  <c r="AO123" i="1"/>
  <c r="AK123" i="1"/>
  <c r="E123" i="1"/>
  <c r="AW122" i="1"/>
  <c r="AS122" i="1"/>
  <c r="AO122" i="1"/>
  <c r="AK122" i="1"/>
  <c r="E122" i="1"/>
  <c r="AW121" i="1"/>
  <c r="AS121" i="1"/>
  <c r="AO121" i="1"/>
  <c r="AK121" i="1"/>
  <c r="E121" i="1"/>
  <c r="AW120" i="1"/>
  <c r="AS120" i="1"/>
  <c r="AO120" i="1"/>
  <c r="AK120" i="1"/>
  <c r="E120" i="1"/>
  <c r="AW119" i="1"/>
  <c r="AY119" i="1"/>
  <c r="AX119" i="1"/>
  <c r="AS119" i="1"/>
  <c r="AU119" i="1"/>
  <c r="AT119" i="1"/>
  <c r="AO119" i="1"/>
  <c r="AQ119" i="1"/>
  <c r="AP119" i="1"/>
  <c r="AK119" i="1"/>
  <c r="AM119" i="1"/>
  <c r="AL119" i="1"/>
  <c r="AI119" i="1"/>
  <c r="AH119" i="1"/>
  <c r="AE119" i="1"/>
  <c r="AD119" i="1"/>
  <c r="AA119" i="1"/>
  <c r="Z119" i="1"/>
  <c r="W119" i="1"/>
  <c r="V119" i="1"/>
  <c r="O119" i="1"/>
  <c r="N119" i="1"/>
  <c r="K119" i="1"/>
  <c r="J119" i="1"/>
  <c r="E119" i="1"/>
  <c r="G119" i="1"/>
  <c r="F119" i="1"/>
  <c r="AS118" i="1"/>
  <c r="AO118" i="1"/>
  <c r="AK118" i="1"/>
  <c r="AG118" i="1"/>
  <c r="AC118" i="1"/>
  <c r="E118" i="1"/>
  <c r="AS117" i="1"/>
  <c r="AO117" i="1"/>
  <c r="AK117" i="1"/>
  <c r="AG117" i="1"/>
  <c r="AC117" i="1"/>
  <c r="E117" i="1"/>
  <c r="AS116" i="1"/>
  <c r="AO116" i="1"/>
  <c r="AK116" i="1"/>
  <c r="AG116" i="1"/>
  <c r="AC116" i="1"/>
  <c r="E116" i="1"/>
  <c r="AS115" i="1"/>
  <c r="AO115" i="1"/>
  <c r="AK115" i="1"/>
  <c r="AG115" i="1"/>
  <c r="AC115" i="1"/>
  <c r="E115" i="1"/>
  <c r="AS114" i="1"/>
  <c r="AO114" i="1"/>
  <c r="AK114" i="1"/>
  <c r="AG114" i="1"/>
  <c r="AC114" i="1"/>
  <c r="E114" i="1"/>
  <c r="AS113" i="1"/>
  <c r="AO113" i="1"/>
  <c r="AK113" i="1"/>
  <c r="AG113" i="1"/>
  <c r="AC113" i="1"/>
  <c r="E113" i="1"/>
  <c r="AS112" i="1"/>
  <c r="AO112" i="1"/>
  <c r="AK112" i="1"/>
  <c r="AG112" i="1"/>
  <c r="AC112" i="1"/>
  <c r="E112" i="1"/>
  <c r="AS111" i="1"/>
  <c r="AO111" i="1"/>
  <c r="AK111" i="1"/>
  <c r="AG111" i="1"/>
  <c r="AC111" i="1"/>
  <c r="E111" i="1"/>
  <c r="AS110" i="1"/>
  <c r="AU110" i="1"/>
  <c r="AT110" i="1"/>
  <c r="AO110" i="1"/>
  <c r="AQ110" i="1"/>
  <c r="AP110" i="1"/>
  <c r="AK110" i="1"/>
  <c r="AM110" i="1"/>
  <c r="AL110" i="1"/>
  <c r="AG110" i="1"/>
  <c r="AI110" i="1"/>
  <c r="AH110" i="1"/>
  <c r="AC110" i="1"/>
  <c r="AE110" i="1"/>
  <c r="AD110" i="1"/>
  <c r="AA110" i="1"/>
  <c r="Z110" i="1"/>
  <c r="W110" i="1"/>
  <c r="V110" i="1"/>
  <c r="O110" i="1"/>
  <c r="N110" i="1"/>
  <c r="K110" i="1"/>
  <c r="J110" i="1"/>
  <c r="E110" i="1"/>
  <c r="G110" i="1"/>
  <c r="F110" i="1"/>
  <c r="BI109" i="1"/>
  <c r="BE109" i="1"/>
  <c r="BA109" i="1"/>
  <c r="E109" i="1"/>
  <c r="BI108" i="1"/>
  <c r="BE108" i="1"/>
  <c r="BA108" i="1"/>
  <c r="E108" i="1"/>
  <c r="BI107" i="1"/>
  <c r="BE107" i="1"/>
  <c r="BA107" i="1"/>
  <c r="E107" i="1"/>
  <c r="BI106" i="1"/>
  <c r="BE106" i="1"/>
  <c r="BA106" i="1"/>
  <c r="E106" i="1"/>
  <c r="BI105" i="1"/>
  <c r="BE105" i="1"/>
  <c r="BA105" i="1"/>
  <c r="E105" i="1"/>
  <c r="BI104" i="1"/>
  <c r="BE104" i="1"/>
  <c r="BA104" i="1"/>
  <c r="E104" i="1"/>
  <c r="BI103" i="1"/>
  <c r="BE103" i="1"/>
  <c r="BA103" i="1"/>
  <c r="E103" i="1"/>
  <c r="BI102" i="1"/>
  <c r="BE102" i="1"/>
  <c r="BA102" i="1"/>
  <c r="E102" i="1"/>
  <c r="BI101" i="1"/>
  <c r="BK101" i="1"/>
  <c r="BJ101" i="1"/>
  <c r="BE101" i="1"/>
  <c r="BG101" i="1"/>
  <c r="BF101" i="1"/>
  <c r="BA101" i="1"/>
  <c r="BC101" i="1"/>
  <c r="BB101" i="1"/>
  <c r="AY101" i="1"/>
  <c r="AX101" i="1"/>
  <c r="AU101" i="1"/>
  <c r="AT101" i="1"/>
  <c r="AQ101" i="1"/>
  <c r="AP101" i="1"/>
  <c r="AM101" i="1"/>
  <c r="AL101" i="1"/>
  <c r="AI101" i="1"/>
  <c r="AH101" i="1"/>
  <c r="AA101" i="1"/>
  <c r="Z101" i="1"/>
  <c r="W101" i="1"/>
  <c r="V101" i="1"/>
  <c r="S101" i="1"/>
  <c r="R101" i="1"/>
  <c r="O101" i="1"/>
  <c r="N101" i="1"/>
  <c r="K101" i="1"/>
  <c r="J101" i="1"/>
  <c r="E101" i="1"/>
  <c r="G101" i="1"/>
  <c r="F101" i="1"/>
  <c r="BE100" i="1"/>
  <c r="BA100" i="1"/>
  <c r="E100" i="1"/>
  <c r="BE99" i="1"/>
  <c r="BA99" i="1"/>
  <c r="E99" i="1"/>
  <c r="BE98" i="1"/>
  <c r="BA98" i="1"/>
  <c r="E98" i="1"/>
  <c r="BE97" i="1"/>
  <c r="BA97" i="1"/>
  <c r="AW97" i="1"/>
  <c r="AS97" i="1"/>
  <c r="E97" i="1"/>
  <c r="BE96" i="1"/>
  <c r="BA96" i="1"/>
  <c r="AW96" i="1"/>
  <c r="AS96" i="1"/>
  <c r="E96" i="1"/>
  <c r="BE95" i="1"/>
  <c r="BA95" i="1"/>
  <c r="AW95" i="1"/>
  <c r="AS95" i="1"/>
  <c r="E95" i="1"/>
  <c r="BE94" i="1"/>
  <c r="BA94" i="1"/>
  <c r="E94" i="1"/>
  <c r="BE93" i="1"/>
  <c r="BA93" i="1"/>
  <c r="E93" i="1"/>
  <c r="BE92" i="1"/>
  <c r="BG92" i="1"/>
  <c r="BF92" i="1"/>
  <c r="BA92" i="1"/>
  <c r="BC92" i="1"/>
  <c r="BB92" i="1"/>
  <c r="AY92" i="1"/>
  <c r="AX92" i="1"/>
  <c r="AU92" i="1"/>
  <c r="AT92" i="1"/>
  <c r="AQ92" i="1"/>
  <c r="AP92" i="1"/>
  <c r="AM92" i="1"/>
  <c r="AL92" i="1"/>
  <c r="AI92" i="1"/>
  <c r="AH92" i="1"/>
  <c r="AA92" i="1"/>
  <c r="Z92" i="1"/>
  <c r="W92" i="1"/>
  <c r="V92" i="1"/>
  <c r="S92" i="1"/>
  <c r="R92" i="1"/>
  <c r="O92" i="1"/>
  <c r="N92" i="1"/>
  <c r="K92" i="1"/>
  <c r="J92" i="1"/>
  <c r="E92" i="1"/>
  <c r="G92" i="1"/>
  <c r="F92" i="1"/>
  <c r="E91" i="1"/>
  <c r="E90" i="1"/>
  <c r="E89" i="1"/>
  <c r="BU88" i="1"/>
  <c r="BQ88" i="1"/>
  <c r="BM88" i="1"/>
  <c r="AS88" i="1"/>
  <c r="E88" i="1"/>
  <c r="BU87" i="1"/>
  <c r="BQ87" i="1"/>
  <c r="BM87" i="1"/>
  <c r="AS87" i="1"/>
  <c r="E87" i="1"/>
  <c r="BU86" i="1"/>
  <c r="BQ86" i="1"/>
  <c r="BM86" i="1"/>
  <c r="AS86" i="1"/>
  <c r="E86" i="1"/>
  <c r="BU85" i="1"/>
  <c r="BQ85" i="1"/>
  <c r="BM85" i="1"/>
  <c r="BI85" i="1"/>
  <c r="BE85" i="1"/>
  <c r="BA85" i="1"/>
  <c r="AW85" i="1"/>
  <c r="AS85" i="1"/>
  <c r="E85" i="1"/>
  <c r="BU84" i="1"/>
  <c r="BQ84" i="1"/>
  <c r="BM84" i="1"/>
  <c r="BI84" i="1"/>
  <c r="BE84" i="1"/>
  <c r="BA84" i="1"/>
  <c r="AW84" i="1"/>
  <c r="AS84" i="1"/>
  <c r="E84" i="1"/>
  <c r="BU83" i="1"/>
  <c r="BW83" i="1"/>
  <c r="BV83" i="1"/>
  <c r="BQ83" i="1"/>
  <c r="BS83" i="1"/>
  <c r="BR83" i="1"/>
  <c r="BM83" i="1"/>
  <c r="BO83" i="1"/>
  <c r="BN83" i="1"/>
  <c r="BI83" i="1"/>
  <c r="BK83" i="1"/>
  <c r="BJ83" i="1"/>
  <c r="BE83" i="1"/>
  <c r="BG83" i="1"/>
  <c r="BF83" i="1"/>
  <c r="BA83" i="1"/>
  <c r="BC83" i="1"/>
  <c r="BB83" i="1"/>
  <c r="AW83" i="1"/>
  <c r="AY83" i="1"/>
  <c r="AX83" i="1"/>
  <c r="AS83" i="1"/>
  <c r="AU83" i="1"/>
  <c r="AT83" i="1"/>
  <c r="AQ83" i="1"/>
  <c r="AP83" i="1"/>
  <c r="AM83" i="1"/>
  <c r="AL83" i="1"/>
  <c r="AI83" i="1"/>
  <c r="AH83" i="1"/>
  <c r="AA83" i="1"/>
  <c r="Z83" i="1"/>
  <c r="W83" i="1"/>
  <c r="V83" i="1"/>
  <c r="S83" i="1"/>
  <c r="R83" i="1"/>
  <c r="O83" i="1"/>
  <c r="N83" i="1"/>
  <c r="K83" i="1"/>
  <c r="J83" i="1"/>
  <c r="E83" i="1"/>
  <c r="G83" i="1"/>
  <c r="F83" i="1"/>
  <c r="BI82" i="1"/>
  <c r="BE82" i="1"/>
  <c r="BA82" i="1"/>
  <c r="E82" i="1"/>
  <c r="BI81" i="1"/>
  <c r="BE81" i="1"/>
  <c r="BA81" i="1"/>
  <c r="E81" i="1"/>
  <c r="BI80" i="1"/>
  <c r="BE80" i="1"/>
  <c r="BA80" i="1"/>
  <c r="E80" i="1"/>
  <c r="BI79" i="1"/>
  <c r="BE79" i="1"/>
  <c r="BA79" i="1"/>
  <c r="E79" i="1"/>
  <c r="BI78" i="1"/>
  <c r="BE78" i="1"/>
  <c r="BA78" i="1"/>
  <c r="E78" i="1"/>
  <c r="BI77" i="1"/>
  <c r="BE77" i="1"/>
  <c r="BA77" i="1"/>
  <c r="E77" i="1"/>
  <c r="BI76" i="1"/>
  <c r="BE76" i="1"/>
  <c r="BA76" i="1"/>
  <c r="AW76" i="1"/>
  <c r="AS76" i="1"/>
  <c r="AO76" i="1"/>
  <c r="E76" i="1"/>
  <c r="BI75" i="1"/>
  <c r="BE75" i="1"/>
  <c r="BA75" i="1"/>
  <c r="AW75" i="1"/>
  <c r="AS75" i="1"/>
  <c r="AO75" i="1"/>
  <c r="E75" i="1"/>
  <c r="BI74" i="1"/>
  <c r="BK74" i="1"/>
  <c r="BJ74" i="1"/>
  <c r="BE74" i="1"/>
  <c r="BG74" i="1"/>
  <c r="BF74" i="1"/>
  <c r="BA74" i="1"/>
  <c r="BC74" i="1"/>
  <c r="BB74" i="1"/>
  <c r="AW74" i="1"/>
  <c r="AY74" i="1"/>
  <c r="AX74" i="1"/>
  <c r="AS74" i="1"/>
  <c r="AU74" i="1"/>
  <c r="AT74" i="1"/>
  <c r="AO74" i="1"/>
  <c r="AQ74" i="1"/>
  <c r="AP74" i="1"/>
  <c r="AM74" i="1"/>
  <c r="AL74" i="1"/>
  <c r="AI74" i="1"/>
  <c r="AH74" i="1"/>
  <c r="AA74" i="1"/>
  <c r="Z74" i="1"/>
  <c r="W74" i="1"/>
  <c r="V74" i="1"/>
  <c r="S74" i="1"/>
  <c r="R74" i="1"/>
  <c r="O74" i="1"/>
  <c r="N74" i="1"/>
  <c r="K74" i="1"/>
  <c r="J74" i="1"/>
  <c r="E74" i="1"/>
  <c r="G74" i="1"/>
  <c r="F74" i="1"/>
  <c r="AO73" i="1"/>
  <c r="AK73" i="1"/>
  <c r="AG73" i="1"/>
  <c r="AC73" i="1"/>
  <c r="E73" i="1"/>
  <c r="AO72" i="1"/>
  <c r="AK72" i="1"/>
  <c r="AG72" i="1"/>
  <c r="AC72" i="1"/>
  <c r="E72" i="1"/>
  <c r="AO71" i="1"/>
  <c r="AK71" i="1"/>
  <c r="AG71" i="1"/>
  <c r="AC71" i="1"/>
  <c r="E71" i="1"/>
  <c r="AO70" i="1"/>
  <c r="AK70" i="1"/>
  <c r="AG70" i="1"/>
  <c r="AC70" i="1"/>
  <c r="E70" i="1"/>
  <c r="AO69" i="1"/>
  <c r="AK69" i="1"/>
  <c r="AG69" i="1"/>
  <c r="AC69" i="1"/>
  <c r="E69" i="1"/>
  <c r="AO68" i="1"/>
  <c r="AK68" i="1"/>
  <c r="AG68" i="1"/>
  <c r="AC68" i="1"/>
  <c r="E68" i="1"/>
  <c r="AO67" i="1"/>
  <c r="AK67" i="1"/>
  <c r="AG67" i="1"/>
  <c r="AC67" i="1"/>
  <c r="E67" i="1"/>
  <c r="AO66" i="1"/>
  <c r="AK66" i="1"/>
  <c r="AG66" i="1"/>
  <c r="AC66" i="1"/>
  <c r="E66" i="1"/>
  <c r="AO65" i="1"/>
  <c r="AQ65" i="1"/>
  <c r="AP65" i="1"/>
  <c r="AK65" i="1"/>
  <c r="AM65" i="1"/>
  <c r="AL65" i="1"/>
  <c r="AG65" i="1"/>
  <c r="AI65" i="1"/>
  <c r="AH65" i="1"/>
  <c r="AC65" i="1"/>
  <c r="AE65" i="1"/>
  <c r="AD65" i="1"/>
  <c r="AA65" i="1"/>
  <c r="Z65" i="1"/>
  <c r="W65" i="1"/>
  <c r="V65" i="1"/>
  <c r="S65" i="1"/>
  <c r="R65" i="1"/>
  <c r="O65" i="1"/>
  <c r="N65" i="1"/>
  <c r="K65" i="1"/>
  <c r="J65" i="1"/>
  <c r="E65" i="1"/>
  <c r="G65" i="1"/>
  <c r="F65" i="1"/>
  <c r="AO64" i="1"/>
  <c r="AK64" i="1"/>
  <c r="AG64" i="1"/>
  <c r="AC64" i="1"/>
  <c r="E64" i="1"/>
  <c r="AO63" i="1"/>
  <c r="AK63" i="1"/>
  <c r="AG63" i="1"/>
  <c r="AC63" i="1"/>
  <c r="E63" i="1"/>
  <c r="AO62" i="1"/>
  <c r="AK62" i="1"/>
  <c r="AG62" i="1"/>
  <c r="AC62" i="1"/>
  <c r="E62" i="1"/>
  <c r="AO61" i="1"/>
  <c r="AK61" i="1"/>
  <c r="AG61" i="1"/>
  <c r="AC61" i="1"/>
  <c r="E61" i="1"/>
  <c r="AO60" i="1"/>
  <c r="AK60" i="1"/>
  <c r="AG60" i="1"/>
  <c r="AC60" i="1"/>
  <c r="E60" i="1"/>
  <c r="AO59" i="1"/>
  <c r="AK59" i="1"/>
  <c r="AG59" i="1"/>
  <c r="AC59" i="1"/>
  <c r="E59" i="1"/>
  <c r="AO58" i="1"/>
  <c r="AK58" i="1"/>
  <c r="AG58" i="1"/>
  <c r="AC58" i="1"/>
  <c r="E58" i="1"/>
  <c r="AO57" i="1"/>
  <c r="AK57" i="1"/>
  <c r="AG57" i="1"/>
  <c r="AC57" i="1"/>
  <c r="E57" i="1"/>
  <c r="AO56" i="1"/>
  <c r="AQ56" i="1"/>
  <c r="AP56" i="1"/>
  <c r="AK56" i="1"/>
  <c r="AM56" i="1"/>
  <c r="AL56" i="1"/>
  <c r="AG56" i="1"/>
  <c r="AI56" i="1"/>
  <c r="AH56" i="1"/>
  <c r="AC56" i="1"/>
  <c r="AE56" i="1"/>
  <c r="AD56" i="1"/>
  <c r="AA56" i="1"/>
  <c r="Z56" i="1"/>
  <c r="W56" i="1"/>
  <c r="V56" i="1"/>
  <c r="S56" i="1"/>
  <c r="R56" i="1"/>
  <c r="O56" i="1"/>
  <c r="N56" i="1"/>
  <c r="K56" i="1"/>
  <c r="J56" i="1"/>
  <c r="E56" i="1"/>
  <c r="G56" i="1"/>
  <c r="F56" i="1"/>
  <c r="AW55" i="1"/>
  <c r="AS55" i="1"/>
  <c r="AO55" i="1"/>
  <c r="AK55" i="1"/>
  <c r="AG55" i="1"/>
  <c r="AC55" i="1"/>
  <c r="E55" i="1"/>
  <c r="AW54" i="1"/>
  <c r="AS54" i="1"/>
  <c r="AO54" i="1"/>
  <c r="AK54" i="1"/>
  <c r="AG54" i="1"/>
  <c r="AC54" i="1"/>
  <c r="E54" i="1"/>
  <c r="AW53" i="1"/>
  <c r="AS53" i="1"/>
  <c r="AO53" i="1"/>
  <c r="AK53" i="1"/>
  <c r="AG53" i="1"/>
  <c r="AC53" i="1"/>
  <c r="E53" i="1"/>
  <c r="AW52" i="1"/>
  <c r="AS52" i="1"/>
  <c r="AO52" i="1"/>
  <c r="AK52" i="1"/>
  <c r="AG52" i="1"/>
  <c r="AC52" i="1"/>
  <c r="E52" i="1"/>
  <c r="AW51" i="1"/>
  <c r="AS51" i="1"/>
  <c r="AO51" i="1"/>
  <c r="AK51" i="1"/>
  <c r="AG51" i="1"/>
  <c r="AC51" i="1"/>
  <c r="E51" i="1"/>
  <c r="AW50" i="1"/>
  <c r="AS50" i="1"/>
  <c r="AO50" i="1"/>
  <c r="AK50" i="1"/>
  <c r="AG50" i="1"/>
  <c r="AC50" i="1"/>
  <c r="E50" i="1"/>
  <c r="AW49" i="1"/>
  <c r="AS49" i="1"/>
  <c r="AO49" i="1"/>
  <c r="AK49" i="1"/>
  <c r="AG49" i="1"/>
  <c r="AC49" i="1"/>
  <c r="E49" i="1"/>
  <c r="AW48" i="1"/>
  <c r="AS48" i="1"/>
  <c r="AO48" i="1"/>
  <c r="AK48" i="1"/>
  <c r="AG48" i="1"/>
  <c r="AC48" i="1"/>
  <c r="E48" i="1"/>
  <c r="AW47" i="1"/>
  <c r="AY47" i="1"/>
  <c r="AX47" i="1"/>
  <c r="AS47" i="1"/>
  <c r="AU47" i="1"/>
  <c r="AT47" i="1"/>
  <c r="AO47" i="1"/>
  <c r="AQ47" i="1"/>
  <c r="AP47" i="1"/>
  <c r="AK47" i="1"/>
  <c r="AM47" i="1"/>
  <c r="AL47" i="1"/>
  <c r="AG47" i="1"/>
  <c r="AI47" i="1"/>
  <c r="AH47" i="1"/>
  <c r="AC47" i="1"/>
  <c r="AE47" i="1"/>
  <c r="AD47" i="1"/>
  <c r="AA47" i="1"/>
  <c r="Z47" i="1"/>
  <c r="W47" i="1"/>
  <c r="V47" i="1"/>
  <c r="S47" i="1"/>
  <c r="R47" i="1"/>
  <c r="O47" i="1"/>
  <c r="N47" i="1"/>
  <c r="K47" i="1"/>
  <c r="J47" i="1"/>
  <c r="E47" i="1"/>
  <c r="G47" i="1"/>
  <c r="F47" i="1"/>
  <c r="AW46" i="1"/>
  <c r="AS46" i="1"/>
  <c r="AO46" i="1"/>
  <c r="AK46" i="1"/>
  <c r="AG46" i="1"/>
  <c r="AC46" i="1"/>
  <c r="E46" i="1"/>
  <c r="AW45" i="1"/>
  <c r="AS45" i="1"/>
  <c r="AO45" i="1"/>
  <c r="AK45" i="1"/>
  <c r="AG45" i="1"/>
  <c r="AC45" i="1"/>
  <c r="E45" i="1"/>
  <c r="AW44" i="1"/>
  <c r="AS44" i="1"/>
  <c r="AO44" i="1"/>
  <c r="AK44" i="1"/>
  <c r="AG44" i="1"/>
  <c r="AC44" i="1"/>
  <c r="E44" i="1"/>
  <c r="AW43" i="1"/>
  <c r="AS43" i="1"/>
  <c r="AO43" i="1"/>
  <c r="AK43" i="1"/>
  <c r="AG43" i="1"/>
  <c r="AC43" i="1"/>
  <c r="E43" i="1"/>
  <c r="AW42" i="1"/>
  <c r="AS42" i="1"/>
  <c r="AO42" i="1"/>
  <c r="AK42" i="1"/>
  <c r="AG42" i="1"/>
  <c r="AC42" i="1"/>
  <c r="E42" i="1"/>
  <c r="AW41" i="1"/>
  <c r="AS41" i="1"/>
  <c r="AO41" i="1"/>
  <c r="AK41" i="1"/>
  <c r="AG41" i="1"/>
  <c r="AC41" i="1"/>
  <c r="E41" i="1"/>
  <c r="AW40" i="1"/>
  <c r="AS40" i="1"/>
  <c r="AO40" i="1"/>
  <c r="AK40" i="1"/>
  <c r="AG40" i="1"/>
  <c r="AC40" i="1"/>
  <c r="E40" i="1"/>
  <c r="AW39" i="1"/>
  <c r="AS39" i="1"/>
  <c r="AO39" i="1"/>
  <c r="AK39" i="1"/>
  <c r="AG39" i="1"/>
  <c r="AC39" i="1"/>
  <c r="E39" i="1"/>
  <c r="AW38" i="1"/>
  <c r="AY38" i="1"/>
  <c r="AX38" i="1"/>
  <c r="AS38" i="1"/>
  <c r="AU38" i="1"/>
  <c r="AT38" i="1"/>
  <c r="AO38" i="1"/>
  <c r="AQ38" i="1"/>
  <c r="AP38" i="1"/>
  <c r="AK38" i="1"/>
  <c r="AM38" i="1"/>
  <c r="AL38" i="1"/>
  <c r="AG38" i="1"/>
  <c r="AI38" i="1"/>
  <c r="AH38" i="1"/>
  <c r="AC38" i="1"/>
  <c r="AE38" i="1"/>
  <c r="AD38" i="1"/>
  <c r="AA38" i="1"/>
  <c r="Z38" i="1"/>
  <c r="W38" i="1"/>
  <c r="V38" i="1"/>
  <c r="S38" i="1"/>
  <c r="R38" i="1"/>
  <c r="O38" i="1"/>
  <c r="N38" i="1"/>
  <c r="K38" i="1"/>
  <c r="J38" i="1"/>
  <c r="E38" i="1"/>
  <c r="G38" i="1"/>
  <c r="F38" i="1"/>
  <c r="AK37" i="1"/>
  <c r="AG37" i="1"/>
  <c r="AC37" i="1"/>
  <c r="Y37" i="1"/>
  <c r="E37" i="1"/>
  <c r="AK36" i="1"/>
  <c r="AG36" i="1"/>
  <c r="AC36" i="1"/>
  <c r="Y36" i="1"/>
  <c r="E36" i="1"/>
  <c r="AK35" i="1"/>
  <c r="AG35" i="1"/>
  <c r="AC35" i="1"/>
  <c r="Y35" i="1"/>
  <c r="E35" i="1"/>
  <c r="AK34" i="1"/>
  <c r="AG34" i="1"/>
  <c r="AC34" i="1"/>
  <c r="Y34" i="1"/>
  <c r="E34" i="1"/>
  <c r="AK33" i="1"/>
  <c r="AG33" i="1"/>
  <c r="AC33" i="1"/>
  <c r="Y33" i="1"/>
  <c r="E33" i="1"/>
  <c r="AK32" i="1"/>
  <c r="AG32" i="1"/>
  <c r="AC32" i="1"/>
  <c r="Y32" i="1"/>
  <c r="E32" i="1"/>
  <c r="AK31" i="1"/>
  <c r="AG31" i="1"/>
  <c r="AC31" i="1"/>
  <c r="Y31" i="1"/>
  <c r="E31" i="1"/>
  <c r="AK30" i="1"/>
  <c r="AG30" i="1"/>
  <c r="AC30" i="1"/>
  <c r="Y30" i="1"/>
  <c r="E30" i="1"/>
  <c r="AK29" i="1"/>
  <c r="AM29" i="1"/>
  <c r="AL29" i="1"/>
  <c r="AG29" i="1"/>
  <c r="AI29" i="1"/>
  <c r="AH29" i="1"/>
  <c r="AC29" i="1"/>
  <c r="AE29" i="1"/>
  <c r="AD29" i="1"/>
  <c r="Y29" i="1"/>
  <c r="AA29" i="1"/>
  <c r="Z29" i="1"/>
  <c r="W29" i="1"/>
  <c r="V29" i="1"/>
  <c r="S29" i="1"/>
  <c r="R29" i="1"/>
  <c r="O29" i="1"/>
  <c r="N29" i="1"/>
  <c r="K29" i="1"/>
  <c r="J29" i="1"/>
  <c r="E29" i="1"/>
  <c r="G29" i="1"/>
  <c r="F29" i="1"/>
  <c r="BA28" i="1"/>
  <c r="AW28" i="1"/>
  <c r="AS28" i="1"/>
  <c r="AO28" i="1"/>
  <c r="AK28" i="1"/>
  <c r="AG28" i="1"/>
  <c r="E28" i="1"/>
  <c r="BA27" i="1"/>
  <c r="AW27" i="1"/>
  <c r="AS27" i="1"/>
  <c r="AO27" i="1"/>
  <c r="AK27" i="1"/>
  <c r="AG27" i="1"/>
  <c r="E27" i="1"/>
  <c r="BA26" i="1"/>
  <c r="AW26" i="1"/>
  <c r="AS26" i="1"/>
  <c r="AO26" i="1"/>
  <c r="AK26" i="1"/>
  <c r="AG26" i="1"/>
  <c r="E26" i="1"/>
  <c r="BA25" i="1"/>
  <c r="AW25" i="1"/>
  <c r="AS25" i="1"/>
  <c r="AO25" i="1"/>
  <c r="AK25" i="1"/>
  <c r="AG25" i="1"/>
  <c r="E25" i="1"/>
  <c r="BA24" i="1"/>
  <c r="AW24" i="1"/>
  <c r="AS24" i="1"/>
  <c r="AO24" i="1"/>
  <c r="AK24" i="1"/>
  <c r="AG24" i="1"/>
  <c r="E24" i="1"/>
  <c r="BA23" i="1"/>
  <c r="AW23" i="1"/>
  <c r="AS23" i="1"/>
  <c r="AO23" i="1"/>
  <c r="AK23" i="1"/>
  <c r="AG23" i="1"/>
  <c r="E23" i="1"/>
  <c r="BA22" i="1"/>
  <c r="AW22" i="1"/>
  <c r="AS22" i="1"/>
  <c r="AO22" i="1"/>
  <c r="AK22" i="1"/>
  <c r="AG22" i="1"/>
  <c r="E22" i="1"/>
  <c r="BA21" i="1"/>
  <c r="AW21" i="1"/>
  <c r="AS21" i="1"/>
  <c r="AO21" i="1"/>
  <c r="AK21" i="1"/>
  <c r="AG21" i="1"/>
  <c r="E21" i="1"/>
  <c r="BA20" i="1"/>
  <c r="BC20" i="1"/>
  <c r="BB20" i="1"/>
  <c r="AW20" i="1"/>
  <c r="AY20" i="1"/>
  <c r="AX20" i="1"/>
  <c r="AS20" i="1"/>
  <c r="AU20" i="1"/>
  <c r="AT20" i="1"/>
  <c r="AO20" i="1"/>
  <c r="AQ20" i="1"/>
  <c r="AP20" i="1"/>
  <c r="AK20" i="1"/>
  <c r="AM20" i="1"/>
  <c r="AL20" i="1"/>
  <c r="AG20" i="1"/>
  <c r="AI20" i="1"/>
  <c r="AH20" i="1"/>
  <c r="AE20" i="1"/>
  <c r="AD20" i="1"/>
  <c r="AA20" i="1"/>
  <c r="Z20" i="1"/>
  <c r="W20" i="1"/>
  <c r="V20" i="1"/>
  <c r="S20" i="1"/>
  <c r="R20" i="1"/>
  <c r="O20" i="1"/>
  <c r="N20" i="1"/>
  <c r="K20" i="1"/>
  <c r="J20" i="1"/>
  <c r="E20" i="1"/>
  <c r="G20" i="1"/>
  <c r="F20" i="1"/>
  <c r="BE19" i="1"/>
  <c r="BA19" i="1"/>
  <c r="AW19" i="1"/>
  <c r="AS19" i="1"/>
  <c r="AO19" i="1"/>
  <c r="AK19" i="1"/>
  <c r="AG19" i="1"/>
  <c r="E19" i="1"/>
  <c r="BE18" i="1"/>
  <c r="BA18" i="1"/>
  <c r="AW18" i="1"/>
  <c r="AS18" i="1"/>
  <c r="AO18" i="1"/>
  <c r="AK18" i="1"/>
  <c r="AG18" i="1"/>
  <c r="E18" i="1"/>
  <c r="BE17" i="1"/>
  <c r="BA17" i="1"/>
  <c r="AW17" i="1"/>
  <c r="AS17" i="1"/>
  <c r="AO17" i="1"/>
  <c r="AK17" i="1"/>
  <c r="AG17" i="1"/>
  <c r="E17" i="1"/>
  <c r="BE16" i="1"/>
  <c r="BA16" i="1"/>
  <c r="AW16" i="1"/>
  <c r="AS16" i="1"/>
  <c r="AO16" i="1"/>
  <c r="AK16" i="1"/>
  <c r="AG16" i="1"/>
  <c r="E16" i="1"/>
  <c r="BE15" i="1"/>
  <c r="BA15" i="1"/>
  <c r="AW15" i="1"/>
  <c r="AS15" i="1"/>
  <c r="AO15" i="1"/>
  <c r="AK15" i="1"/>
  <c r="AG15" i="1"/>
  <c r="E15" i="1"/>
  <c r="BE14" i="1"/>
  <c r="BA14" i="1"/>
  <c r="AW14" i="1"/>
  <c r="AS14" i="1"/>
  <c r="AO14" i="1"/>
  <c r="AK14" i="1"/>
  <c r="AG14" i="1"/>
  <c r="E14" i="1"/>
  <c r="BE13" i="1"/>
  <c r="BA13" i="1"/>
  <c r="AW13" i="1"/>
  <c r="AS13" i="1"/>
  <c r="AO13" i="1"/>
  <c r="AK13" i="1"/>
  <c r="AG13" i="1"/>
  <c r="E13" i="1"/>
  <c r="BE12" i="1"/>
  <c r="BA12" i="1"/>
  <c r="AW12" i="1"/>
  <c r="AS12" i="1"/>
  <c r="AO12" i="1"/>
  <c r="AK12" i="1"/>
  <c r="AG12" i="1"/>
  <c r="E12" i="1"/>
  <c r="BE11" i="1"/>
  <c r="BG11" i="1"/>
  <c r="BF11" i="1"/>
  <c r="BA11" i="1"/>
  <c r="BC11" i="1"/>
  <c r="BB11" i="1"/>
  <c r="AW11" i="1"/>
  <c r="AY11" i="1"/>
  <c r="AX11" i="1"/>
  <c r="AS11" i="1"/>
  <c r="AU11" i="1"/>
  <c r="AT11" i="1"/>
  <c r="AO11" i="1"/>
  <c r="AQ11" i="1"/>
  <c r="AP11" i="1"/>
  <c r="AK11" i="1"/>
  <c r="AM11" i="1"/>
  <c r="AL11" i="1"/>
  <c r="AG11" i="1"/>
  <c r="AI11" i="1"/>
  <c r="AH11" i="1"/>
  <c r="AE11" i="1"/>
  <c r="AD11" i="1"/>
  <c r="AA11" i="1"/>
  <c r="Z11" i="1"/>
  <c r="W11" i="1"/>
  <c r="V11" i="1"/>
  <c r="S11" i="1"/>
  <c r="R11" i="1"/>
  <c r="O11" i="1"/>
  <c r="N11" i="1"/>
  <c r="K11" i="1"/>
  <c r="J11" i="1"/>
  <c r="E11" i="1"/>
  <c r="G11" i="1"/>
  <c r="F11" i="1"/>
  <c r="BE10" i="1"/>
  <c r="BA10" i="1"/>
  <c r="AW10" i="1"/>
  <c r="AS10" i="1"/>
  <c r="AO10" i="1"/>
  <c r="AK10" i="1"/>
  <c r="AG10" i="1"/>
  <c r="E10" i="1"/>
  <c r="BE9" i="1"/>
  <c r="BA9" i="1"/>
  <c r="AW9" i="1"/>
  <c r="AS9" i="1"/>
  <c r="AO9" i="1"/>
  <c r="AK9" i="1"/>
  <c r="AG9" i="1"/>
  <c r="E9" i="1"/>
  <c r="BE8" i="1"/>
  <c r="BA8" i="1"/>
  <c r="AW8" i="1"/>
  <c r="AS8" i="1"/>
  <c r="AO8" i="1"/>
  <c r="AK8" i="1"/>
  <c r="AG8" i="1"/>
  <c r="E8" i="1"/>
  <c r="BE7" i="1"/>
  <c r="BA7" i="1"/>
  <c r="AW7" i="1"/>
  <c r="AS7" i="1"/>
  <c r="AO7" i="1"/>
  <c r="AK7" i="1"/>
  <c r="AG7" i="1"/>
  <c r="E7" i="1"/>
  <c r="BE6" i="1"/>
  <c r="BA6" i="1"/>
  <c r="AW6" i="1"/>
  <c r="AS6" i="1"/>
  <c r="AO6" i="1"/>
  <c r="AK6" i="1"/>
  <c r="AG6" i="1"/>
  <c r="E6" i="1"/>
  <c r="BE5" i="1"/>
  <c r="BA5" i="1"/>
  <c r="AW5" i="1"/>
  <c r="AS5" i="1"/>
  <c r="AO5" i="1"/>
  <c r="AK5" i="1"/>
  <c r="AG5" i="1"/>
  <c r="E5" i="1"/>
  <c r="BE4" i="1"/>
  <c r="BA4" i="1"/>
  <c r="AW4" i="1"/>
  <c r="AS4" i="1"/>
  <c r="AO4" i="1"/>
  <c r="AK4" i="1"/>
  <c r="AG4" i="1"/>
  <c r="E4" i="1"/>
  <c r="BE3" i="1"/>
  <c r="BA3" i="1"/>
  <c r="AW3" i="1"/>
  <c r="AS3" i="1"/>
  <c r="AO3" i="1"/>
  <c r="AK3" i="1"/>
  <c r="AG3" i="1"/>
  <c r="E3" i="1"/>
  <c r="BE2" i="1"/>
  <c r="BG2" i="1"/>
  <c r="BF2" i="1"/>
  <c r="BA2" i="1"/>
  <c r="BC2" i="1"/>
  <c r="BB2" i="1"/>
  <c r="AW2" i="1"/>
  <c r="AY2" i="1"/>
  <c r="AX2" i="1"/>
  <c r="AS2" i="1"/>
  <c r="AU2" i="1"/>
  <c r="AT2" i="1"/>
  <c r="AO2" i="1"/>
  <c r="AQ2" i="1"/>
  <c r="AP2" i="1"/>
  <c r="AK2" i="1"/>
  <c r="AM2" i="1"/>
  <c r="AL2" i="1"/>
  <c r="AG2" i="1"/>
  <c r="AI2" i="1"/>
  <c r="AH2" i="1"/>
  <c r="AE2" i="1"/>
  <c r="AD2" i="1"/>
  <c r="AA2" i="1"/>
  <c r="Z2" i="1"/>
  <c r="W2" i="1"/>
  <c r="V2" i="1"/>
  <c r="S2" i="1"/>
  <c r="R2" i="1"/>
  <c r="O2" i="1"/>
  <c r="N2" i="1"/>
  <c r="K2" i="1"/>
  <c r="J2" i="1"/>
  <c r="E2" i="1"/>
  <c r="G2" i="1"/>
  <c r="F2" i="1"/>
</calcChain>
</file>

<file path=xl/sharedStrings.xml><?xml version="1.0" encoding="utf-8"?>
<sst xmlns="http://schemas.openxmlformats.org/spreadsheetml/2006/main" count="2667" uniqueCount="211">
  <si>
    <t>Sample_ID</t>
  </si>
  <si>
    <t>species</t>
  </si>
  <si>
    <t>ironconc</t>
  </si>
  <si>
    <t>temp</t>
  </si>
  <si>
    <t>Day 0 (cells/mL)</t>
  </si>
  <si>
    <t>Day 0 avg</t>
  </si>
  <si>
    <t>Day 0 std</t>
  </si>
  <si>
    <t>Day 0 date</t>
  </si>
  <si>
    <t>Day 2 (cells/mL)</t>
  </si>
  <si>
    <t>Day 2 avg</t>
  </si>
  <si>
    <t>Day 2 std</t>
  </si>
  <si>
    <t>Day 2 date</t>
  </si>
  <si>
    <t>Day 4 cells/mL</t>
  </si>
  <si>
    <t>Day 4 avg</t>
  </si>
  <si>
    <t>Day 4 std</t>
  </si>
  <si>
    <t>Day 4 date</t>
  </si>
  <si>
    <t>Day 6 cells/mL</t>
  </si>
  <si>
    <t>Day 6 avg</t>
  </si>
  <si>
    <t>Day 6 std</t>
  </si>
  <si>
    <t>Day 6 date</t>
  </si>
  <si>
    <t>Day 8 cells/mL</t>
  </si>
  <si>
    <t>Day 8 avg</t>
  </si>
  <si>
    <t>Day 8 std</t>
  </si>
  <si>
    <t>Day 8 date</t>
  </si>
  <si>
    <t>Day 10 cells/mL</t>
  </si>
  <si>
    <t>Day 10 avg</t>
  </si>
  <si>
    <t>Day 10 std</t>
  </si>
  <si>
    <t>Day 10 date</t>
  </si>
  <si>
    <t>Day 12 cells/mL</t>
  </si>
  <si>
    <t>Day 12 avg</t>
  </si>
  <si>
    <t>Day 12 std</t>
  </si>
  <si>
    <t>Day 12 date</t>
  </si>
  <si>
    <t>Day 14 cells/mL</t>
  </si>
  <si>
    <t>Day 14 avg</t>
  </si>
  <si>
    <t>Day 14 std</t>
  </si>
  <si>
    <t>Day 14 date</t>
  </si>
  <si>
    <t>Day 16 cells/mL</t>
  </si>
  <si>
    <t>Day 16 avg</t>
  </si>
  <si>
    <t>Day 16 std</t>
  </si>
  <si>
    <t>Day 16 date</t>
  </si>
  <si>
    <t>Day 18 cells/mL</t>
  </si>
  <si>
    <t>Day 18 avg</t>
  </si>
  <si>
    <t>Day 18 std</t>
  </si>
  <si>
    <t>Day 18 date</t>
  </si>
  <si>
    <t>Day 20 cells/mL</t>
  </si>
  <si>
    <t>Day 20 avg</t>
  </si>
  <si>
    <t>Day 20 std</t>
  </si>
  <si>
    <t>Day 20 date</t>
  </si>
  <si>
    <t>Day 22 cells/mL</t>
  </si>
  <si>
    <t>Day 22 avg</t>
  </si>
  <si>
    <t>Day 22 std</t>
  </si>
  <si>
    <t>Day 22 date</t>
  </si>
  <si>
    <t>Day 24 cells/mL</t>
  </si>
  <si>
    <t>Day 24 avg</t>
  </si>
  <si>
    <t>Day 24 std</t>
  </si>
  <si>
    <t>Day 24 date</t>
  </si>
  <si>
    <t>Day 26 cells/mL</t>
  </si>
  <si>
    <t>Day 26 avg</t>
  </si>
  <si>
    <t>Day 26 std</t>
  </si>
  <si>
    <t>Day 26 date</t>
  </si>
  <si>
    <t>Day 28 cells/mL</t>
  </si>
  <si>
    <t>Day 28 avg</t>
  </si>
  <si>
    <t>Day 28 std</t>
  </si>
  <si>
    <t>Day 28 date</t>
  </si>
  <si>
    <t>Day 31 cells/mL</t>
  </si>
  <si>
    <t>Day 31 avg</t>
  </si>
  <si>
    <t>Day 31 std</t>
  </si>
  <si>
    <t>Day 31 date</t>
  </si>
  <si>
    <t>Day 33 cells/mL</t>
  </si>
  <si>
    <t>Day 33 avg</t>
  </si>
  <si>
    <t>Day 33 std</t>
  </si>
  <si>
    <t>Day 33 date</t>
  </si>
  <si>
    <t>Day 35 cells/mL</t>
  </si>
  <si>
    <t>Day 35 avg</t>
  </si>
  <si>
    <t>Day 35 std</t>
  </si>
  <si>
    <t>Day 35 date</t>
  </si>
  <si>
    <t>min</t>
  </si>
  <si>
    <t>min-50-26-1</t>
  </si>
  <si>
    <t>min-50-26-2</t>
  </si>
  <si>
    <t>min-50-26-3</t>
  </si>
  <si>
    <t>psyg</t>
  </si>
  <si>
    <t>min-100-26-1</t>
  </si>
  <si>
    <t>min-100-26-2</t>
  </si>
  <si>
    <t>min-100-26-3</t>
  </si>
  <si>
    <t>psyg-100-26-1</t>
  </si>
  <si>
    <t>psyg-100-26-2</t>
  </si>
  <si>
    <t>psyg-100-26-3</t>
  </si>
  <si>
    <t>psyg-50-26-1</t>
  </si>
  <si>
    <t>psyg-50-26-2</t>
  </si>
  <si>
    <t>psyg-50-26-3</t>
  </si>
  <si>
    <t>min-50-28-1</t>
  </si>
  <si>
    <t>min-50-28-2</t>
  </si>
  <si>
    <t>min-50-28-3</t>
  </si>
  <si>
    <t>min-100-28-1</t>
  </si>
  <si>
    <t>min-100-28-2</t>
  </si>
  <si>
    <t>min-100-28-3</t>
  </si>
  <si>
    <t>psyg-50-28-1</t>
  </si>
  <si>
    <t>psyg-50-28-2</t>
  </si>
  <si>
    <t>psyg-50-28-3</t>
  </si>
  <si>
    <t>psyg-100-28-1</t>
  </si>
  <si>
    <t>psyg-100-28-2</t>
  </si>
  <si>
    <t>psyg-100-28-3</t>
  </si>
  <si>
    <t>min-50-30-1</t>
  </si>
  <si>
    <t>min-50-30-2</t>
  </si>
  <si>
    <t>min-50-30-3</t>
  </si>
  <si>
    <t>min-100-30-1</t>
  </si>
  <si>
    <t>min-100-30-2</t>
  </si>
  <si>
    <t>min-100-30-3</t>
  </si>
  <si>
    <t>psyg-50-30-1</t>
  </si>
  <si>
    <t>psyg-50-30-2</t>
  </si>
  <si>
    <t>psyg-50-30-3</t>
  </si>
  <si>
    <t>psyg-100-30-1</t>
  </si>
  <si>
    <t>psyg-100-30-2</t>
  </si>
  <si>
    <t>psyg-100-30-3</t>
  </si>
  <si>
    <t>min-10-26-1</t>
  </si>
  <si>
    <t>min-10-26-2</t>
  </si>
  <si>
    <t>min-10-26-3</t>
  </si>
  <si>
    <t>min-10-28-1</t>
  </si>
  <si>
    <t>min-10-28-2</t>
  </si>
  <si>
    <t>min-10-28-3</t>
  </si>
  <si>
    <t>min-10-30-1</t>
  </si>
  <si>
    <t>min-10-30-2</t>
  </si>
  <si>
    <t>min-10-30-3</t>
  </si>
  <si>
    <t>psyg-10-26-1</t>
  </si>
  <si>
    <t>psyg-10-26-2</t>
  </si>
  <si>
    <t>psyg-10-26-3</t>
  </si>
  <si>
    <t>psyg-10-28-1</t>
  </si>
  <si>
    <t>psyg-10-28-2</t>
  </si>
  <si>
    <t>psyg-10-28-3</t>
  </si>
  <si>
    <t>psyg-10-30-1</t>
  </si>
  <si>
    <t>psyg-10-30-2</t>
  </si>
  <si>
    <t>psyg-10-30-3</t>
  </si>
  <si>
    <t>treatmentID</t>
  </si>
  <si>
    <t>day start</t>
  </si>
  <si>
    <t>day end</t>
  </si>
  <si>
    <t>slope</t>
  </si>
  <si>
    <t>r2</t>
  </si>
  <si>
    <t>t26</t>
  </si>
  <si>
    <t>min-50-26</t>
  </si>
  <si>
    <t>min-100-26</t>
  </si>
  <si>
    <t>psyg-100-26</t>
  </si>
  <si>
    <t>psyg-50-26</t>
  </si>
  <si>
    <t>min-50-28</t>
  </si>
  <si>
    <t>t28</t>
  </si>
  <si>
    <t>min-100-28</t>
  </si>
  <si>
    <t>psyg-50-28</t>
  </si>
  <si>
    <t>psyg-100-28</t>
  </si>
  <si>
    <t>min-50-30</t>
  </si>
  <si>
    <t>t30</t>
  </si>
  <si>
    <t>min-100-30</t>
  </si>
  <si>
    <t>psyg-50-30</t>
  </si>
  <si>
    <t>psyg-100-30</t>
  </si>
  <si>
    <t>min-10-26</t>
  </si>
  <si>
    <t>min-10-28</t>
  </si>
  <si>
    <t>psyg-10-26</t>
  </si>
  <si>
    <t>psyg-10-28</t>
  </si>
  <si>
    <t>min-10-30</t>
  </si>
  <si>
    <t>psyg-10-30</t>
  </si>
  <si>
    <t>Avg by triplicate</t>
  </si>
  <si>
    <t>LN of average for triplicates</t>
  </si>
  <si>
    <t>date</t>
  </si>
  <si>
    <t>day</t>
  </si>
  <si>
    <t>iron</t>
  </si>
  <si>
    <t>triplicatenumber</t>
  </si>
  <si>
    <t>pH</t>
  </si>
  <si>
    <t>CulturePhase</t>
  </si>
  <si>
    <t>May 24 2018</t>
  </si>
  <si>
    <t>Lag</t>
  </si>
  <si>
    <t>Jun 22 2018</t>
  </si>
  <si>
    <t>Log</t>
  </si>
  <si>
    <t>Jun 29 2018</t>
  </si>
  <si>
    <t>Stationary</t>
  </si>
  <si>
    <t>Jun 14 2018</t>
  </si>
  <si>
    <t>Jul 2 2018</t>
  </si>
  <si>
    <t>Jul 8 2018</t>
  </si>
  <si>
    <t>Jul 20 2018</t>
  </si>
  <si>
    <t>Jul 23 2018</t>
  </si>
  <si>
    <t>blank</t>
  </si>
  <si>
    <t>Blank</t>
  </si>
  <si>
    <t>May 25 2018</t>
  </si>
  <si>
    <t>May 31 2018</t>
  </si>
  <si>
    <t>June 6 2018</t>
  </si>
  <si>
    <t>June 8 2018</t>
  </si>
  <si>
    <t>Jun 10 2018</t>
  </si>
  <si>
    <t>Jun 13 2018</t>
  </si>
  <si>
    <t>Jun 16 2018</t>
  </si>
  <si>
    <t>Jun 18 2018</t>
  </si>
  <si>
    <t>Jun 25 2018</t>
  </si>
  <si>
    <t>Jun 27 2018</t>
  </si>
  <si>
    <t>Jun 28 2018</t>
  </si>
  <si>
    <t>Jul 3 2018</t>
  </si>
  <si>
    <t>Jul 5 2018</t>
  </si>
  <si>
    <t>Jul 15 2018</t>
  </si>
  <si>
    <t>Jul 17 2018</t>
  </si>
  <si>
    <t>Jul 19 2018</t>
  </si>
  <si>
    <t>Jul 21 2018</t>
  </si>
  <si>
    <t>Jul 22 2018</t>
  </si>
  <si>
    <t>Jul 24 2018</t>
  </si>
  <si>
    <t>Jul 25 2018</t>
  </si>
  <si>
    <t>Jul 27 2018</t>
  </si>
  <si>
    <t>Jul 29 2018</t>
  </si>
  <si>
    <t>Jul 31 2018</t>
  </si>
  <si>
    <t>May 23 2018</t>
  </si>
  <si>
    <t>never</t>
  </si>
  <si>
    <t>sampleID</t>
  </si>
  <si>
    <t>CellDensity</t>
  </si>
  <si>
    <t>TotalVol</t>
  </si>
  <si>
    <t>mLTM</t>
  </si>
  <si>
    <t>mLpigment</t>
  </si>
  <si>
    <t>VolPerCell</t>
  </si>
  <si>
    <t>mLPOCPON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</si>
</sst>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FFFF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D8D3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4" fillId="0" borderId="1" xfId="0" applyFont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0" fontId="3" fillId="0" borderId="1" xfId="0" applyFont="1" applyBorder="1"/>
    <xf numFmtId="0" fontId="5" fillId="0" borderId="0" xfId="0" applyFont="1" applyFill="1"/>
    <xf numFmtId="0" fontId="6" fillId="0" borderId="0" xfId="0" applyFont="1" applyFill="1"/>
    <xf numFmtId="164" fontId="6" fillId="0" borderId="0" xfId="1" applyNumberFormat="1" applyFont="1" applyFill="1"/>
    <xf numFmtId="14" fontId="6" fillId="0" borderId="0" xfId="0" applyNumberFormat="1" applyFont="1" applyFill="1"/>
    <xf numFmtId="14" fontId="6" fillId="0" borderId="0" xfId="0" applyNumberFormat="1" applyFont="1"/>
    <xf numFmtId="0" fontId="7" fillId="0" borderId="0" xfId="0" applyFont="1" applyFill="1"/>
    <xf numFmtId="0" fontId="6" fillId="0" borderId="0" xfId="0" applyFont="1"/>
    <xf numFmtId="0" fontId="5" fillId="2" borderId="0" xfId="0" applyFont="1" applyFill="1"/>
    <xf numFmtId="0" fontId="6" fillId="2" borderId="0" xfId="0" applyFont="1" applyFill="1"/>
    <xf numFmtId="164" fontId="6" fillId="2" borderId="0" xfId="1" applyNumberFormat="1" applyFont="1" applyFill="1"/>
    <xf numFmtId="164" fontId="6" fillId="2" borderId="0" xfId="0" applyNumberFormat="1" applyFont="1" applyFill="1"/>
    <xf numFmtId="14" fontId="6" fillId="2" borderId="0" xfId="0" applyNumberFormat="1" applyFont="1" applyFill="1"/>
    <xf numFmtId="0" fontId="7" fillId="2" borderId="0" xfId="0" applyFont="1" applyFill="1"/>
    <xf numFmtId="164" fontId="6" fillId="0" borderId="0" xfId="0" applyNumberFormat="1" applyFont="1" applyFill="1"/>
    <xf numFmtId="0" fontId="8" fillId="0" borderId="0" xfId="0" applyFont="1"/>
    <xf numFmtId="164" fontId="6" fillId="0" borderId="0" xfId="1" applyNumberFormat="1" applyFont="1"/>
    <xf numFmtId="164" fontId="6" fillId="0" borderId="0" xfId="0" applyNumberFormat="1" applyFont="1"/>
    <xf numFmtId="0" fontId="8" fillId="2" borderId="0" xfId="0" applyFont="1" applyFill="1"/>
    <xf numFmtId="0" fontId="9" fillId="2" borderId="0" xfId="0" applyFont="1" applyFill="1"/>
    <xf numFmtId="0" fontId="9" fillId="0" borderId="0" xfId="0" applyFont="1"/>
    <xf numFmtId="0" fontId="5" fillId="0" borderId="0" xfId="0" applyFont="1"/>
    <xf numFmtId="164" fontId="0" fillId="0" borderId="0" xfId="1" applyNumberFormat="1" applyFont="1"/>
    <xf numFmtId="1" fontId="4" fillId="0" borderId="0" xfId="0" applyNumberFormat="1" applyFont="1" applyFill="1" applyBorder="1"/>
    <xf numFmtId="2" fontId="4" fillId="0" borderId="0" xfId="0" applyNumberFormat="1" applyFont="1" applyFill="1" applyBorder="1"/>
    <xf numFmtId="1" fontId="0" fillId="0" borderId="0" xfId="0" applyNumberFormat="1"/>
    <xf numFmtId="0" fontId="5" fillId="3" borderId="0" xfId="0" applyFont="1" applyFill="1"/>
    <xf numFmtId="0" fontId="6" fillId="3" borderId="0" xfId="0" applyFont="1" applyFill="1"/>
    <xf numFmtId="1" fontId="0" fillId="3" borderId="0" xfId="0" applyNumberFormat="1" applyFill="1"/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0" fontId="8" fillId="3" borderId="0" xfId="0" applyFont="1" applyFill="1"/>
    <xf numFmtId="0" fontId="9" fillId="3" borderId="0" xfId="0" applyFont="1" applyFill="1"/>
    <xf numFmtId="0" fontId="9" fillId="0" borderId="0" xfId="0" applyFont="1" applyFill="1"/>
    <xf numFmtId="0" fontId="8" fillId="0" borderId="0" xfId="0" applyFont="1" applyFill="1"/>
    <xf numFmtId="0" fontId="8" fillId="0" borderId="1" xfId="0" applyFont="1" applyFill="1" applyBorder="1"/>
    <xf numFmtId="0" fontId="6" fillId="0" borderId="1" xfId="0" applyFont="1" applyFill="1" applyBorder="1"/>
    <xf numFmtId="0" fontId="10" fillId="4" borderId="0" xfId="0" applyFont="1" applyFill="1"/>
    <xf numFmtId="0" fontId="6" fillId="4" borderId="0" xfId="0" applyFont="1" applyFill="1"/>
    <xf numFmtId="164" fontId="6" fillId="4" borderId="0" xfId="1" applyNumberFormat="1" applyFont="1" applyFill="1"/>
    <xf numFmtId="0" fontId="8" fillId="4" borderId="0" xfId="0" applyFont="1" applyFill="1"/>
    <xf numFmtId="0" fontId="0" fillId="4" borderId="0" xfId="0" applyFill="1"/>
    <xf numFmtId="1" fontId="0" fillId="4" borderId="0" xfId="0" applyNumberFormat="1" applyFill="1"/>
    <xf numFmtId="165" fontId="6" fillId="0" borderId="0" xfId="1" applyNumberFormat="1" applyFont="1"/>
    <xf numFmtId="165" fontId="0" fillId="0" borderId="0" xfId="0" applyNumberFormat="1"/>
    <xf numFmtId="0" fontId="5" fillId="5" borderId="2" xfId="0" applyFont="1" applyFill="1" applyBorder="1"/>
    <xf numFmtId="0" fontId="6" fillId="5" borderId="2" xfId="0" applyFont="1" applyFill="1" applyBorder="1"/>
    <xf numFmtId="165" fontId="6" fillId="0" borderId="2" xfId="1" applyNumberFormat="1" applyFont="1" applyBorder="1"/>
    <xf numFmtId="164" fontId="6" fillId="0" borderId="2" xfId="1" applyNumberFormat="1" applyFont="1" applyBorder="1"/>
    <xf numFmtId="165" fontId="0" fillId="5" borderId="2" xfId="0" applyNumberFormat="1" applyFill="1" applyBorder="1"/>
    <xf numFmtId="1" fontId="0" fillId="5" borderId="2" xfId="0" applyNumberFormat="1" applyFill="1" applyBorder="1"/>
    <xf numFmtId="0" fontId="0" fillId="5" borderId="2" xfId="0" applyFill="1" applyBorder="1"/>
    <xf numFmtId="0" fontId="5" fillId="5" borderId="0" xfId="0" applyFont="1" applyFill="1"/>
    <xf numFmtId="0" fontId="6" fillId="5" borderId="0" xfId="0" applyFont="1" applyFill="1"/>
    <xf numFmtId="165" fontId="0" fillId="5" borderId="0" xfId="0" applyNumberFormat="1" applyFill="1"/>
    <xf numFmtId="1" fontId="0" fillId="5" borderId="0" xfId="0" applyNumberFormat="1" applyFill="1"/>
    <xf numFmtId="0" fontId="0" fillId="5" borderId="0" xfId="0" applyFill="1"/>
    <xf numFmtId="0" fontId="5" fillId="0" borderId="2" xfId="0" applyFont="1" applyFill="1" applyBorder="1"/>
    <xf numFmtId="0" fontId="6" fillId="0" borderId="2" xfId="0" applyFont="1" applyFill="1" applyBorder="1"/>
    <xf numFmtId="165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0" fontId="8" fillId="0" borderId="2" xfId="0" applyFont="1" applyBorder="1"/>
    <xf numFmtId="0" fontId="6" fillId="0" borderId="2" xfId="0" applyFont="1" applyBorder="1"/>
    <xf numFmtId="0" fontId="8" fillId="5" borderId="2" xfId="0" applyFont="1" applyFill="1" applyBorder="1"/>
    <xf numFmtId="0" fontId="8" fillId="5" borderId="0" xfId="0" applyFont="1" applyFill="1"/>
    <xf numFmtId="0" fontId="9" fillId="5" borderId="2" xfId="0" applyFont="1" applyFill="1" applyBorder="1"/>
    <xf numFmtId="0" fontId="9" fillId="5" borderId="0" xfId="0" applyFont="1" applyFill="1"/>
    <xf numFmtId="0" fontId="9" fillId="0" borderId="2" xfId="0" applyFont="1" applyBorder="1"/>
    <xf numFmtId="0" fontId="9" fillId="0" borderId="2" xfId="0" applyFont="1" applyFill="1" applyBorder="1"/>
    <xf numFmtId="165" fontId="0" fillId="0" borderId="2" xfId="0" applyNumberFormat="1" applyFill="1" applyBorder="1"/>
    <xf numFmtId="1" fontId="0" fillId="0" borderId="2" xfId="0" applyNumberFormat="1" applyFill="1" applyBorder="1"/>
    <xf numFmtId="0" fontId="0" fillId="0" borderId="2" xfId="0" applyFill="1" applyBorder="1"/>
    <xf numFmtId="165" fontId="0" fillId="0" borderId="0" xfId="0" applyNumberFormat="1" applyFill="1"/>
    <xf numFmtId="0" fontId="8" fillId="0" borderId="2" xfId="0" applyFont="1" applyFill="1" applyBorder="1"/>
    <xf numFmtId="165" fontId="6" fillId="0" borderId="0" xfId="1" applyNumberFormat="1" applyFont="1" applyFill="1"/>
    <xf numFmtId="165" fontId="6" fillId="0" borderId="1" xfId="1" applyNumberFormat="1" applyFont="1" applyFill="1" applyBorder="1"/>
    <xf numFmtId="164" fontId="6" fillId="0" borderId="1" xfId="1" applyNumberFormat="1" applyFont="1" applyFill="1" applyBorder="1"/>
    <xf numFmtId="165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  <xf numFmtId="165" fontId="0" fillId="0" borderId="0" xfId="1" applyNumberFormat="1" applyFont="1"/>
    <xf numFmtId="165" fontId="6" fillId="0" borderId="0" xfId="0" applyNumberFormat="1" applyFont="1"/>
    <xf numFmtId="0" fontId="11" fillId="6" borderId="0" xfId="0" applyFont="1" applyFill="1"/>
    <xf numFmtId="1" fontId="11" fillId="6" borderId="0" xfId="1" applyNumberFormat="1" applyFont="1" applyFill="1"/>
    <xf numFmtId="1" fontId="11" fillId="6" borderId="0" xfId="0" applyNumberFormat="1" applyFont="1" applyFill="1"/>
    <xf numFmtId="165" fontId="11" fillId="6" borderId="0" xfId="0" applyNumberFormat="1" applyFont="1" applyFill="1"/>
    <xf numFmtId="165" fontId="0" fillId="3" borderId="0" xfId="1" applyNumberFormat="1" applyFont="1" applyFill="1"/>
    <xf numFmtId="165" fontId="0" fillId="3" borderId="0" xfId="0" applyNumberFormat="1" applyFill="1"/>
    <xf numFmtId="165" fontId="2" fillId="0" borderId="0" xfId="1" applyNumberFormat="1" applyFont="1"/>
    <xf numFmtId="165" fontId="2" fillId="3" borderId="0" xfId="1" applyNumberFormat="1" applyFont="1" applyFill="1"/>
    <xf numFmtId="2" fontId="0" fillId="0" borderId="0" xfId="1" applyNumberFormat="1" applyFont="1"/>
    <xf numFmtId="2" fontId="0" fillId="3" borderId="0" xfId="1" applyNumberFormat="1" applyFont="1" applyFill="1"/>
    <xf numFmtId="0" fontId="0" fillId="0" borderId="0" xfId="0" applyFont="1"/>
    <xf numFmtId="0" fontId="6" fillId="0" borderId="0" xfId="0" applyFont="1" applyFill="1" applyBorder="1"/>
    <xf numFmtId="43" fontId="12" fillId="0" borderId="0" xfId="0" applyNumberFormat="1" applyFont="1" applyFill="1"/>
    <xf numFmtId="43" fontId="13" fillId="0" borderId="0" xfId="0" applyNumberFormat="1" applyFont="1"/>
    <xf numFmtId="43" fontId="13" fillId="0" borderId="0" xfId="0" applyNumberFormat="1" applyFont="1" applyFill="1"/>
    <xf numFmtId="0" fontId="7" fillId="0" borderId="0" xfId="0" applyFont="1"/>
    <xf numFmtId="43" fontId="0" fillId="7" borderId="0" xfId="1" applyFont="1" applyFill="1" applyBorder="1"/>
  </cellXfs>
  <cellStyles count="2">
    <cellStyle name="Comma" xfId="1" builtinId="3"/>
    <cellStyle name="Normal" xfId="0" builtinId="0"/>
  </cellStyles>
  <dxfs count="8">
    <dxf>
      <font>
        <color theme="4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16868879979562"/>
          <c:y val="0.333784255287369"/>
          <c:w val="0.78816186143308"/>
          <c:h val="0.5784134509911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91126805324766"/>
                  <c:y val="-0.322669228471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[1]sp_growth_B!$G$287:$N$287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[1]sp_growth_B!$G$342:$N$342</c:f>
              <c:numCache>
                <c:formatCode>_(* #,##0.00000_);_(* \(#,##0.00000\);_(* "-"??_);_(@_)</c:formatCode>
                <c:ptCount val="8"/>
                <c:pt idx="0">
                  <c:v>7.006091179702999</c:v>
                </c:pt>
                <c:pt idx="2">
                  <c:v>8.297294370266916</c:v>
                </c:pt>
                <c:pt idx="3">
                  <c:v>9.59693974709893</c:v>
                </c:pt>
                <c:pt idx="4">
                  <c:v>10.72433876290835</c:v>
                </c:pt>
                <c:pt idx="5">
                  <c:v>11.70040038700498</c:v>
                </c:pt>
                <c:pt idx="6">
                  <c:v>12.6426487486634</c:v>
                </c:pt>
                <c:pt idx="7">
                  <c:v>12.97783074000523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26976"/>
        <c:axId val="-2067147744"/>
      </c:scatterChart>
      <c:valAx>
        <c:axId val="-20718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47744"/>
        <c:crosses val="autoZero"/>
        <c:crossBetween val="midCat"/>
      </c:valAx>
      <c:valAx>
        <c:axId val="-2067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_);_(* \(#,##0.0000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8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1230053</xdr:colOff>
      <xdr:row>279</xdr:row>
      <xdr:rowOff>13040</xdr:rowOff>
    </xdr:from>
    <xdr:to>
      <xdr:col>11</xdr:col>
      <xdr:colOff>890301</xdr:colOff>
      <xdr:row>296</xdr:row>
      <xdr:rowOff>82388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reich/Desktop/PhD/summer%202018/celldensity/cellcounts_su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ily log"/>
      <sheetName val="batch_B"/>
      <sheetName val="sp_growth_B"/>
      <sheetName val="spgrowth_r"/>
      <sheetName val="batch_CD"/>
      <sheetName val="sp_growth_CD"/>
      <sheetName val="forR"/>
      <sheetName val="pH"/>
      <sheetName val="harvest"/>
      <sheetName val="innoculation"/>
    </sheetNames>
    <sheetDataSet>
      <sheetData sheetId="0"/>
      <sheetData sheetId="1"/>
      <sheetData sheetId="2"/>
      <sheetData sheetId="3">
        <row r="287">
          <cell r="G287">
            <v>2</v>
          </cell>
          <cell r="H287">
            <v>4</v>
          </cell>
          <cell r="I287">
            <v>6</v>
          </cell>
          <cell r="J287">
            <v>8</v>
          </cell>
          <cell r="K287">
            <v>10</v>
          </cell>
          <cell r="L287">
            <v>12</v>
          </cell>
          <cell r="M287">
            <v>14</v>
          </cell>
          <cell r="N287">
            <v>16</v>
          </cell>
        </row>
        <row r="342">
          <cell r="G342">
            <v>7.0060911797029988</v>
          </cell>
          <cell r="I342">
            <v>8.2972943702669166</v>
          </cell>
          <cell r="J342">
            <v>9.5969397470989311</v>
          </cell>
          <cell r="K342">
            <v>10.724338762908348</v>
          </cell>
          <cell r="L342">
            <v>11.700400387004978</v>
          </cell>
          <cell r="M342">
            <v>12.64264874866339</v>
          </cell>
          <cell r="N342">
            <v>12.977830740005231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5">
          <cell r="D5">
            <v>696433.33333333326</v>
          </cell>
        </row>
        <row r="7">
          <cell r="D7">
            <v>633813.33333333337</v>
          </cell>
        </row>
        <row r="8">
          <cell r="D8">
            <v>558573.33333333337</v>
          </cell>
        </row>
        <row r="9">
          <cell r="D9">
            <v>249193.33333333331</v>
          </cell>
        </row>
        <row r="14">
          <cell r="D14">
            <v>877900</v>
          </cell>
        </row>
        <row r="15">
          <cell r="D15">
            <v>938500</v>
          </cell>
        </row>
        <row r="17">
          <cell r="D17">
            <v>562470</v>
          </cell>
        </row>
        <row r="18">
          <cell r="D18">
            <v>542280</v>
          </cell>
        </row>
        <row r="19">
          <cell r="D19">
            <v>790190</v>
          </cell>
        </row>
        <row r="20">
          <cell r="D20">
            <v>667320</v>
          </cell>
        </row>
        <row r="22">
          <cell r="D22">
            <v>414690</v>
          </cell>
        </row>
        <row r="23">
          <cell r="D23">
            <v>392060</v>
          </cell>
        </row>
        <row r="26">
          <cell r="D26">
            <v>1932930</v>
          </cell>
        </row>
        <row r="27">
          <cell r="D27">
            <v>731960</v>
          </cell>
        </row>
        <row r="28">
          <cell r="D28">
            <v>1350450</v>
          </cell>
        </row>
        <row r="29">
          <cell r="D29">
            <v>887790</v>
          </cell>
        </row>
        <row r="30">
          <cell r="D30">
            <v>338710</v>
          </cell>
        </row>
        <row r="31">
          <cell r="D31">
            <v>576850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39"/>
  <sheetViews>
    <sheetView topLeftCell="A132" workbookViewId="0">
      <selection activeCell="B167" sqref="B167"/>
    </sheetView>
  </sheetViews>
  <sheetFormatPr baseColWidth="10" defaultRowHeight="16" x14ac:dyDescent="0.2"/>
  <cols>
    <col min="1" max="1" width="19.6640625" customWidth="1"/>
    <col min="2" max="2" width="13.33203125" customWidth="1"/>
    <col min="5" max="5" width="14.5" style="26" customWidth="1"/>
    <col min="7" max="7" width="12" customWidth="1"/>
    <col min="37" max="37" width="10.83203125" style="11"/>
    <col min="44" max="47" width="10.83203125" style="11"/>
    <col min="49" max="49" width="10.83203125" style="11"/>
    <col min="53" max="53" width="10.83203125" style="11"/>
    <col min="57" max="57" width="10.83203125" style="11"/>
    <col min="61" max="61" width="10.83203125" style="11"/>
  </cols>
  <sheetData>
    <row r="1" spans="1:104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2" t="s">
        <v>39</v>
      </c>
      <c r="AO1" s="3" t="s">
        <v>40</v>
      </c>
      <c r="AP1" s="3" t="s">
        <v>41</v>
      </c>
      <c r="AQ1" s="3" t="s">
        <v>42</v>
      </c>
      <c r="AR1" s="2" t="s">
        <v>43</v>
      </c>
      <c r="AS1" s="3" t="s">
        <v>44</v>
      </c>
      <c r="AT1" s="3" t="s">
        <v>45</v>
      </c>
      <c r="AU1" s="3" t="s">
        <v>46</v>
      </c>
      <c r="AV1" s="2" t="s">
        <v>47</v>
      </c>
      <c r="AW1" s="3" t="s">
        <v>48</v>
      </c>
      <c r="AX1" s="3" t="s">
        <v>49</v>
      </c>
      <c r="AY1" s="3" t="s">
        <v>50</v>
      </c>
      <c r="AZ1" s="2" t="s">
        <v>51</v>
      </c>
      <c r="BA1" s="3" t="s">
        <v>52</v>
      </c>
      <c r="BB1" s="3" t="s">
        <v>53</v>
      </c>
      <c r="BC1" s="3" t="s">
        <v>54</v>
      </c>
      <c r="BD1" s="2" t="s">
        <v>55</v>
      </c>
      <c r="BE1" s="3" t="s">
        <v>56</v>
      </c>
      <c r="BF1" s="3" t="s">
        <v>57</v>
      </c>
      <c r="BG1" s="3" t="s">
        <v>58</v>
      </c>
      <c r="BH1" s="2" t="s">
        <v>59</v>
      </c>
      <c r="BI1" s="3" t="s">
        <v>60</v>
      </c>
      <c r="BJ1" s="3" t="s">
        <v>61</v>
      </c>
      <c r="BK1" s="3" t="s">
        <v>62</v>
      </c>
      <c r="BL1" s="2" t="s">
        <v>63</v>
      </c>
      <c r="BM1" s="3" t="s">
        <v>64</v>
      </c>
      <c r="BN1" s="3" t="s">
        <v>65</v>
      </c>
      <c r="BO1" s="3" t="s">
        <v>66</v>
      </c>
      <c r="BP1" s="2" t="s">
        <v>67</v>
      </c>
      <c r="BQ1" s="3" t="s">
        <v>68</v>
      </c>
      <c r="BR1" s="3" t="s">
        <v>69</v>
      </c>
      <c r="BS1" s="3" t="s">
        <v>70</v>
      </c>
      <c r="BT1" s="2" t="s">
        <v>71</v>
      </c>
      <c r="BU1" s="3" t="s">
        <v>72</v>
      </c>
      <c r="BV1" s="3" t="s">
        <v>73</v>
      </c>
      <c r="BW1" s="3" t="s">
        <v>74</v>
      </c>
      <c r="BX1" s="2" t="s">
        <v>75</v>
      </c>
      <c r="BY1" s="3"/>
      <c r="BZ1" s="3"/>
      <c r="CA1" s="3"/>
      <c r="CB1" s="2"/>
      <c r="CC1" s="3"/>
      <c r="CD1" s="3"/>
      <c r="CE1" s="3"/>
      <c r="CF1" s="2"/>
      <c r="CG1" s="3"/>
      <c r="CH1" s="3"/>
      <c r="CI1" s="3"/>
      <c r="CJ1" s="2"/>
      <c r="CK1" s="3"/>
      <c r="CL1" s="3"/>
      <c r="CM1" s="3"/>
      <c r="CN1" s="2"/>
      <c r="CO1" s="3"/>
      <c r="CP1" s="3"/>
      <c r="CQ1" s="3"/>
      <c r="CR1" s="2"/>
      <c r="CS1" s="3"/>
      <c r="CT1" s="3"/>
      <c r="CU1" s="3"/>
      <c r="CV1" s="2"/>
      <c r="CW1" s="3"/>
      <c r="CX1" s="3"/>
      <c r="CY1" s="3"/>
      <c r="CZ1" s="2"/>
    </row>
    <row r="2" spans="1:104" s="17" customFormat="1" x14ac:dyDescent="0.2">
      <c r="A2" s="12" t="s">
        <v>77</v>
      </c>
      <c r="B2" s="13" t="s">
        <v>76</v>
      </c>
      <c r="C2" s="13">
        <v>50</v>
      </c>
      <c r="D2" s="13">
        <v>26</v>
      </c>
      <c r="E2" s="14">
        <f>([1]innoculation!$D$5*2)/1000</f>
        <v>1392.8666666666666</v>
      </c>
      <c r="F2" s="15">
        <f>AVERAGE(E2:E10)</f>
        <v>1392.8666666666666</v>
      </c>
      <c r="G2" s="13">
        <f>STDEV(E2:E10)</f>
        <v>0</v>
      </c>
      <c r="H2" s="16">
        <v>43241</v>
      </c>
      <c r="I2" s="13">
        <v>1746</v>
      </c>
      <c r="J2" s="13">
        <f>AVERAGE(I2:I10)</f>
        <v>1720.5555555555557</v>
      </c>
      <c r="K2" s="13">
        <f>STDEV(I2:I10)</f>
        <v>76.385717105868551</v>
      </c>
      <c r="L2" s="16">
        <v>43243</v>
      </c>
      <c r="M2" s="13">
        <v>2617</v>
      </c>
      <c r="N2" s="13">
        <f>AVERAGE(M2:M10)</f>
        <v>2483.6666666666665</v>
      </c>
      <c r="O2" s="13">
        <f>STDEV(M2:M10)</f>
        <v>189.73007141726373</v>
      </c>
      <c r="P2" s="16">
        <v>43245</v>
      </c>
      <c r="Q2" s="13">
        <v>3492</v>
      </c>
      <c r="R2" s="13">
        <f>AVERAGE(Q2:Q10)</f>
        <v>3411.5555555555557</v>
      </c>
      <c r="S2" s="13">
        <f>STDEV(Q2:Q10)</f>
        <v>264.449480577629</v>
      </c>
      <c r="T2" s="16">
        <v>43247</v>
      </c>
      <c r="U2" s="13">
        <v>7264</v>
      </c>
      <c r="V2" s="13">
        <f>AVERAGE(U2:U10)</f>
        <v>7858.1111111111113</v>
      </c>
      <c r="W2" s="13">
        <f>STDEV(U2:U10)</f>
        <v>634.75220449488086</v>
      </c>
      <c r="X2" s="16">
        <v>43249</v>
      </c>
      <c r="Y2" s="13">
        <v>16362</v>
      </c>
      <c r="Z2" s="13">
        <f>AVERAGE(Y2:Y10)</f>
        <v>16151.666666666666</v>
      </c>
      <c r="AA2" s="13">
        <f>STDEV(Y2:Y10)</f>
        <v>1609.8710352074791</v>
      </c>
      <c r="AB2" s="16">
        <v>43251</v>
      </c>
      <c r="AC2" s="13">
        <v>38463</v>
      </c>
      <c r="AD2" s="13">
        <f>AVERAGE(AC2:AC10)</f>
        <v>35614</v>
      </c>
      <c r="AE2" s="13">
        <f>STDEV(AC2:AC10)</f>
        <v>3742.3054391644732</v>
      </c>
      <c r="AF2" s="16">
        <v>43253</v>
      </c>
      <c r="AG2" s="13">
        <f>5175*20</f>
        <v>103500</v>
      </c>
      <c r="AH2" s="13">
        <f>AVERAGE(AG2:AG10)</f>
        <v>95102.222222222219</v>
      </c>
      <c r="AI2" s="13">
        <f>STDEV(AG2:AG10)</f>
        <v>9406.3938065788243</v>
      </c>
      <c r="AJ2" s="16">
        <v>43255</v>
      </c>
      <c r="AK2" s="13">
        <f>12702*20</f>
        <v>254040</v>
      </c>
      <c r="AL2" s="13">
        <f>AVERAGE(AK2:AK10)</f>
        <v>257624.44444444444</v>
      </c>
      <c r="AM2" s="13">
        <f>STDEV(AK2:AK10)</f>
        <v>75583.336640940717</v>
      </c>
      <c r="AN2" s="16">
        <v>43257</v>
      </c>
      <c r="AO2" s="13">
        <f>22646*20</f>
        <v>452920</v>
      </c>
      <c r="AP2" s="13">
        <f>AVERAGE(AO2:AO10)</f>
        <v>454082.22222222225</v>
      </c>
      <c r="AQ2" s="13">
        <f>STDEV(AO2:AO10)</f>
        <v>49871.137388718715</v>
      </c>
      <c r="AR2" s="16">
        <v>43259</v>
      </c>
      <c r="AS2" s="13">
        <f>37345*20</f>
        <v>746900</v>
      </c>
      <c r="AT2" s="13">
        <f>AVERAGE(AS2:AS10)</f>
        <v>709860</v>
      </c>
      <c r="AU2" s="13">
        <f>STDEV(AS2:AS10)</f>
        <v>58606.770086739976</v>
      </c>
      <c r="AV2" s="16">
        <v>43261</v>
      </c>
      <c r="AW2" s="13">
        <f>62498*20</f>
        <v>1249960</v>
      </c>
      <c r="AX2" s="13">
        <f>AVERAGE(AW2:AW10)</f>
        <v>1208380</v>
      </c>
      <c r="AY2" s="13">
        <f>STDEV(AW2:AW10)</f>
        <v>55586.034217238419</v>
      </c>
      <c r="AZ2" s="16">
        <v>43263</v>
      </c>
      <c r="BA2" s="13">
        <f>71498*20</f>
        <v>1429960</v>
      </c>
      <c r="BB2" s="13">
        <f>AVERAGE(BA2:BA10)</f>
        <v>1392740</v>
      </c>
      <c r="BC2" s="13">
        <f>STDEV(BA2:BA10)</f>
        <v>35005.945209349797</v>
      </c>
      <c r="BD2" s="16">
        <v>43265</v>
      </c>
      <c r="BE2" s="13">
        <f>68223*20</f>
        <v>1364460</v>
      </c>
      <c r="BF2" s="13">
        <f>AVERAGE(BE2:BE10)</f>
        <v>1360373.3333333333</v>
      </c>
      <c r="BG2" s="13">
        <f>STDEV(BE2:BE10)</f>
        <v>24340.213639161018</v>
      </c>
      <c r="BH2" s="16">
        <v>43267</v>
      </c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</row>
    <row r="3" spans="1:104" s="17" customFormat="1" x14ac:dyDescent="0.2">
      <c r="A3" s="12" t="s">
        <v>77</v>
      </c>
      <c r="B3" s="13" t="s">
        <v>76</v>
      </c>
      <c r="C3" s="13">
        <v>50</v>
      </c>
      <c r="D3" s="13">
        <v>26</v>
      </c>
      <c r="E3" s="14">
        <f>([1]innoculation!$D$5*2)/1000</f>
        <v>1392.8666666666666</v>
      </c>
      <c r="F3" s="13"/>
      <c r="G3" s="13"/>
      <c r="H3" s="16">
        <v>43241</v>
      </c>
      <c r="I3" s="13">
        <v>1648</v>
      </c>
      <c r="J3" s="13"/>
      <c r="K3" s="13"/>
      <c r="L3" s="16">
        <v>43243</v>
      </c>
      <c r="M3" s="13">
        <v>2603</v>
      </c>
      <c r="N3" s="13"/>
      <c r="O3" s="13"/>
      <c r="P3" s="16">
        <v>43245</v>
      </c>
      <c r="Q3" s="13">
        <v>3686</v>
      </c>
      <c r="R3" s="13"/>
      <c r="S3" s="13"/>
      <c r="T3" s="16">
        <v>43247</v>
      </c>
      <c r="U3" s="13">
        <v>7073</v>
      </c>
      <c r="V3" s="13"/>
      <c r="W3" s="13"/>
      <c r="X3" s="16">
        <v>43249</v>
      </c>
      <c r="Y3" s="13">
        <v>16174</v>
      </c>
      <c r="Z3" s="13"/>
      <c r="AA3" s="13"/>
      <c r="AB3" s="16">
        <v>43251</v>
      </c>
      <c r="AC3" s="13">
        <v>38389</v>
      </c>
      <c r="AD3" s="13"/>
      <c r="AE3" s="13"/>
      <c r="AF3" s="16">
        <v>43253</v>
      </c>
      <c r="AG3" s="13">
        <f>4912*20</f>
        <v>98240</v>
      </c>
      <c r="AH3" s="13"/>
      <c r="AI3" s="13"/>
      <c r="AJ3" s="16">
        <v>43255</v>
      </c>
      <c r="AK3" s="13">
        <f>12359*20</f>
        <v>247180</v>
      </c>
      <c r="AL3" s="13"/>
      <c r="AM3" s="13"/>
      <c r="AN3" s="16">
        <v>43257</v>
      </c>
      <c r="AO3" s="13">
        <f>23536*20</f>
        <v>470720</v>
      </c>
      <c r="AP3" s="13"/>
      <c r="AQ3" s="13"/>
      <c r="AR3" s="16">
        <v>43259</v>
      </c>
      <c r="AS3" s="13">
        <f>37403*20</f>
        <v>748060</v>
      </c>
      <c r="AT3" s="13"/>
      <c r="AU3" s="13"/>
      <c r="AV3" s="16">
        <v>43261</v>
      </c>
      <c r="AW3" s="13">
        <f>62196*20</f>
        <v>1243920</v>
      </c>
      <c r="AX3" s="13"/>
      <c r="AY3" s="13"/>
      <c r="AZ3" s="16">
        <v>43263</v>
      </c>
      <c r="BA3" s="13">
        <f>70809*20</f>
        <v>1416180</v>
      </c>
      <c r="BB3" s="13"/>
      <c r="BC3" s="13"/>
      <c r="BD3" s="16">
        <v>43265</v>
      </c>
      <c r="BE3" s="13">
        <f>69671*20</f>
        <v>1393420</v>
      </c>
      <c r="BF3" s="13"/>
      <c r="BG3" s="13"/>
      <c r="BH3" s="16">
        <v>43267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</row>
    <row r="4" spans="1:104" s="17" customFormat="1" x14ac:dyDescent="0.2">
      <c r="A4" s="12" t="s">
        <v>77</v>
      </c>
      <c r="B4" s="13" t="s">
        <v>76</v>
      </c>
      <c r="C4" s="13">
        <v>50</v>
      </c>
      <c r="D4" s="13">
        <v>26</v>
      </c>
      <c r="E4" s="14">
        <f>([1]innoculation!$D$5*2)/1000</f>
        <v>1392.8666666666666</v>
      </c>
      <c r="F4" s="13"/>
      <c r="G4" s="13"/>
      <c r="H4" s="16">
        <v>43241</v>
      </c>
      <c r="I4" s="13">
        <v>1686</v>
      </c>
      <c r="J4" s="13"/>
      <c r="K4" s="13"/>
      <c r="L4" s="16">
        <v>43243</v>
      </c>
      <c r="M4" s="13">
        <v>2806</v>
      </c>
      <c r="N4" s="13"/>
      <c r="O4" s="13"/>
      <c r="P4" s="16">
        <v>43245</v>
      </c>
      <c r="Q4" s="13">
        <v>3708</v>
      </c>
      <c r="R4" s="13"/>
      <c r="S4" s="13"/>
      <c r="T4" s="16">
        <v>43247</v>
      </c>
      <c r="U4" s="13">
        <v>7289</v>
      </c>
      <c r="V4" s="13"/>
      <c r="W4" s="13"/>
      <c r="X4" s="16">
        <v>43249</v>
      </c>
      <c r="Y4" s="13">
        <v>16231</v>
      </c>
      <c r="Z4" s="13"/>
      <c r="AA4" s="13"/>
      <c r="AB4" s="16">
        <v>43251</v>
      </c>
      <c r="AC4" s="13">
        <v>36487</v>
      </c>
      <c r="AD4" s="13"/>
      <c r="AE4" s="13"/>
      <c r="AF4" s="16">
        <v>43253</v>
      </c>
      <c r="AG4" s="13">
        <f>4777*20</f>
        <v>95540</v>
      </c>
      <c r="AH4" s="13"/>
      <c r="AI4" s="13"/>
      <c r="AJ4" s="16">
        <v>43255</v>
      </c>
      <c r="AK4" s="13">
        <f>12263*20</f>
        <v>245260</v>
      </c>
      <c r="AL4" s="13"/>
      <c r="AM4" s="13"/>
      <c r="AN4" s="16">
        <v>43257</v>
      </c>
      <c r="AO4" s="13">
        <f>23415*20</f>
        <v>468300</v>
      </c>
      <c r="AP4" s="13"/>
      <c r="AQ4" s="13"/>
      <c r="AR4" s="16">
        <v>43259</v>
      </c>
      <c r="AS4" s="13">
        <f>37359*20</f>
        <v>747180</v>
      </c>
      <c r="AT4" s="13"/>
      <c r="AU4" s="13"/>
      <c r="AV4" s="16">
        <v>43261</v>
      </c>
      <c r="AW4" s="13">
        <f>62107*20</f>
        <v>1242140</v>
      </c>
      <c r="AX4" s="13"/>
      <c r="AY4" s="13"/>
      <c r="AZ4" s="16">
        <v>43263</v>
      </c>
      <c r="BA4" s="13">
        <f>70746*20</f>
        <v>1414920</v>
      </c>
      <c r="BB4" s="13"/>
      <c r="BC4" s="13"/>
      <c r="BD4" s="16">
        <v>43265</v>
      </c>
      <c r="BE4" s="13">
        <f>68301*20</f>
        <v>1366020</v>
      </c>
      <c r="BF4" s="13"/>
      <c r="BG4" s="13"/>
      <c r="BH4" s="16">
        <v>43267</v>
      </c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</row>
    <row r="5" spans="1:104" s="17" customFormat="1" x14ac:dyDescent="0.2">
      <c r="A5" s="12" t="s">
        <v>78</v>
      </c>
      <c r="B5" s="13" t="s">
        <v>76</v>
      </c>
      <c r="C5" s="13">
        <v>50</v>
      </c>
      <c r="D5" s="13">
        <v>26</v>
      </c>
      <c r="E5" s="14">
        <f>([1]innoculation!$D$5*2)/1000</f>
        <v>1392.8666666666666</v>
      </c>
      <c r="F5" s="13"/>
      <c r="G5" s="13"/>
      <c r="H5" s="16">
        <v>43241</v>
      </c>
      <c r="I5" s="13">
        <v>1794</v>
      </c>
      <c r="J5" s="13"/>
      <c r="K5" s="13"/>
      <c r="L5" s="16">
        <v>43243</v>
      </c>
      <c r="M5" s="13">
        <v>2312</v>
      </c>
      <c r="N5" s="13"/>
      <c r="O5" s="13"/>
      <c r="P5" s="16">
        <v>43245</v>
      </c>
      <c r="Q5" s="13">
        <v>3206</v>
      </c>
      <c r="R5" s="13"/>
      <c r="S5" s="13"/>
      <c r="T5" s="16">
        <v>43247</v>
      </c>
      <c r="U5" s="13">
        <v>8760</v>
      </c>
      <c r="V5" s="13"/>
      <c r="W5" s="13"/>
      <c r="X5" s="16">
        <v>43249</v>
      </c>
      <c r="Y5" s="13">
        <v>14564</v>
      </c>
      <c r="Z5" s="13"/>
      <c r="AA5" s="13"/>
      <c r="AB5" s="16">
        <v>43251</v>
      </c>
      <c r="AC5" s="13">
        <v>31395</v>
      </c>
      <c r="AD5" s="13"/>
      <c r="AE5" s="13"/>
      <c r="AF5" s="16">
        <v>43253</v>
      </c>
      <c r="AG5" s="13">
        <f>4286*20</f>
        <v>85720</v>
      </c>
      <c r="AH5" s="13"/>
      <c r="AI5" s="13"/>
      <c r="AJ5" s="16">
        <v>43255</v>
      </c>
      <c r="AK5" s="13">
        <f>10550*20</f>
        <v>211000</v>
      </c>
      <c r="AL5" s="13"/>
      <c r="AM5" s="13"/>
      <c r="AN5" s="16">
        <v>43257</v>
      </c>
      <c r="AO5" s="13">
        <f>19636*20</f>
        <v>392720</v>
      </c>
      <c r="AP5" s="13"/>
      <c r="AQ5" s="13"/>
      <c r="AR5" s="16">
        <v>43259</v>
      </c>
      <c r="AS5" s="13">
        <f>31397*20</f>
        <v>627940</v>
      </c>
      <c r="AT5" s="13"/>
      <c r="AU5" s="13"/>
      <c r="AV5" s="16">
        <v>43261</v>
      </c>
      <c r="AW5" s="13">
        <f>57065*20</f>
        <v>1141300</v>
      </c>
      <c r="AX5" s="13"/>
      <c r="AY5" s="13"/>
      <c r="AZ5" s="16">
        <v>43263</v>
      </c>
      <c r="BA5" s="13">
        <f>68375*20</f>
        <v>1367500</v>
      </c>
      <c r="BB5" s="13"/>
      <c r="BC5" s="13"/>
      <c r="BD5" s="16">
        <v>43265</v>
      </c>
      <c r="BE5" s="13">
        <f>66453*20</f>
        <v>1329060</v>
      </c>
      <c r="BF5" s="13"/>
      <c r="BG5" s="13"/>
      <c r="BH5" s="16">
        <v>43267</v>
      </c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</row>
    <row r="6" spans="1:104" s="17" customFormat="1" x14ac:dyDescent="0.2">
      <c r="A6" s="12" t="s">
        <v>78</v>
      </c>
      <c r="B6" s="13" t="s">
        <v>76</v>
      </c>
      <c r="C6" s="13">
        <v>50</v>
      </c>
      <c r="D6" s="13">
        <v>26</v>
      </c>
      <c r="E6" s="14">
        <f>([1]innoculation!$D$5*2)/1000</f>
        <v>1392.8666666666666</v>
      </c>
      <c r="F6" s="13"/>
      <c r="G6" s="13"/>
      <c r="H6" s="16">
        <v>43241</v>
      </c>
      <c r="I6" s="13">
        <v>1848</v>
      </c>
      <c r="J6" s="13"/>
      <c r="K6" s="13"/>
      <c r="L6" s="16">
        <v>43243</v>
      </c>
      <c r="M6" s="13">
        <v>2239</v>
      </c>
      <c r="N6" s="13"/>
      <c r="O6" s="13"/>
      <c r="P6" s="16">
        <v>43245</v>
      </c>
      <c r="Q6" s="13">
        <v>3094</v>
      </c>
      <c r="R6" s="13"/>
      <c r="S6" s="13"/>
      <c r="T6" s="16">
        <v>43247</v>
      </c>
      <c r="U6" s="13">
        <v>8286</v>
      </c>
      <c r="V6" s="13"/>
      <c r="W6" s="13"/>
      <c r="X6" s="16">
        <v>43249</v>
      </c>
      <c r="Y6" s="13">
        <v>14697</v>
      </c>
      <c r="Z6" s="13"/>
      <c r="AA6" s="13"/>
      <c r="AB6" s="16">
        <v>43251</v>
      </c>
      <c r="AC6" s="13">
        <v>30246</v>
      </c>
      <c r="AD6" s="13"/>
      <c r="AE6" s="13"/>
      <c r="AF6" s="16">
        <v>43253</v>
      </c>
      <c r="AG6" s="13">
        <f>4101*20</f>
        <v>82020</v>
      </c>
      <c r="AH6" s="13"/>
      <c r="AI6" s="13"/>
      <c r="AJ6" s="16">
        <v>43255</v>
      </c>
      <c r="AK6" s="13">
        <f>10322*20</f>
        <v>206440</v>
      </c>
      <c r="AL6" s="13"/>
      <c r="AM6" s="13"/>
      <c r="AN6" s="16">
        <v>43257</v>
      </c>
      <c r="AO6" s="13">
        <f>19802*20</f>
        <v>396040</v>
      </c>
      <c r="AP6" s="13"/>
      <c r="AQ6" s="13"/>
      <c r="AR6" s="16">
        <v>43259</v>
      </c>
      <c r="AS6" s="13">
        <f>31572*20</f>
        <v>631440</v>
      </c>
      <c r="AT6" s="13"/>
      <c r="AU6" s="13"/>
      <c r="AV6" s="16">
        <v>43261</v>
      </c>
      <c r="AW6" s="13">
        <f>56366*20</f>
        <v>1127320</v>
      </c>
      <c r="AX6" s="13"/>
      <c r="AY6" s="13"/>
      <c r="AZ6" s="16">
        <v>43263</v>
      </c>
      <c r="BA6" s="13">
        <f>67363*20</f>
        <v>1347260</v>
      </c>
      <c r="BB6" s="13"/>
      <c r="BC6" s="13"/>
      <c r="BD6" s="16">
        <v>43265</v>
      </c>
      <c r="BE6" s="13">
        <f>66553*20</f>
        <v>1331060</v>
      </c>
      <c r="BF6" s="13"/>
      <c r="BG6" s="13"/>
      <c r="BH6" s="16">
        <v>43267</v>
      </c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</row>
    <row r="7" spans="1:104" s="17" customFormat="1" x14ac:dyDescent="0.2">
      <c r="A7" s="12" t="s">
        <v>78</v>
      </c>
      <c r="B7" s="13" t="s">
        <v>76</v>
      </c>
      <c r="C7" s="13">
        <v>50</v>
      </c>
      <c r="D7" s="13">
        <v>26</v>
      </c>
      <c r="E7" s="14">
        <f>([1]innoculation!$D$5*2)/1000</f>
        <v>1392.8666666666666</v>
      </c>
      <c r="F7" s="13"/>
      <c r="G7" s="13"/>
      <c r="H7" s="16">
        <v>43241</v>
      </c>
      <c r="I7" s="13">
        <v>1766</v>
      </c>
      <c r="J7" s="13"/>
      <c r="K7" s="13"/>
      <c r="L7" s="16">
        <v>43243</v>
      </c>
      <c r="M7" s="13">
        <v>2246</v>
      </c>
      <c r="N7" s="13"/>
      <c r="O7" s="13"/>
      <c r="P7" s="16">
        <v>43245</v>
      </c>
      <c r="Q7" s="13">
        <v>2957</v>
      </c>
      <c r="R7" s="13"/>
      <c r="S7" s="13"/>
      <c r="T7" s="16">
        <v>43247</v>
      </c>
      <c r="U7" s="13">
        <v>8768</v>
      </c>
      <c r="V7" s="13"/>
      <c r="W7" s="13"/>
      <c r="X7" s="16">
        <v>43249</v>
      </c>
      <c r="Y7" s="13">
        <v>13587</v>
      </c>
      <c r="Z7" s="13"/>
      <c r="AA7" s="13"/>
      <c r="AB7" s="16">
        <v>43251</v>
      </c>
      <c r="AC7" s="13">
        <v>30542</v>
      </c>
      <c r="AD7" s="13"/>
      <c r="AE7" s="13"/>
      <c r="AF7" s="16">
        <v>43253</v>
      </c>
      <c r="AG7" s="13">
        <f>4096*20</f>
        <v>81920</v>
      </c>
      <c r="AH7" s="13"/>
      <c r="AI7" s="13"/>
      <c r="AJ7" s="16">
        <v>43255</v>
      </c>
      <c r="AK7" s="13">
        <f>10309*20</f>
        <v>206180</v>
      </c>
      <c r="AL7" s="13"/>
      <c r="AM7" s="13"/>
      <c r="AN7" s="16">
        <v>43257</v>
      </c>
      <c r="AO7" s="13">
        <f>19440*20</f>
        <v>388800</v>
      </c>
      <c r="AP7" s="13"/>
      <c r="AQ7" s="13"/>
      <c r="AR7" s="16">
        <v>43259</v>
      </c>
      <c r="AS7" s="13">
        <f>31820*20</f>
        <v>636400</v>
      </c>
      <c r="AT7" s="13"/>
      <c r="AU7" s="13"/>
      <c r="AV7" s="16">
        <v>43261</v>
      </c>
      <c r="AW7" s="13">
        <f>56794*20</f>
        <v>1135880</v>
      </c>
      <c r="AX7" s="13"/>
      <c r="AY7" s="13"/>
      <c r="AZ7" s="16">
        <v>43263</v>
      </c>
      <c r="BA7" s="13">
        <f>66557*20</f>
        <v>1331140</v>
      </c>
      <c r="BB7" s="13"/>
      <c r="BC7" s="13"/>
      <c r="BD7" s="16">
        <v>43265</v>
      </c>
      <c r="BE7" s="13">
        <f>66487*20</f>
        <v>1329740</v>
      </c>
      <c r="BF7" s="13"/>
      <c r="BG7" s="13"/>
      <c r="BH7" s="16">
        <v>43267</v>
      </c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</row>
    <row r="8" spans="1:104" s="17" customFormat="1" x14ac:dyDescent="0.2">
      <c r="A8" s="12" t="s">
        <v>79</v>
      </c>
      <c r="B8" s="13" t="s">
        <v>76</v>
      </c>
      <c r="C8" s="13">
        <v>50</v>
      </c>
      <c r="D8" s="13">
        <v>26</v>
      </c>
      <c r="E8" s="14">
        <f>([1]innoculation!$D$5*2)/1000</f>
        <v>1392.8666666666666</v>
      </c>
      <c r="F8" s="13"/>
      <c r="G8" s="13"/>
      <c r="H8" s="16">
        <v>43241</v>
      </c>
      <c r="I8" s="13">
        <v>1712</v>
      </c>
      <c r="J8" s="13"/>
      <c r="K8" s="13"/>
      <c r="L8" s="16">
        <v>43243</v>
      </c>
      <c r="M8" s="13">
        <v>2561</v>
      </c>
      <c r="N8" s="13"/>
      <c r="O8" s="13"/>
      <c r="P8" s="16">
        <v>43245</v>
      </c>
      <c r="Q8" s="13">
        <v>3574</v>
      </c>
      <c r="R8" s="13"/>
      <c r="S8" s="13"/>
      <c r="T8" s="16">
        <v>43247</v>
      </c>
      <c r="U8" s="13">
        <v>7953</v>
      </c>
      <c r="V8" s="13"/>
      <c r="W8" s="13"/>
      <c r="X8" s="16">
        <v>43249</v>
      </c>
      <c r="Y8" s="13">
        <v>18202</v>
      </c>
      <c r="Z8" s="13"/>
      <c r="AA8" s="13"/>
      <c r="AB8" s="16">
        <v>43251</v>
      </c>
      <c r="AC8" s="13">
        <v>38940</v>
      </c>
      <c r="AD8" s="13"/>
      <c r="AE8" s="13"/>
      <c r="AF8" s="16">
        <v>43253</v>
      </c>
      <c r="AG8" s="13">
        <f>5252*20</f>
        <v>105040</v>
      </c>
      <c r="AH8" s="13"/>
      <c r="AI8" s="13"/>
      <c r="AJ8" s="16">
        <v>43255</v>
      </c>
      <c r="AK8" s="13">
        <f>12545*20</f>
        <v>250900</v>
      </c>
      <c r="AL8" s="13"/>
      <c r="AM8" s="13"/>
      <c r="AN8" s="16">
        <v>43257</v>
      </c>
      <c r="AO8" s="13">
        <f>25421*20</f>
        <v>508420</v>
      </c>
      <c r="AP8" s="13"/>
      <c r="AQ8" s="13"/>
      <c r="AR8" s="16">
        <v>43259</v>
      </c>
      <c r="AS8" s="13">
        <f>37641*20</f>
        <v>752820</v>
      </c>
      <c r="AT8" s="13"/>
      <c r="AU8" s="13"/>
      <c r="AV8" s="16">
        <v>43261</v>
      </c>
      <c r="AW8" s="13">
        <f>62875*20</f>
        <v>1257500</v>
      </c>
      <c r="AX8" s="13"/>
      <c r="AY8" s="13"/>
      <c r="AZ8" s="16">
        <v>43263</v>
      </c>
      <c r="BA8" s="13">
        <f>70661*20</f>
        <v>1413220</v>
      </c>
      <c r="BB8" s="13"/>
      <c r="BC8" s="13"/>
      <c r="BD8" s="16">
        <v>43265</v>
      </c>
      <c r="BE8" s="13">
        <f>68640*20</f>
        <v>1372800</v>
      </c>
      <c r="BF8" s="13"/>
      <c r="BG8" s="13"/>
      <c r="BH8" s="16">
        <v>43267</v>
      </c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</row>
    <row r="9" spans="1:104" s="17" customFormat="1" x14ac:dyDescent="0.2">
      <c r="A9" s="12" t="s">
        <v>79</v>
      </c>
      <c r="B9" s="13" t="s">
        <v>76</v>
      </c>
      <c r="C9" s="13">
        <v>50</v>
      </c>
      <c r="D9" s="13">
        <v>26</v>
      </c>
      <c r="E9" s="14">
        <f>([1]innoculation!$D$5*2)/1000</f>
        <v>1392.8666666666666</v>
      </c>
      <c r="F9" s="13"/>
      <c r="G9" s="13"/>
      <c r="H9" s="16">
        <v>43241</v>
      </c>
      <c r="I9" s="13">
        <v>1600</v>
      </c>
      <c r="J9" s="13"/>
      <c r="K9" s="13"/>
      <c r="L9" s="16">
        <v>43243</v>
      </c>
      <c r="M9" s="13">
        <v>2473</v>
      </c>
      <c r="N9" s="13"/>
      <c r="O9" s="13"/>
      <c r="P9" s="16">
        <v>43245</v>
      </c>
      <c r="Q9" s="13">
        <v>3482</v>
      </c>
      <c r="R9" s="13"/>
      <c r="S9" s="13"/>
      <c r="T9" s="16">
        <v>43247</v>
      </c>
      <c r="U9" s="13">
        <v>7770</v>
      </c>
      <c r="V9" s="13"/>
      <c r="W9" s="13"/>
      <c r="X9" s="16">
        <v>43249</v>
      </c>
      <c r="Y9" s="13">
        <v>17760</v>
      </c>
      <c r="Z9" s="13"/>
      <c r="AA9" s="13"/>
      <c r="AB9" s="16">
        <v>43251</v>
      </c>
      <c r="AC9" s="13">
        <v>37606</v>
      </c>
      <c r="AD9" s="13"/>
      <c r="AE9" s="13"/>
      <c r="AF9" s="16">
        <v>43253</v>
      </c>
      <c r="AG9" s="13">
        <f>5059*20</f>
        <v>101180</v>
      </c>
      <c r="AH9" s="13"/>
      <c r="AI9" s="13"/>
      <c r="AJ9" s="16">
        <v>43255</v>
      </c>
      <c r="AK9" s="13">
        <f>12279*20</f>
        <v>245580</v>
      </c>
      <c r="AL9" s="13"/>
      <c r="AM9" s="13"/>
      <c r="AN9" s="16">
        <v>43257</v>
      </c>
      <c r="AO9" s="13">
        <f>25166*20</f>
        <v>503320</v>
      </c>
      <c r="AP9" s="13"/>
      <c r="AQ9" s="13"/>
      <c r="AR9" s="16">
        <v>43259</v>
      </c>
      <c r="AS9" s="13">
        <f>37781*20</f>
        <v>755620</v>
      </c>
      <c r="AT9" s="13"/>
      <c r="AU9" s="13"/>
      <c r="AV9" s="16">
        <v>43261</v>
      </c>
      <c r="AW9" s="13">
        <f>61831*20</f>
        <v>1236620</v>
      </c>
      <c r="AX9" s="13"/>
      <c r="AY9" s="13"/>
      <c r="AZ9" s="16">
        <v>43263</v>
      </c>
      <c r="BA9" s="13">
        <f>70148*20</f>
        <v>1402960</v>
      </c>
      <c r="BB9" s="13"/>
      <c r="BC9" s="13"/>
      <c r="BD9" s="16">
        <v>43265</v>
      </c>
      <c r="BE9" s="13">
        <f>69063*20</f>
        <v>1381260</v>
      </c>
      <c r="BF9" s="13"/>
      <c r="BG9" s="13"/>
      <c r="BH9" s="16">
        <v>43267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</row>
    <row r="10" spans="1:104" s="17" customFormat="1" x14ac:dyDescent="0.2">
      <c r="A10" s="12" t="s">
        <v>79</v>
      </c>
      <c r="B10" s="13" t="s">
        <v>76</v>
      </c>
      <c r="C10" s="13">
        <v>50</v>
      </c>
      <c r="D10" s="13">
        <v>26</v>
      </c>
      <c r="E10" s="14">
        <f>([1]innoculation!$D$5*2)/1000</f>
        <v>1392.8666666666666</v>
      </c>
      <c r="F10" s="13"/>
      <c r="G10" s="13"/>
      <c r="H10" s="16">
        <v>43241</v>
      </c>
      <c r="I10" s="13">
        <v>1685</v>
      </c>
      <c r="J10" s="13"/>
      <c r="K10" s="13"/>
      <c r="L10" s="16">
        <v>43243</v>
      </c>
      <c r="M10" s="13">
        <v>2496</v>
      </c>
      <c r="N10" s="13"/>
      <c r="O10" s="13"/>
      <c r="P10" s="16">
        <v>43245</v>
      </c>
      <c r="Q10" s="13">
        <v>3505</v>
      </c>
      <c r="R10" s="13"/>
      <c r="S10" s="13"/>
      <c r="T10" s="16">
        <v>43247</v>
      </c>
      <c r="U10" s="13">
        <v>7560</v>
      </c>
      <c r="V10" s="13"/>
      <c r="W10" s="13"/>
      <c r="X10" s="16">
        <v>43249</v>
      </c>
      <c r="Y10" s="13">
        <v>17788</v>
      </c>
      <c r="Z10" s="13"/>
      <c r="AA10" s="13"/>
      <c r="AB10" s="16">
        <v>43251</v>
      </c>
      <c r="AC10" s="13">
        <v>38458</v>
      </c>
      <c r="AD10" s="13"/>
      <c r="AE10" s="13"/>
      <c r="AF10" s="16">
        <v>43253</v>
      </c>
      <c r="AG10" s="13">
        <f>5138*20</f>
        <v>102760</v>
      </c>
      <c r="AH10" s="13"/>
      <c r="AI10" s="13"/>
      <c r="AJ10" s="16">
        <v>43255</v>
      </c>
      <c r="AK10" s="13">
        <f>22602*20</f>
        <v>452040</v>
      </c>
      <c r="AL10" s="13"/>
      <c r="AM10" s="13"/>
      <c r="AN10" s="16">
        <v>43257</v>
      </c>
      <c r="AO10" s="13">
        <f>25275*20</f>
        <v>505500</v>
      </c>
      <c r="AP10" s="13"/>
      <c r="AQ10" s="13"/>
      <c r="AR10" s="16">
        <v>43259</v>
      </c>
      <c r="AS10" s="13">
        <f>37119*20</f>
        <v>742380</v>
      </c>
      <c r="AT10" s="13"/>
      <c r="AU10" s="13"/>
      <c r="AV10" s="16">
        <v>43261</v>
      </c>
      <c r="AW10" s="13">
        <f>62039*20</f>
        <v>1240780</v>
      </c>
      <c r="AX10" s="13"/>
      <c r="AY10" s="13"/>
      <c r="AZ10" s="16">
        <v>43263</v>
      </c>
      <c r="BA10" s="13">
        <f>70576*20</f>
        <v>1411520</v>
      </c>
      <c r="BB10" s="13"/>
      <c r="BC10" s="13"/>
      <c r="BD10" s="16">
        <v>43265</v>
      </c>
      <c r="BE10" s="13">
        <f>68777*20</f>
        <v>1375540</v>
      </c>
      <c r="BF10" s="13"/>
      <c r="BG10" s="13"/>
      <c r="BH10" s="16">
        <v>43267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</row>
    <row r="11" spans="1:104" s="17" customFormat="1" x14ac:dyDescent="0.2">
      <c r="A11" s="12" t="s">
        <v>81</v>
      </c>
      <c r="B11" s="13" t="s">
        <v>76</v>
      </c>
      <c r="C11" s="13">
        <v>100</v>
      </c>
      <c r="D11" s="13">
        <v>26</v>
      </c>
      <c r="E11" s="14">
        <f>([1]innoculation!$D$7*2)/1000</f>
        <v>1267.6266666666668</v>
      </c>
      <c r="F11" s="15">
        <f>AVERAGE(E11:E19)</f>
        <v>1267.6266666666668</v>
      </c>
      <c r="G11" s="13">
        <f>STDEV(E11:E19)</f>
        <v>0</v>
      </c>
      <c r="H11" s="16">
        <v>43243</v>
      </c>
      <c r="I11" s="13">
        <v>1433</v>
      </c>
      <c r="J11" s="13">
        <f>AVERAGE(I11:I19)</f>
        <v>1498.3333333333333</v>
      </c>
      <c r="K11" s="13">
        <f>STDEV(I11:I19)</f>
        <v>114.97934597135261</v>
      </c>
      <c r="L11" s="16">
        <v>43245</v>
      </c>
      <c r="M11" s="13">
        <v>1730</v>
      </c>
      <c r="N11" s="13">
        <f>AVERAGE(M11:M19)</f>
        <v>1702.2222222222222</v>
      </c>
      <c r="O11" s="13">
        <f>STDEV(M11:M19)</f>
        <v>58.184572220172285</v>
      </c>
      <c r="P11" s="16">
        <v>43247</v>
      </c>
      <c r="Q11" s="13">
        <v>3589</v>
      </c>
      <c r="R11" s="13">
        <f>AVERAGE(Q11:Q19)</f>
        <v>3152.6666666666665</v>
      </c>
      <c r="S11" s="13">
        <f>STDEV(Q11:Q19)</f>
        <v>252.21369907282988</v>
      </c>
      <c r="T11" s="16">
        <v>43249</v>
      </c>
      <c r="U11" s="13">
        <v>6913</v>
      </c>
      <c r="V11" s="13">
        <f>AVERAGE(U11:U19)</f>
        <v>6506.8888888888887</v>
      </c>
      <c r="W11" s="13">
        <f>STDEV(U11:U19)</f>
        <v>262.5244962115176</v>
      </c>
      <c r="X11" s="16">
        <v>43251</v>
      </c>
      <c r="Y11" s="13">
        <v>16001</v>
      </c>
      <c r="Z11" s="13">
        <f>AVERAGE(Y11:Y19)</f>
        <v>14799.666666666666</v>
      </c>
      <c r="AA11" s="13">
        <f>STDEV(Y11:Y19)</f>
        <v>743.73785704373017</v>
      </c>
      <c r="AB11" s="16">
        <v>43253</v>
      </c>
      <c r="AC11" s="13">
        <v>41685</v>
      </c>
      <c r="AD11" s="13">
        <f>AVERAGE(AC11:AC19)</f>
        <v>38103.555555555555</v>
      </c>
      <c r="AE11" s="13">
        <f>STDEV(AC11:AC19)</f>
        <v>2036.1436044095167</v>
      </c>
      <c r="AF11" s="16">
        <v>43255</v>
      </c>
      <c r="AG11" s="13">
        <f>5319*20</f>
        <v>106380</v>
      </c>
      <c r="AH11" s="13">
        <f>AVERAGE(AG11:AG19)</f>
        <v>102711.11111111111</v>
      </c>
      <c r="AI11" s="13">
        <f>STDEV(AG11:AG19)</f>
        <v>3554.8573967335333</v>
      </c>
      <c r="AJ11" s="16">
        <v>43257</v>
      </c>
      <c r="AK11" s="13">
        <f>12652*20</f>
        <v>253040</v>
      </c>
      <c r="AL11" s="13">
        <f>AVERAGE(AK11:AK19)</f>
        <v>232224.44444444444</v>
      </c>
      <c r="AM11" s="13">
        <f>STDEV(AK11:AK19)</f>
        <v>13826.274906053972</v>
      </c>
      <c r="AN11" s="16">
        <v>43259</v>
      </c>
      <c r="AO11" s="13">
        <f>21701*20</f>
        <v>434020</v>
      </c>
      <c r="AP11" s="13">
        <f>AVERAGE(AO11:AO19)</f>
        <v>415162.22222222225</v>
      </c>
      <c r="AQ11" s="13">
        <f>STDEV(AO11:AO19)</f>
        <v>13851.257865062091</v>
      </c>
      <c r="AR11" s="16">
        <v>43261</v>
      </c>
      <c r="AS11" s="13">
        <f>40467*20</f>
        <v>809340</v>
      </c>
      <c r="AT11" s="13">
        <f>AVERAGE(AS11:AS19)</f>
        <v>764471.11111111112</v>
      </c>
      <c r="AU11" s="13">
        <f>STDEV(AS11:AS19)</f>
        <v>26873.05734580848</v>
      </c>
      <c r="AV11" s="16">
        <v>43263</v>
      </c>
      <c r="AW11" s="13">
        <f>55797*20</f>
        <v>1115940</v>
      </c>
      <c r="AX11" s="13">
        <f>AVERAGE(AW11:AW19)</f>
        <v>1101095.5555555555</v>
      </c>
      <c r="AY11" s="13">
        <f>STDEV(AW11:AW19)</f>
        <v>24949.925406256782</v>
      </c>
      <c r="AZ11" s="16">
        <v>43265</v>
      </c>
      <c r="BA11" s="13">
        <f>64900*20</f>
        <v>1298000</v>
      </c>
      <c r="BB11" s="13">
        <f>AVERAGE(BA11:BA19)</f>
        <v>1352220</v>
      </c>
      <c r="BC11" s="13">
        <f>STDEV(BA11:BA19)</f>
        <v>76866.436108356167</v>
      </c>
      <c r="BD11" s="16">
        <v>43267</v>
      </c>
      <c r="BE11" s="13">
        <f>61894*20</f>
        <v>1237880</v>
      </c>
      <c r="BF11" s="13">
        <f>AVERAGE(BE11:BE19)</f>
        <v>1231506.6666666667</v>
      </c>
      <c r="BG11" s="13">
        <f>STDEV(BE11:BE19)</f>
        <v>9993.3778073282101</v>
      </c>
      <c r="BH11" s="16">
        <v>43269</v>
      </c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</row>
    <row r="12" spans="1:104" s="17" customFormat="1" x14ac:dyDescent="0.2">
      <c r="A12" s="12" t="s">
        <v>81</v>
      </c>
      <c r="B12" s="13" t="s">
        <v>76</v>
      </c>
      <c r="C12" s="13">
        <v>100</v>
      </c>
      <c r="D12" s="13">
        <v>26</v>
      </c>
      <c r="E12" s="14">
        <f>([1]innoculation!$D$7*2)/1000</f>
        <v>1267.6266666666668</v>
      </c>
      <c r="F12" s="13"/>
      <c r="G12" s="13"/>
      <c r="H12" s="16">
        <v>43243</v>
      </c>
      <c r="I12" s="13">
        <v>1317</v>
      </c>
      <c r="J12" s="13"/>
      <c r="K12" s="13"/>
      <c r="L12" s="16">
        <v>43245</v>
      </c>
      <c r="M12" s="13">
        <v>1802</v>
      </c>
      <c r="N12" s="13"/>
      <c r="O12" s="13"/>
      <c r="P12" s="16">
        <v>43247</v>
      </c>
      <c r="Q12" s="13">
        <v>3317</v>
      </c>
      <c r="R12" s="13"/>
      <c r="S12" s="13"/>
      <c r="T12" s="16">
        <v>43249</v>
      </c>
      <c r="U12" s="13">
        <v>6414</v>
      </c>
      <c r="V12" s="13"/>
      <c r="W12" s="13"/>
      <c r="X12" s="16">
        <v>43251</v>
      </c>
      <c r="Y12" s="13">
        <v>15193</v>
      </c>
      <c r="Z12" s="13"/>
      <c r="AA12" s="13"/>
      <c r="AB12" s="16">
        <v>43253</v>
      </c>
      <c r="AC12" s="13">
        <v>40133</v>
      </c>
      <c r="AD12" s="13"/>
      <c r="AE12" s="13"/>
      <c r="AF12" s="16">
        <v>43255</v>
      </c>
      <c r="AG12" s="13">
        <f>5070*20</f>
        <v>101400</v>
      </c>
      <c r="AH12" s="13"/>
      <c r="AI12" s="13"/>
      <c r="AJ12" s="16">
        <v>43257</v>
      </c>
      <c r="AK12" s="13">
        <f>12418*20</f>
        <v>248360</v>
      </c>
      <c r="AL12" s="13"/>
      <c r="AM12" s="13"/>
      <c r="AN12" s="16">
        <v>43259</v>
      </c>
      <c r="AO12" s="13">
        <f>21639*20</f>
        <v>432780</v>
      </c>
      <c r="AP12" s="13"/>
      <c r="AQ12" s="13"/>
      <c r="AR12" s="16">
        <v>43261</v>
      </c>
      <c r="AS12" s="13">
        <f>39227*20</f>
        <v>784540</v>
      </c>
      <c r="AT12" s="13"/>
      <c r="AU12" s="13"/>
      <c r="AV12" s="16">
        <v>43263</v>
      </c>
      <c r="AW12" s="13">
        <f>55164*20</f>
        <v>1103280</v>
      </c>
      <c r="AX12" s="13"/>
      <c r="AY12" s="13"/>
      <c r="AZ12" s="16">
        <v>43265</v>
      </c>
      <c r="BA12" s="13">
        <f>64378*20</f>
        <v>1287560</v>
      </c>
      <c r="BB12" s="13"/>
      <c r="BC12" s="13"/>
      <c r="BD12" s="16">
        <v>43267</v>
      </c>
      <c r="BE12" s="13">
        <f>61665*20</f>
        <v>1233300</v>
      </c>
      <c r="BF12" s="13"/>
      <c r="BG12" s="13"/>
      <c r="BH12" s="16">
        <v>43269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</row>
    <row r="13" spans="1:104" s="17" customFormat="1" x14ac:dyDescent="0.2">
      <c r="A13" s="12" t="s">
        <v>81</v>
      </c>
      <c r="B13" s="13" t="s">
        <v>76</v>
      </c>
      <c r="C13" s="13">
        <v>100</v>
      </c>
      <c r="D13" s="13">
        <v>26</v>
      </c>
      <c r="E13" s="14">
        <f>([1]innoculation!$D$7*2)/1000</f>
        <v>1267.6266666666668</v>
      </c>
      <c r="F13" s="13"/>
      <c r="G13" s="13"/>
      <c r="H13" s="16">
        <v>43243</v>
      </c>
      <c r="I13" s="13">
        <v>1330</v>
      </c>
      <c r="J13" s="13"/>
      <c r="K13" s="13"/>
      <c r="L13" s="16">
        <v>43245</v>
      </c>
      <c r="M13" s="13">
        <v>1638</v>
      </c>
      <c r="N13" s="13"/>
      <c r="O13" s="13"/>
      <c r="P13" s="16">
        <v>43247</v>
      </c>
      <c r="Q13" s="13">
        <v>3445</v>
      </c>
      <c r="R13" s="13"/>
      <c r="S13" s="13"/>
      <c r="T13" s="16">
        <v>43249</v>
      </c>
      <c r="U13" s="13">
        <v>6468</v>
      </c>
      <c r="V13" s="13"/>
      <c r="W13" s="13"/>
      <c r="X13" s="16">
        <v>43251</v>
      </c>
      <c r="Y13" s="13">
        <v>15180</v>
      </c>
      <c r="Z13" s="13"/>
      <c r="AA13" s="13"/>
      <c r="AB13" s="16">
        <v>43253</v>
      </c>
      <c r="AC13" s="13">
        <v>38984</v>
      </c>
      <c r="AD13" s="13"/>
      <c r="AE13" s="13"/>
      <c r="AF13" s="16">
        <v>43255</v>
      </c>
      <c r="AG13" s="13">
        <f>5023*20</f>
        <v>100460</v>
      </c>
      <c r="AH13" s="13"/>
      <c r="AI13" s="13"/>
      <c r="AJ13" s="16">
        <v>43257</v>
      </c>
      <c r="AK13" s="13">
        <f>12163*20</f>
        <v>243260</v>
      </c>
      <c r="AL13" s="13"/>
      <c r="AM13" s="13"/>
      <c r="AN13" s="16">
        <v>43259</v>
      </c>
      <c r="AO13" s="13">
        <f>21039*20</f>
        <v>420780</v>
      </c>
      <c r="AP13" s="13"/>
      <c r="AQ13" s="13"/>
      <c r="AR13" s="16">
        <v>43261</v>
      </c>
      <c r="AS13" s="13">
        <f>39325*20</f>
        <v>786500</v>
      </c>
      <c r="AT13" s="13"/>
      <c r="AU13" s="13"/>
      <c r="AV13" s="16">
        <v>43263</v>
      </c>
      <c r="AW13" s="13">
        <f>55145*20</f>
        <v>1102900</v>
      </c>
      <c r="AX13" s="13"/>
      <c r="AY13" s="13"/>
      <c r="AZ13" s="16">
        <v>43265</v>
      </c>
      <c r="BA13" s="13">
        <f>64522*20</f>
        <v>1290440</v>
      </c>
      <c r="BB13" s="13"/>
      <c r="BC13" s="13"/>
      <c r="BD13" s="16">
        <v>43267</v>
      </c>
      <c r="BE13" s="13">
        <f>61879*20</f>
        <v>1237580</v>
      </c>
      <c r="BF13" s="13"/>
      <c r="BG13" s="13"/>
      <c r="BH13" s="16">
        <v>43269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</row>
    <row r="14" spans="1:104" s="17" customFormat="1" x14ac:dyDescent="0.2">
      <c r="A14" s="12" t="s">
        <v>82</v>
      </c>
      <c r="B14" s="13" t="s">
        <v>76</v>
      </c>
      <c r="C14" s="13">
        <v>100</v>
      </c>
      <c r="D14" s="13">
        <v>26</v>
      </c>
      <c r="E14" s="14">
        <f>([1]innoculation!$D$7*2)/1000</f>
        <v>1267.6266666666668</v>
      </c>
      <c r="F14" s="13"/>
      <c r="G14" s="13"/>
      <c r="H14" s="16">
        <v>43243</v>
      </c>
      <c r="I14" s="13">
        <v>1625</v>
      </c>
      <c r="J14" s="13"/>
      <c r="K14" s="13"/>
      <c r="L14" s="16">
        <v>43245</v>
      </c>
      <c r="M14" s="13">
        <v>1698</v>
      </c>
      <c r="N14" s="13"/>
      <c r="O14" s="13"/>
      <c r="P14" s="16">
        <v>43247</v>
      </c>
      <c r="Q14" s="13">
        <v>3185</v>
      </c>
      <c r="R14" s="13"/>
      <c r="S14" s="13"/>
      <c r="T14" s="16">
        <v>43249</v>
      </c>
      <c r="U14" s="13">
        <v>6297</v>
      </c>
      <c r="V14" s="13"/>
      <c r="W14" s="13"/>
      <c r="X14" s="16">
        <v>43251</v>
      </c>
      <c r="Y14" s="13">
        <v>14743</v>
      </c>
      <c r="Z14" s="13"/>
      <c r="AA14" s="13"/>
      <c r="AB14" s="16">
        <v>43253</v>
      </c>
      <c r="AC14" s="13">
        <v>37192</v>
      </c>
      <c r="AD14" s="13"/>
      <c r="AE14" s="13"/>
      <c r="AF14" s="16">
        <v>43255</v>
      </c>
      <c r="AG14" s="13">
        <f>5043*20</f>
        <v>100860</v>
      </c>
      <c r="AH14" s="13"/>
      <c r="AI14" s="13"/>
      <c r="AJ14" s="16">
        <v>43257</v>
      </c>
      <c r="AK14" s="13">
        <f>11005*20</f>
        <v>220100</v>
      </c>
      <c r="AL14" s="13"/>
      <c r="AM14" s="13"/>
      <c r="AN14" s="16">
        <v>43259</v>
      </c>
      <c r="AO14" s="13">
        <f>20007*20</f>
        <v>400140</v>
      </c>
      <c r="AP14" s="13"/>
      <c r="AQ14" s="13"/>
      <c r="AR14" s="16">
        <v>43261</v>
      </c>
      <c r="AS14" s="13">
        <f>38651*20</f>
        <v>773020</v>
      </c>
      <c r="AT14" s="13"/>
      <c r="AU14" s="13"/>
      <c r="AV14" s="16">
        <v>43263</v>
      </c>
      <c r="AW14" s="13">
        <f>56931*20</f>
        <v>1138620</v>
      </c>
      <c r="AX14" s="13"/>
      <c r="AY14" s="13"/>
      <c r="AZ14" s="16">
        <v>43265</v>
      </c>
      <c r="BA14" s="13">
        <f>72871*20</f>
        <v>1457420</v>
      </c>
      <c r="BB14" s="13"/>
      <c r="BC14" s="13"/>
      <c r="BD14" s="16">
        <v>43267</v>
      </c>
      <c r="BE14" s="13">
        <f>61667*20</f>
        <v>1233340</v>
      </c>
      <c r="BF14" s="13"/>
      <c r="BG14" s="13"/>
      <c r="BH14" s="16">
        <v>43269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</row>
    <row r="15" spans="1:104" s="17" customFormat="1" x14ac:dyDescent="0.2">
      <c r="A15" s="12" t="s">
        <v>82</v>
      </c>
      <c r="B15" s="13" t="s">
        <v>76</v>
      </c>
      <c r="C15" s="13">
        <v>100</v>
      </c>
      <c r="D15" s="13">
        <v>26</v>
      </c>
      <c r="E15" s="14">
        <f>([1]innoculation!$D$7*2)/1000</f>
        <v>1267.6266666666668</v>
      </c>
      <c r="F15" s="13"/>
      <c r="G15" s="13"/>
      <c r="H15" s="16">
        <v>43243</v>
      </c>
      <c r="I15" s="13">
        <v>1607</v>
      </c>
      <c r="J15" s="13"/>
      <c r="K15" s="13"/>
      <c r="L15" s="16">
        <v>43245</v>
      </c>
      <c r="M15" s="13">
        <v>1623</v>
      </c>
      <c r="N15" s="13"/>
      <c r="O15" s="13"/>
      <c r="P15" s="16">
        <v>43247</v>
      </c>
      <c r="Q15" s="13">
        <v>3065</v>
      </c>
      <c r="R15" s="13"/>
      <c r="S15" s="13"/>
      <c r="T15" s="16">
        <v>43249</v>
      </c>
      <c r="U15" s="13">
        <v>6156</v>
      </c>
      <c r="V15" s="13"/>
      <c r="W15" s="13"/>
      <c r="X15" s="16">
        <v>43251</v>
      </c>
      <c r="Y15" s="13">
        <v>13829</v>
      </c>
      <c r="Z15" s="13"/>
      <c r="AA15" s="13"/>
      <c r="AB15" s="16">
        <v>43253</v>
      </c>
      <c r="AC15" s="13">
        <v>35918</v>
      </c>
      <c r="AD15" s="13"/>
      <c r="AE15" s="13"/>
      <c r="AF15" s="16">
        <v>43255</v>
      </c>
      <c r="AG15" s="13">
        <f>5047*20</f>
        <v>100940</v>
      </c>
      <c r="AH15" s="13"/>
      <c r="AI15" s="13"/>
      <c r="AJ15" s="16">
        <v>43257</v>
      </c>
      <c r="AK15" s="13">
        <f>10868*20</f>
        <v>217360</v>
      </c>
      <c r="AL15" s="13"/>
      <c r="AM15" s="13"/>
      <c r="AN15" s="16">
        <v>43259</v>
      </c>
      <c r="AO15" s="13">
        <f>20092*20</f>
        <v>401840</v>
      </c>
      <c r="AP15" s="13"/>
      <c r="AQ15" s="13"/>
      <c r="AR15" s="16">
        <v>43261</v>
      </c>
      <c r="AS15" s="13">
        <f>37699*20</f>
        <v>753980</v>
      </c>
      <c r="AT15" s="13"/>
      <c r="AU15" s="13"/>
      <c r="AV15" s="16">
        <v>43263</v>
      </c>
      <c r="AW15" s="13">
        <f>56311*20</f>
        <v>1126220</v>
      </c>
      <c r="AX15" s="13"/>
      <c r="AY15" s="13"/>
      <c r="AZ15" s="16">
        <v>43265</v>
      </c>
      <c r="BA15" s="13">
        <f>72585*20</f>
        <v>1451700</v>
      </c>
      <c r="BB15" s="13"/>
      <c r="BC15" s="13"/>
      <c r="BD15" s="16">
        <v>43267</v>
      </c>
      <c r="BE15" s="13">
        <f>62318*20</f>
        <v>1246360</v>
      </c>
      <c r="BF15" s="13"/>
      <c r="BG15" s="13"/>
      <c r="BH15" s="16">
        <v>43269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</row>
    <row r="16" spans="1:104" s="17" customFormat="1" x14ac:dyDescent="0.2">
      <c r="A16" s="12" t="s">
        <v>82</v>
      </c>
      <c r="B16" s="13" t="s">
        <v>76</v>
      </c>
      <c r="C16" s="13">
        <v>100</v>
      </c>
      <c r="D16" s="13">
        <v>26</v>
      </c>
      <c r="E16" s="14">
        <f>([1]innoculation!$D$7*2)/1000</f>
        <v>1267.6266666666668</v>
      </c>
      <c r="F16" s="13"/>
      <c r="G16" s="13"/>
      <c r="H16" s="16">
        <v>43243</v>
      </c>
      <c r="I16" s="13">
        <v>1513</v>
      </c>
      <c r="J16" s="13"/>
      <c r="K16" s="13"/>
      <c r="L16" s="16">
        <v>43245</v>
      </c>
      <c r="M16" s="13">
        <v>1719</v>
      </c>
      <c r="N16" s="13"/>
      <c r="O16" s="13"/>
      <c r="P16" s="16">
        <v>43247</v>
      </c>
      <c r="Q16" s="13">
        <v>2972</v>
      </c>
      <c r="R16" s="13"/>
      <c r="S16" s="13"/>
      <c r="T16" s="16">
        <v>43249</v>
      </c>
      <c r="U16" s="13">
        <v>6211</v>
      </c>
      <c r="V16" s="13"/>
      <c r="W16" s="13"/>
      <c r="X16" s="16">
        <v>43251</v>
      </c>
      <c r="Y16" s="13">
        <v>13616</v>
      </c>
      <c r="Z16" s="13"/>
      <c r="AA16" s="13"/>
      <c r="AB16" s="16">
        <v>43253</v>
      </c>
      <c r="AC16" s="13">
        <v>35300</v>
      </c>
      <c r="AD16" s="13"/>
      <c r="AE16" s="13"/>
      <c r="AF16" s="16">
        <v>43255</v>
      </c>
      <c r="AG16" s="13">
        <f>4878*20</f>
        <v>97560</v>
      </c>
      <c r="AH16" s="13"/>
      <c r="AI16" s="13"/>
      <c r="AJ16" s="16">
        <v>43257</v>
      </c>
      <c r="AK16" s="13">
        <f>10829*20</f>
        <v>216580</v>
      </c>
      <c r="AL16" s="13"/>
      <c r="AM16" s="13"/>
      <c r="AN16" s="16">
        <v>43259</v>
      </c>
      <c r="AO16" s="13">
        <f>19907*20</f>
        <v>398140</v>
      </c>
      <c r="AP16" s="13"/>
      <c r="AQ16" s="13"/>
      <c r="AR16" s="16">
        <v>43261</v>
      </c>
      <c r="AS16" s="13">
        <f>37848*20</f>
        <v>756960</v>
      </c>
      <c r="AT16" s="13"/>
      <c r="AU16" s="13"/>
      <c r="AV16" s="16">
        <v>43263</v>
      </c>
      <c r="AW16" s="13">
        <f>55424*20</f>
        <v>1108480</v>
      </c>
      <c r="AX16" s="13"/>
      <c r="AY16" s="13"/>
      <c r="AZ16" s="16">
        <v>43265</v>
      </c>
      <c r="BA16" s="13">
        <f>72589*20</f>
        <v>1451780</v>
      </c>
      <c r="BB16" s="13"/>
      <c r="BC16" s="13"/>
      <c r="BD16" s="16">
        <v>43267</v>
      </c>
      <c r="BE16" s="13">
        <f>61768*20</f>
        <v>1235360</v>
      </c>
      <c r="BF16" s="13"/>
      <c r="BG16" s="13"/>
      <c r="BH16" s="16">
        <v>43269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</row>
    <row r="17" spans="1:104" s="17" customFormat="1" x14ac:dyDescent="0.2">
      <c r="A17" s="12" t="s">
        <v>83</v>
      </c>
      <c r="B17" s="13" t="s">
        <v>76</v>
      </c>
      <c r="C17" s="13">
        <v>100</v>
      </c>
      <c r="D17" s="13">
        <v>26</v>
      </c>
      <c r="E17" s="14">
        <f>([1]innoculation!$D$7*2)/1000</f>
        <v>1267.6266666666668</v>
      </c>
      <c r="F17" s="13"/>
      <c r="G17" s="13"/>
      <c r="H17" s="16">
        <v>43243</v>
      </c>
      <c r="I17" s="13">
        <v>1599</v>
      </c>
      <c r="J17" s="13"/>
      <c r="K17" s="13"/>
      <c r="L17" s="16">
        <v>43245</v>
      </c>
      <c r="M17" s="13">
        <v>1763</v>
      </c>
      <c r="N17" s="13"/>
      <c r="O17" s="13"/>
      <c r="P17" s="16">
        <v>43247</v>
      </c>
      <c r="Q17" s="13">
        <v>3046</v>
      </c>
      <c r="R17" s="13"/>
      <c r="S17" s="13"/>
      <c r="T17" s="16">
        <v>43249</v>
      </c>
      <c r="U17" s="13">
        <v>6732</v>
      </c>
      <c r="V17" s="13"/>
      <c r="W17" s="13"/>
      <c r="X17" s="16">
        <v>43251</v>
      </c>
      <c r="Y17" s="13">
        <v>15332</v>
      </c>
      <c r="Z17" s="13"/>
      <c r="AA17" s="13"/>
      <c r="AB17" s="16">
        <v>43253</v>
      </c>
      <c r="AC17" s="13">
        <v>39021</v>
      </c>
      <c r="AD17" s="13"/>
      <c r="AE17" s="13"/>
      <c r="AF17" s="16">
        <v>43255</v>
      </c>
      <c r="AG17" s="13">
        <f>5449*20</f>
        <v>108980</v>
      </c>
      <c r="AH17" s="13"/>
      <c r="AI17" s="13"/>
      <c r="AJ17" s="16">
        <v>43257</v>
      </c>
      <c r="AK17" s="13">
        <f>11816*20</f>
        <v>236320</v>
      </c>
      <c r="AL17" s="13"/>
      <c r="AM17" s="13"/>
      <c r="AN17" s="16">
        <v>43259</v>
      </c>
      <c r="AO17" s="13">
        <f>21214*20</f>
        <v>424280</v>
      </c>
      <c r="AP17" s="13"/>
      <c r="AQ17" s="13"/>
      <c r="AR17" s="16">
        <v>43261</v>
      </c>
      <c r="AS17" s="13">
        <f>37438*20</f>
        <v>748760</v>
      </c>
      <c r="AT17" s="13"/>
      <c r="AU17" s="13"/>
      <c r="AV17" s="16">
        <v>43263</v>
      </c>
      <c r="AW17" s="13">
        <f>53490*20</f>
        <v>1069800</v>
      </c>
      <c r="AX17" s="13"/>
      <c r="AY17" s="13"/>
      <c r="AZ17" s="16">
        <v>43265</v>
      </c>
      <c r="BA17" s="13">
        <f>66327*20</f>
        <v>1326540</v>
      </c>
      <c r="BB17" s="13"/>
      <c r="BC17" s="13"/>
      <c r="BD17" s="16">
        <v>43267</v>
      </c>
      <c r="BE17" s="13">
        <f>61216*20</f>
        <v>1224320</v>
      </c>
      <c r="BF17" s="13"/>
      <c r="BG17" s="13"/>
      <c r="BH17" s="16">
        <v>43269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</row>
    <row r="18" spans="1:104" s="17" customFormat="1" x14ac:dyDescent="0.2">
      <c r="A18" s="12" t="s">
        <v>83</v>
      </c>
      <c r="B18" s="13" t="s">
        <v>76</v>
      </c>
      <c r="C18" s="13">
        <v>100</v>
      </c>
      <c r="D18" s="13">
        <v>26</v>
      </c>
      <c r="E18" s="14">
        <f>([1]innoculation!$D$7*2)/1000</f>
        <v>1267.6266666666668</v>
      </c>
      <c r="F18" s="13"/>
      <c r="G18" s="13"/>
      <c r="H18" s="16">
        <v>43243</v>
      </c>
      <c r="I18" s="13">
        <v>1529</v>
      </c>
      <c r="J18" s="13"/>
      <c r="K18" s="13"/>
      <c r="L18" s="16">
        <v>43245</v>
      </c>
      <c r="M18" s="13">
        <v>1661</v>
      </c>
      <c r="N18" s="13"/>
      <c r="O18" s="13"/>
      <c r="P18" s="16">
        <v>43247</v>
      </c>
      <c r="Q18" s="13">
        <v>2908</v>
      </c>
      <c r="R18" s="13"/>
      <c r="S18" s="13"/>
      <c r="T18" s="16">
        <v>43249</v>
      </c>
      <c r="U18" s="13">
        <v>6745</v>
      </c>
      <c r="V18" s="13"/>
      <c r="W18" s="13"/>
      <c r="X18" s="16">
        <v>43251</v>
      </c>
      <c r="Y18" s="13">
        <v>14718</v>
      </c>
      <c r="Z18" s="13"/>
      <c r="AA18" s="13"/>
      <c r="AB18" s="16">
        <v>43253</v>
      </c>
      <c r="AC18" s="13">
        <v>37355</v>
      </c>
      <c r="AD18" s="13"/>
      <c r="AE18" s="13"/>
      <c r="AF18" s="16">
        <v>43255</v>
      </c>
      <c r="AG18" s="13">
        <f>5279*20</f>
        <v>105580</v>
      </c>
      <c r="AH18" s="13"/>
      <c r="AI18" s="13"/>
      <c r="AJ18" s="16">
        <v>43257</v>
      </c>
      <c r="AK18" s="13">
        <f>11598*20</f>
        <v>231960</v>
      </c>
      <c r="AL18" s="13"/>
      <c r="AM18" s="13"/>
      <c r="AN18" s="16">
        <v>43259</v>
      </c>
      <c r="AO18" s="13">
        <f>20847*20</f>
        <v>416940</v>
      </c>
      <c r="AP18" s="13"/>
      <c r="AQ18" s="13"/>
      <c r="AR18" s="16">
        <v>43261</v>
      </c>
      <c r="AS18" s="13">
        <f>37453*20</f>
        <v>749060</v>
      </c>
      <c r="AT18" s="13"/>
      <c r="AU18" s="13"/>
      <c r="AV18" s="16">
        <v>43263</v>
      </c>
      <c r="AW18" s="13">
        <f>53778*20</f>
        <v>1075560</v>
      </c>
      <c r="AX18" s="13"/>
      <c r="AY18" s="13"/>
      <c r="AZ18" s="16">
        <v>43265</v>
      </c>
      <c r="BA18" s="13">
        <f>65103*20</f>
        <v>1302060</v>
      </c>
      <c r="BB18" s="13"/>
      <c r="BC18" s="13"/>
      <c r="BD18" s="16">
        <v>43267</v>
      </c>
      <c r="BE18" s="13">
        <f>61128*20</f>
        <v>1222560</v>
      </c>
      <c r="BF18" s="13"/>
      <c r="BG18" s="13"/>
      <c r="BH18" s="16">
        <v>43269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</row>
    <row r="19" spans="1:104" s="17" customFormat="1" x14ac:dyDescent="0.2">
      <c r="A19" s="12" t="s">
        <v>83</v>
      </c>
      <c r="B19" s="13" t="s">
        <v>76</v>
      </c>
      <c r="C19" s="13">
        <v>100</v>
      </c>
      <c r="D19" s="13">
        <v>26</v>
      </c>
      <c r="E19" s="14">
        <f>([1]innoculation!$D$7*2)/1000</f>
        <v>1267.6266666666668</v>
      </c>
      <c r="F19" s="13"/>
      <c r="G19" s="13"/>
      <c r="H19" s="16">
        <v>43243</v>
      </c>
      <c r="I19" s="13">
        <v>1532</v>
      </c>
      <c r="J19" s="13"/>
      <c r="K19" s="13"/>
      <c r="L19" s="16">
        <v>43245</v>
      </c>
      <c r="M19" s="13">
        <v>1686</v>
      </c>
      <c r="N19" s="13"/>
      <c r="O19" s="13"/>
      <c r="P19" s="16">
        <v>43247</v>
      </c>
      <c r="Q19" s="13">
        <v>2847</v>
      </c>
      <c r="R19" s="13"/>
      <c r="S19" s="13"/>
      <c r="T19" s="16">
        <v>43249</v>
      </c>
      <c r="U19" s="13">
        <v>6626</v>
      </c>
      <c r="V19" s="13"/>
      <c r="W19" s="13"/>
      <c r="X19" s="16">
        <v>43251</v>
      </c>
      <c r="Y19" s="13">
        <v>14585</v>
      </c>
      <c r="Z19" s="13"/>
      <c r="AA19" s="13"/>
      <c r="AB19" s="16">
        <v>43253</v>
      </c>
      <c r="AC19" s="13">
        <v>37344</v>
      </c>
      <c r="AD19" s="13"/>
      <c r="AE19" s="13"/>
      <c r="AF19" s="16">
        <v>43255</v>
      </c>
      <c r="AG19" s="13">
        <f>5112*20</f>
        <v>102240</v>
      </c>
      <c r="AH19" s="13"/>
      <c r="AI19" s="13"/>
      <c r="AJ19" s="16">
        <v>43257</v>
      </c>
      <c r="AK19" s="13">
        <f>11152*20</f>
        <v>223040</v>
      </c>
      <c r="AL19" s="13"/>
      <c r="AM19" s="13"/>
      <c r="AN19" s="16">
        <v>43259</v>
      </c>
      <c r="AO19" s="13">
        <f>20377*20</f>
        <v>407540</v>
      </c>
      <c r="AP19" s="13"/>
      <c r="AQ19" s="13"/>
      <c r="AR19" s="16">
        <v>43261</v>
      </c>
      <c r="AS19" s="13">
        <f>35904*20</f>
        <v>718080</v>
      </c>
      <c r="AT19" s="13"/>
      <c r="AU19" s="13"/>
      <c r="AV19" s="16">
        <v>43263</v>
      </c>
      <c r="AW19" s="13">
        <f>53453*20</f>
        <v>1069060</v>
      </c>
      <c r="AX19" s="13"/>
      <c r="AY19" s="13"/>
      <c r="AZ19" s="16">
        <v>43265</v>
      </c>
      <c r="BA19" s="13">
        <f>65224*20</f>
        <v>1304480</v>
      </c>
      <c r="BB19" s="13"/>
      <c r="BC19" s="13"/>
      <c r="BD19" s="16">
        <v>43267</v>
      </c>
      <c r="BE19" s="13">
        <f>60643*20</f>
        <v>1212860</v>
      </c>
      <c r="BF19" s="13"/>
      <c r="BG19" s="13"/>
      <c r="BH19" s="16">
        <v>43269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s="10" customFormat="1" x14ac:dyDescent="0.2">
      <c r="A20" s="5" t="s">
        <v>84</v>
      </c>
      <c r="B20" s="6" t="s">
        <v>80</v>
      </c>
      <c r="C20" s="6">
        <v>100</v>
      </c>
      <c r="D20" s="6">
        <v>26</v>
      </c>
      <c r="E20" s="7">
        <f>([1]innoculation!$D$8*2.5)/1000</f>
        <v>1396.4333333333334</v>
      </c>
      <c r="F20" s="18">
        <f>AVERAGE(E20:E28)</f>
        <v>1396.4333333333334</v>
      </c>
      <c r="G20" s="6">
        <f>STDEV(E20:E28)</f>
        <v>0</v>
      </c>
      <c r="H20" s="8">
        <v>43243</v>
      </c>
      <c r="I20" s="6">
        <v>1544</v>
      </c>
      <c r="J20" s="6">
        <f>AVERAGE(I20:I28)</f>
        <v>1526.6666666666667</v>
      </c>
      <c r="K20" s="6">
        <f>STDEV(I20:I28)</f>
        <v>241.45237625668545</v>
      </c>
      <c r="L20" s="8">
        <v>43245</v>
      </c>
      <c r="M20" s="6">
        <v>1685</v>
      </c>
      <c r="N20" s="6">
        <f>AVERAGE(M20:M28)</f>
        <v>1572.6666666666667</v>
      </c>
      <c r="O20" s="6">
        <f>STDEV(M20:M28)</f>
        <v>174.2053386093549</v>
      </c>
      <c r="P20" s="8">
        <v>43247</v>
      </c>
      <c r="Q20" s="6">
        <v>3262</v>
      </c>
      <c r="R20" s="6">
        <f>AVERAGE(Q20:Q28)</f>
        <v>2952</v>
      </c>
      <c r="S20" s="6">
        <f>STDEV(Q20:Q28)</f>
        <v>262.0548606685249</v>
      </c>
      <c r="T20" s="8">
        <v>43249</v>
      </c>
      <c r="U20" s="6">
        <v>7108</v>
      </c>
      <c r="V20" s="6">
        <f>AVERAGE(U20:U28)</f>
        <v>6752.333333333333</v>
      </c>
      <c r="W20" s="6">
        <f>STDEV(U20:U28)</f>
        <v>282.75784692913476</v>
      </c>
      <c r="X20" s="8">
        <v>43251</v>
      </c>
      <c r="Y20" s="6">
        <v>19285</v>
      </c>
      <c r="Z20" s="6">
        <f>AVERAGE(Y20:Y28)</f>
        <v>17580.333333333332</v>
      </c>
      <c r="AA20" s="6">
        <f>STDEV(Y20:Y28)</f>
        <v>1451.3029490771387</v>
      </c>
      <c r="AB20" s="8">
        <v>43253</v>
      </c>
      <c r="AC20" s="6">
        <v>56553</v>
      </c>
      <c r="AD20" s="6">
        <f>AVERAGE(AC20:AC28)</f>
        <v>54392.444444444445</v>
      </c>
      <c r="AE20" s="6">
        <f>STDEV(AC20:AC28)</f>
        <v>3667.8296754044859</v>
      </c>
      <c r="AF20" s="8">
        <v>43255</v>
      </c>
      <c r="AG20" s="6">
        <f>8379*20</f>
        <v>167580</v>
      </c>
      <c r="AH20" s="6">
        <f>AVERAGE(AG20:AG28)</f>
        <v>171993.33333333334</v>
      </c>
      <c r="AI20" s="6">
        <f>STDEV(AG20:AG28)</f>
        <v>26389.350124624139</v>
      </c>
      <c r="AJ20" s="8">
        <v>43257</v>
      </c>
      <c r="AK20" s="6">
        <f>18971*20</f>
        <v>379420</v>
      </c>
      <c r="AL20" s="6">
        <f>AVERAGE(AK20:AK28)</f>
        <v>385144.44444444444</v>
      </c>
      <c r="AM20" s="6">
        <f>STDEV(AK20:AK28)</f>
        <v>43087.545506535542</v>
      </c>
      <c r="AN20" s="8">
        <v>43259</v>
      </c>
      <c r="AO20" s="6">
        <f>25379*20</f>
        <v>507580</v>
      </c>
      <c r="AP20" s="6">
        <f>AVERAGE(AO20:AO28)</f>
        <v>486617.77777777775</v>
      </c>
      <c r="AQ20" s="6">
        <f>STDEV(AO20:AO28)</f>
        <v>49587.718685622596</v>
      </c>
      <c r="AR20" s="8">
        <v>43261</v>
      </c>
      <c r="AS20" s="6">
        <f>42132*20</f>
        <v>842640</v>
      </c>
      <c r="AT20" s="6">
        <f>AVERAGE(AS20:AS28)</f>
        <v>798715.5555555555</v>
      </c>
      <c r="AU20" s="6">
        <f>STDEV(AS20:AS28)</f>
        <v>54304.532755358254</v>
      </c>
      <c r="AV20" s="8">
        <v>43263</v>
      </c>
      <c r="AW20" s="6">
        <f>55953*20</f>
        <v>1119060</v>
      </c>
      <c r="AX20" s="6">
        <f>AVERAGE(AW20:AW28)</f>
        <v>1087953.3333333333</v>
      </c>
      <c r="AY20" s="6">
        <f>STDEV(AW20:AW28)</f>
        <v>81372.581991724946</v>
      </c>
      <c r="AZ20" s="8">
        <v>43265</v>
      </c>
      <c r="BA20" s="6">
        <f>59114*20</f>
        <v>1182280</v>
      </c>
      <c r="BB20" s="6">
        <f>AVERAGE(BA20:BA28)</f>
        <v>1175817.7777777778</v>
      </c>
      <c r="BC20" s="6">
        <f>STDEV(BA20:BA28)</f>
        <v>30582.938780379569</v>
      </c>
      <c r="BD20" s="8">
        <v>43267</v>
      </c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</row>
    <row r="21" spans="1:104" s="10" customFormat="1" x14ac:dyDescent="0.2">
      <c r="A21" s="5" t="s">
        <v>84</v>
      </c>
      <c r="B21" s="6" t="s">
        <v>80</v>
      </c>
      <c r="C21" s="6">
        <v>100</v>
      </c>
      <c r="D21" s="6">
        <v>26</v>
      </c>
      <c r="E21" s="7">
        <f>([1]innoculation!$D$8*2.5)/1000</f>
        <v>1396.4333333333334</v>
      </c>
      <c r="F21" s="6"/>
      <c r="G21" s="6"/>
      <c r="H21" s="8">
        <v>43243</v>
      </c>
      <c r="I21" s="6">
        <v>1499</v>
      </c>
      <c r="J21" s="6"/>
      <c r="K21" s="6"/>
      <c r="L21" s="8">
        <v>43245</v>
      </c>
      <c r="M21" s="6">
        <v>1723</v>
      </c>
      <c r="N21" s="6"/>
      <c r="O21" s="6"/>
      <c r="P21" s="8">
        <v>43247</v>
      </c>
      <c r="Q21" s="6">
        <v>3232</v>
      </c>
      <c r="R21" s="6"/>
      <c r="S21" s="6"/>
      <c r="T21" s="8">
        <v>43249</v>
      </c>
      <c r="U21" s="6">
        <v>6959</v>
      </c>
      <c r="V21" s="6"/>
      <c r="W21" s="6"/>
      <c r="X21" s="8">
        <v>43251</v>
      </c>
      <c r="Y21" s="6">
        <v>19077</v>
      </c>
      <c r="Z21" s="6"/>
      <c r="AA21" s="6"/>
      <c r="AB21" s="8">
        <v>43253</v>
      </c>
      <c r="AC21" s="6">
        <v>57368</v>
      </c>
      <c r="AD21" s="6"/>
      <c r="AE21" s="6"/>
      <c r="AF21" s="8">
        <v>43255</v>
      </c>
      <c r="AG21" s="6">
        <f>8393*20</f>
        <v>167860</v>
      </c>
      <c r="AH21" s="6"/>
      <c r="AI21" s="6"/>
      <c r="AJ21" s="8">
        <v>43257</v>
      </c>
      <c r="AK21" s="6">
        <f>18821*20</f>
        <v>376420</v>
      </c>
      <c r="AL21" s="6"/>
      <c r="AM21" s="6"/>
      <c r="AN21" s="8">
        <v>43259</v>
      </c>
      <c r="AO21" s="6">
        <f>23328*20</f>
        <v>466560</v>
      </c>
      <c r="AP21" s="6"/>
      <c r="AQ21" s="6"/>
      <c r="AR21" s="8">
        <v>43261</v>
      </c>
      <c r="AS21" s="6">
        <f>41141*20</f>
        <v>822820</v>
      </c>
      <c r="AT21" s="6"/>
      <c r="AU21" s="6"/>
      <c r="AV21" s="8">
        <v>43263</v>
      </c>
      <c r="AW21" s="6">
        <f>59391*20</f>
        <v>1187820</v>
      </c>
      <c r="AX21" s="6"/>
      <c r="AY21" s="6"/>
      <c r="AZ21" s="8">
        <v>43265</v>
      </c>
      <c r="BA21" s="6">
        <f>59273*20</f>
        <v>1185460</v>
      </c>
      <c r="BB21" s="6"/>
      <c r="BC21" s="6"/>
      <c r="BD21" s="8">
        <v>43267</v>
      </c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</row>
    <row r="22" spans="1:104" s="10" customFormat="1" x14ac:dyDescent="0.2">
      <c r="A22" s="5" t="s">
        <v>84</v>
      </c>
      <c r="B22" s="6" t="s">
        <v>80</v>
      </c>
      <c r="C22" s="6">
        <v>100</v>
      </c>
      <c r="D22" s="6">
        <v>26</v>
      </c>
      <c r="E22" s="7">
        <f>([1]innoculation!$D$8*2.5)/1000</f>
        <v>1396.4333333333334</v>
      </c>
      <c r="F22" s="6"/>
      <c r="G22" s="6"/>
      <c r="H22" s="8">
        <v>43243</v>
      </c>
      <c r="I22" s="6">
        <v>1509</v>
      </c>
      <c r="J22" s="6"/>
      <c r="K22" s="6"/>
      <c r="L22" s="8">
        <v>43245</v>
      </c>
      <c r="M22" s="6">
        <v>1696</v>
      </c>
      <c r="N22" s="6"/>
      <c r="O22" s="6"/>
      <c r="P22" s="8">
        <v>43247</v>
      </c>
      <c r="Q22" s="6">
        <v>3337</v>
      </c>
      <c r="R22" s="6"/>
      <c r="S22" s="6"/>
      <c r="T22" s="8">
        <v>43249</v>
      </c>
      <c r="U22" s="6">
        <v>7108</v>
      </c>
      <c r="V22" s="6"/>
      <c r="W22" s="6"/>
      <c r="X22" s="8">
        <v>43251</v>
      </c>
      <c r="Y22" s="6">
        <v>19215</v>
      </c>
      <c r="Z22" s="6"/>
      <c r="AA22" s="6"/>
      <c r="AB22" s="8">
        <v>43253</v>
      </c>
      <c r="AC22" s="6">
        <v>59112</v>
      </c>
      <c r="AD22" s="6"/>
      <c r="AE22" s="6"/>
      <c r="AF22" s="8">
        <v>43255</v>
      </c>
      <c r="AG22" s="6">
        <f>8815*20</f>
        <v>176300</v>
      </c>
      <c r="AH22" s="6"/>
      <c r="AI22" s="6"/>
      <c r="AJ22" s="8">
        <v>43257</v>
      </c>
      <c r="AK22" s="6">
        <f>19178*20</f>
        <v>383560</v>
      </c>
      <c r="AL22" s="6"/>
      <c r="AM22" s="6"/>
      <c r="AN22" s="8">
        <v>43259</v>
      </c>
      <c r="AO22" s="6">
        <f>24470*20</f>
        <v>489400</v>
      </c>
      <c r="AP22" s="6"/>
      <c r="AQ22" s="6"/>
      <c r="AR22" s="8">
        <v>43261</v>
      </c>
      <c r="AS22" s="6">
        <f>41629*20</f>
        <v>832580</v>
      </c>
      <c r="AT22" s="6"/>
      <c r="AU22" s="6"/>
      <c r="AV22" s="8">
        <v>43263</v>
      </c>
      <c r="AW22" s="6">
        <f>61124*20</f>
        <v>1222480</v>
      </c>
      <c r="AX22" s="6"/>
      <c r="AY22" s="6"/>
      <c r="AZ22" s="8">
        <v>43265</v>
      </c>
      <c r="BA22" s="6">
        <f>59186*20</f>
        <v>1183720</v>
      </c>
      <c r="BB22" s="6"/>
      <c r="BC22" s="6"/>
      <c r="BD22" s="8">
        <v>43267</v>
      </c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</row>
    <row r="23" spans="1:104" s="10" customFormat="1" x14ac:dyDescent="0.2">
      <c r="A23" s="5" t="s">
        <v>85</v>
      </c>
      <c r="B23" s="6" t="s">
        <v>80</v>
      </c>
      <c r="C23" s="6">
        <v>100</v>
      </c>
      <c r="D23" s="6">
        <v>26</v>
      </c>
      <c r="E23" s="7">
        <f>([1]innoculation!$D$8*2.5)/1000</f>
        <v>1396.4333333333334</v>
      </c>
      <c r="F23" s="6"/>
      <c r="G23" s="6"/>
      <c r="H23" s="8">
        <v>43243</v>
      </c>
      <c r="I23" s="6">
        <v>1845</v>
      </c>
      <c r="J23" s="6"/>
      <c r="K23" s="6"/>
      <c r="L23" s="8">
        <v>43245</v>
      </c>
      <c r="M23" s="6">
        <v>1687</v>
      </c>
      <c r="N23" s="6"/>
      <c r="O23" s="6"/>
      <c r="P23" s="8">
        <v>43247</v>
      </c>
      <c r="Q23" s="6">
        <v>2902</v>
      </c>
      <c r="R23" s="6"/>
      <c r="S23" s="6"/>
      <c r="T23" s="8">
        <v>43249</v>
      </c>
      <c r="U23" s="6">
        <v>6945</v>
      </c>
      <c r="V23" s="6"/>
      <c r="W23" s="6"/>
      <c r="X23" s="8">
        <v>43251</v>
      </c>
      <c r="Y23" s="6">
        <v>18031</v>
      </c>
      <c r="Z23" s="6"/>
      <c r="AA23" s="6"/>
      <c r="AB23" s="8">
        <v>43253</v>
      </c>
      <c r="AC23" s="6">
        <v>47642</v>
      </c>
      <c r="AD23" s="6"/>
      <c r="AE23" s="6"/>
      <c r="AF23" s="8">
        <v>43255</v>
      </c>
      <c r="AG23" s="6">
        <f>7279*20</f>
        <v>145580</v>
      </c>
      <c r="AH23" s="6"/>
      <c r="AI23" s="6"/>
      <c r="AJ23" s="8">
        <v>43257</v>
      </c>
      <c r="AK23" s="6">
        <f>16818*20</f>
        <v>336360</v>
      </c>
      <c r="AL23" s="6"/>
      <c r="AM23" s="6"/>
      <c r="AN23" s="8">
        <v>43259</v>
      </c>
      <c r="AO23" s="6">
        <f>21332*20</f>
        <v>426640</v>
      </c>
      <c r="AP23" s="6"/>
      <c r="AQ23" s="6"/>
      <c r="AR23" s="8">
        <v>43261</v>
      </c>
      <c r="AS23" s="6">
        <f>36102*20</f>
        <v>722040</v>
      </c>
      <c r="AT23" s="6"/>
      <c r="AU23" s="6"/>
      <c r="AV23" s="8">
        <v>43263</v>
      </c>
      <c r="AW23" s="6">
        <f>50553*20</f>
        <v>1011060</v>
      </c>
      <c r="AX23" s="6"/>
      <c r="AY23" s="6"/>
      <c r="AZ23" s="8">
        <v>43265</v>
      </c>
      <c r="BA23" s="6">
        <f>56841*20</f>
        <v>1136820</v>
      </c>
      <c r="BB23" s="6"/>
      <c r="BC23" s="6"/>
      <c r="BD23" s="8">
        <v>43267</v>
      </c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</row>
    <row r="24" spans="1:104" s="10" customFormat="1" x14ac:dyDescent="0.2">
      <c r="A24" s="5" t="s">
        <v>85</v>
      </c>
      <c r="B24" s="6" t="s">
        <v>80</v>
      </c>
      <c r="C24" s="6">
        <v>100</v>
      </c>
      <c r="D24" s="6">
        <v>26</v>
      </c>
      <c r="E24" s="7">
        <f>([1]innoculation!$D$8*2.5)/1000</f>
        <v>1396.4333333333334</v>
      </c>
      <c r="F24" s="6"/>
      <c r="G24" s="6"/>
      <c r="H24" s="8">
        <v>43243</v>
      </c>
      <c r="I24" s="6">
        <v>1790</v>
      </c>
      <c r="J24" s="6"/>
      <c r="K24" s="6"/>
      <c r="L24" s="8">
        <v>43245</v>
      </c>
      <c r="M24" s="6">
        <v>1629</v>
      </c>
      <c r="N24" s="6"/>
      <c r="O24" s="6"/>
      <c r="P24" s="8">
        <v>43247</v>
      </c>
      <c r="Q24" s="6">
        <v>2930</v>
      </c>
      <c r="R24" s="6"/>
      <c r="S24" s="6"/>
      <c r="T24" s="8">
        <v>43249</v>
      </c>
      <c r="U24" s="6">
        <v>6603</v>
      </c>
      <c r="V24" s="6"/>
      <c r="W24" s="6"/>
      <c r="X24" s="8">
        <v>43251</v>
      </c>
      <c r="Y24" s="6">
        <v>17449</v>
      </c>
      <c r="Z24" s="6"/>
      <c r="AA24" s="6"/>
      <c r="AB24" s="8">
        <v>43253</v>
      </c>
      <c r="AC24" s="6">
        <v>52180</v>
      </c>
      <c r="AD24" s="6"/>
      <c r="AE24" s="6"/>
      <c r="AF24" s="8">
        <v>43255</v>
      </c>
      <c r="AG24" s="6">
        <f>7119*20</f>
        <v>142380</v>
      </c>
      <c r="AH24" s="6"/>
      <c r="AI24" s="6"/>
      <c r="AJ24" s="8">
        <v>43257</v>
      </c>
      <c r="AK24" s="6">
        <f>16831*20</f>
        <v>336620</v>
      </c>
      <c r="AL24" s="6"/>
      <c r="AM24" s="6"/>
      <c r="AN24" s="8">
        <v>43259</v>
      </c>
      <c r="AO24" s="6">
        <f>21726*20</f>
        <v>434520</v>
      </c>
      <c r="AP24" s="6"/>
      <c r="AQ24" s="6"/>
      <c r="AR24" s="8">
        <v>43261</v>
      </c>
      <c r="AS24" s="6">
        <f>36381*20</f>
        <v>727620</v>
      </c>
      <c r="AT24" s="6"/>
      <c r="AU24" s="6"/>
      <c r="AV24" s="8">
        <v>43263</v>
      </c>
      <c r="AW24" s="6">
        <f>49656*20</f>
        <v>993120</v>
      </c>
      <c r="AX24" s="6"/>
      <c r="AY24" s="6"/>
      <c r="AZ24" s="8">
        <v>43265</v>
      </c>
      <c r="BA24" s="6">
        <f>56957*20</f>
        <v>1139140</v>
      </c>
      <c r="BB24" s="6"/>
      <c r="BC24" s="6"/>
      <c r="BD24" s="8">
        <v>43267</v>
      </c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</row>
    <row r="25" spans="1:104" s="10" customFormat="1" x14ac:dyDescent="0.2">
      <c r="A25" s="5" t="s">
        <v>85</v>
      </c>
      <c r="B25" s="6" t="s">
        <v>80</v>
      </c>
      <c r="C25" s="6">
        <v>100</v>
      </c>
      <c r="D25" s="6">
        <v>26</v>
      </c>
      <c r="E25" s="7">
        <f>([1]innoculation!$D$8*2.5)/1000</f>
        <v>1396.4333333333334</v>
      </c>
      <c r="F25" s="6"/>
      <c r="G25" s="6"/>
      <c r="H25" s="8">
        <v>43243</v>
      </c>
      <c r="I25" s="6">
        <v>1788</v>
      </c>
      <c r="J25" s="6"/>
      <c r="K25" s="6"/>
      <c r="L25" s="8">
        <v>43245</v>
      </c>
      <c r="M25" s="6">
        <v>1695</v>
      </c>
      <c r="N25" s="6"/>
      <c r="O25" s="6"/>
      <c r="P25" s="8">
        <v>43247</v>
      </c>
      <c r="Q25" s="6">
        <v>2761</v>
      </c>
      <c r="R25" s="6"/>
      <c r="S25" s="6"/>
      <c r="T25" s="8">
        <v>43249</v>
      </c>
      <c r="U25" s="6">
        <v>6492</v>
      </c>
      <c r="V25" s="6"/>
      <c r="W25" s="6"/>
      <c r="X25" s="8">
        <v>43251</v>
      </c>
      <c r="Y25" s="6">
        <v>17547</v>
      </c>
      <c r="Z25" s="6"/>
      <c r="AA25" s="6"/>
      <c r="AB25" s="8">
        <v>43253</v>
      </c>
      <c r="AC25" s="6">
        <v>50946</v>
      </c>
      <c r="AD25" s="6"/>
      <c r="AE25" s="6"/>
      <c r="AF25" s="8">
        <v>43255</v>
      </c>
      <c r="AG25" s="6">
        <f>7002*20</f>
        <v>140040</v>
      </c>
      <c r="AH25" s="6"/>
      <c r="AI25" s="6"/>
      <c r="AJ25" s="8">
        <v>43257</v>
      </c>
      <c r="AK25" s="6">
        <f>17144*20</f>
        <v>342880</v>
      </c>
      <c r="AL25" s="6"/>
      <c r="AM25" s="6"/>
      <c r="AN25" s="8">
        <v>43259</v>
      </c>
      <c r="AO25" s="6">
        <f>21465*20</f>
        <v>429300</v>
      </c>
      <c r="AP25" s="6"/>
      <c r="AQ25" s="6"/>
      <c r="AR25" s="8">
        <v>43261</v>
      </c>
      <c r="AS25" s="6">
        <f>36683*20</f>
        <v>733660</v>
      </c>
      <c r="AT25" s="6"/>
      <c r="AU25" s="6"/>
      <c r="AV25" s="8">
        <v>43263</v>
      </c>
      <c r="AW25" s="6">
        <f>49678*20</f>
        <v>993560</v>
      </c>
      <c r="AX25" s="6"/>
      <c r="AY25" s="6"/>
      <c r="AZ25" s="8">
        <v>43265</v>
      </c>
      <c r="BA25" s="6">
        <f>56785*20</f>
        <v>1135700</v>
      </c>
      <c r="BB25" s="6"/>
      <c r="BC25" s="6"/>
      <c r="BD25" s="8">
        <v>43267</v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</row>
    <row r="26" spans="1:104" s="10" customFormat="1" x14ac:dyDescent="0.2">
      <c r="A26" s="5" t="s">
        <v>86</v>
      </c>
      <c r="B26" s="6" t="s">
        <v>80</v>
      </c>
      <c r="C26" s="6">
        <v>100</v>
      </c>
      <c r="D26" s="6">
        <v>26</v>
      </c>
      <c r="E26" s="7">
        <f>([1]innoculation!$D$8*2.5)/1000</f>
        <v>1396.4333333333334</v>
      </c>
      <c r="F26" s="6"/>
      <c r="G26" s="6"/>
      <c r="H26" s="8">
        <v>43243</v>
      </c>
      <c r="I26" s="6">
        <v>1305</v>
      </c>
      <c r="J26" s="6"/>
      <c r="K26" s="6"/>
      <c r="L26" s="8">
        <v>43245</v>
      </c>
      <c r="M26" s="6">
        <v>1409</v>
      </c>
      <c r="N26" s="6"/>
      <c r="O26" s="6"/>
      <c r="P26" s="8">
        <v>43247</v>
      </c>
      <c r="Q26" s="6">
        <v>2820</v>
      </c>
      <c r="R26" s="6"/>
      <c r="S26" s="6"/>
      <c r="T26" s="8">
        <v>43249</v>
      </c>
      <c r="U26" s="6">
        <v>6346</v>
      </c>
      <c r="V26" s="6"/>
      <c r="W26" s="6"/>
      <c r="X26" s="8">
        <v>43251</v>
      </c>
      <c r="Y26" s="6">
        <v>15664</v>
      </c>
      <c r="Z26" s="6"/>
      <c r="AA26" s="6"/>
      <c r="AB26" s="8">
        <v>43253</v>
      </c>
      <c r="AC26" s="6">
        <v>55090</v>
      </c>
      <c r="AD26" s="6"/>
      <c r="AE26" s="6"/>
      <c r="AF26" s="8">
        <v>43255</v>
      </c>
      <c r="AG26" s="6">
        <f>10064*20</f>
        <v>201280</v>
      </c>
      <c r="AH26" s="6"/>
      <c r="AI26" s="6"/>
      <c r="AJ26" s="8">
        <v>43257</v>
      </c>
      <c r="AK26" s="6">
        <f>22055*20</f>
        <v>441100</v>
      </c>
      <c r="AL26" s="6"/>
      <c r="AM26" s="6"/>
      <c r="AN26" s="8">
        <v>43259</v>
      </c>
      <c r="AO26" s="6">
        <f>27365*20</f>
        <v>547300</v>
      </c>
      <c r="AP26" s="6"/>
      <c r="AQ26" s="6"/>
      <c r="AR26" s="8">
        <v>43261</v>
      </c>
      <c r="AS26" s="6">
        <f>42757*20</f>
        <v>855140</v>
      </c>
      <c r="AT26" s="6"/>
      <c r="AU26" s="6"/>
      <c r="AV26" s="8">
        <v>43263</v>
      </c>
      <c r="AW26" s="6">
        <f>54000*20</f>
        <v>1080000</v>
      </c>
      <c r="AX26" s="6"/>
      <c r="AY26" s="6"/>
      <c r="AZ26" s="8">
        <v>43265</v>
      </c>
      <c r="BA26" s="6">
        <f>60371*20</f>
        <v>1207420</v>
      </c>
      <c r="BB26" s="6"/>
      <c r="BC26" s="6"/>
      <c r="BD26" s="8">
        <v>43267</v>
      </c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</row>
    <row r="27" spans="1:104" s="10" customFormat="1" x14ac:dyDescent="0.2">
      <c r="A27" s="5" t="s">
        <v>86</v>
      </c>
      <c r="B27" s="6" t="s">
        <v>80</v>
      </c>
      <c r="C27" s="6">
        <v>100</v>
      </c>
      <c r="D27" s="6">
        <v>26</v>
      </c>
      <c r="E27" s="7">
        <f>([1]innoculation!$D$8*2.5)/1000</f>
        <v>1396.4333333333334</v>
      </c>
      <c r="F27" s="6"/>
      <c r="G27" s="6"/>
      <c r="H27" s="8">
        <v>43243</v>
      </c>
      <c r="I27" s="6">
        <v>1251</v>
      </c>
      <c r="J27" s="6"/>
      <c r="K27" s="6"/>
      <c r="L27" s="8">
        <v>43245</v>
      </c>
      <c r="M27" s="6">
        <v>1343</v>
      </c>
      <c r="N27" s="6"/>
      <c r="O27" s="6"/>
      <c r="P27" s="8">
        <v>43247</v>
      </c>
      <c r="Q27" s="6">
        <v>2690</v>
      </c>
      <c r="R27" s="6"/>
      <c r="S27" s="6"/>
      <c r="T27" s="8">
        <v>43249</v>
      </c>
      <c r="U27" s="6">
        <v>6541</v>
      </c>
      <c r="V27" s="6"/>
      <c r="W27" s="6"/>
      <c r="X27" s="8">
        <v>43251</v>
      </c>
      <c r="Y27" s="6">
        <v>15966</v>
      </c>
      <c r="Z27" s="6"/>
      <c r="AA27" s="6"/>
      <c r="AB27" s="8">
        <v>43253</v>
      </c>
      <c r="AC27" s="6">
        <v>57228</v>
      </c>
      <c r="AD27" s="6"/>
      <c r="AE27" s="6"/>
      <c r="AF27" s="8">
        <v>43255</v>
      </c>
      <c r="AG27" s="6">
        <f>10494*20</f>
        <v>209880</v>
      </c>
      <c r="AH27" s="6"/>
      <c r="AI27" s="6"/>
      <c r="AJ27" s="8">
        <v>43257</v>
      </c>
      <c r="AK27" s="6">
        <f>21355*20</f>
        <v>427100</v>
      </c>
      <c r="AL27" s="6"/>
      <c r="AM27" s="6"/>
      <c r="AN27" s="8">
        <v>43259</v>
      </c>
      <c r="AO27" s="6">
        <f>27143*20</f>
        <v>542860</v>
      </c>
      <c r="AP27" s="6"/>
      <c r="AQ27" s="6"/>
      <c r="AR27" s="8">
        <v>43261</v>
      </c>
      <c r="AS27" s="6">
        <f>41651*20</f>
        <v>833020</v>
      </c>
      <c r="AT27" s="6"/>
      <c r="AU27" s="6"/>
      <c r="AV27" s="8">
        <v>43263</v>
      </c>
      <c r="AW27" s="6">
        <f>54464*20</f>
        <v>1089280</v>
      </c>
      <c r="AX27" s="6"/>
      <c r="AY27" s="6"/>
      <c r="AZ27" s="8">
        <v>43265</v>
      </c>
      <c r="BA27" s="6">
        <f>60288*20</f>
        <v>1205760</v>
      </c>
      <c r="BB27" s="6"/>
      <c r="BC27" s="6"/>
      <c r="BD27" s="8">
        <v>43267</v>
      </c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</row>
    <row r="28" spans="1:104" s="10" customFormat="1" x14ac:dyDescent="0.2">
      <c r="A28" s="5" t="s">
        <v>86</v>
      </c>
      <c r="B28" s="6" t="s">
        <v>80</v>
      </c>
      <c r="C28" s="6">
        <v>100</v>
      </c>
      <c r="D28" s="6">
        <v>26</v>
      </c>
      <c r="E28" s="7">
        <f>([1]innoculation!$D$8*2.5)/1000</f>
        <v>1396.4333333333334</v>
      </c>
      <c r="F28" s="6"/>
      <c r="G28" s="6"/>
      <c r="H28" s="8">
        <v>43243</v>
      </c>
      <c r="I28" s="6">
        <v>1209</v>
      </c>
      <c r="J28" s="6"/>
      <c r="K28" s="6"/>
      <c r="L28" s="8">
        <v>43245</v>
      </c>
      <c r="M28" s="6">
        <v>1287</v>
      </c>
      <c r="N28" s="6"/>
      <c r="O28" s="6"/>
      <c r="P28" s="8">
        <v>43247</v>
      </c>
      <c r="Q28" s="6">
        <v>2634</v>
      </c>
      <c r="R28" s="6"/>
      <c r="S28" s="6"/>
      <c r="T28" s="8">
        <v>43249</v>
      </c>
      <c r="U28" s="6">
        <v>6669</v>
      </c>
      <c r="V28" s="6"/>
      <c r="W28" s="6"/>
      <c r="X28" s="8">
        <v>43251</v>
      </c>
      <c r="Y28" s="6">
        <v>15989</v>
      </c>
      <c r="Z28" s="6"/>
      <c r="AA28" s="6"/>
      <c r="AB28" s="8">
        <v>43253</v>
      </c>
      <c r="AC28" s="6">
        <v>53413</v>
      </c>
      <c r="AD28" s="6"/>
      <c r="AE28" s="6"/>
      <c r="AF28" s="8">
        <v>43255</v>
      </c>
      <c r="AG28" s="6">
        <f>9852*20</f>
        <v>197040</v>
      </c>
      <c r="AH28" s="6"/>
      <c r="AI28" s="6"/>
      <c r="AJ28" s="8">
        <v>43257</v>
      </c>
      <c r="AK28" s="6">
        <f>22142*20</f>
        <v>442840</v>
      </c>
      <c r="AL28" s="6"/>
      <c r="AM28" s="6"/>
      <c r="AN28" s="8">
        <v>43259</v>
      </c>
      <c r="AO28" s="6">
        <f>26770*20</f>
        <v>535400</v>
      </c>
      <c r="AP28" s="6"/>
      <c r="AQ28" s="6"/>
      <c r="AR28" s="8">
        <v>43261</v>
      </c>
      <c r="AS28" s="6">
        <f>40946*20</f>
        <v>818920</v>
      </c>
      <c r="AT28" s="6"/>
      <c r="AU28" s="6"/>
      <c r="AV28" s="8">
        <v>43263</v>
      </c>
      <c r="AW28" s="6">
        <f>54760*20</f>
        <v>1095200</v>
      </c>
      <c r="AX28" s="6"/>
      <c r="AY28" s="6"/>
      <c r="AZ28" s="8">
        <v>43265</v>
      </c>
      <c r="BA28" s="6">
        <f>60303*20</f>
        <v>1206060</v>
      </c>
      <c r="BB28" s="6"/>
      <c r="BC28" s="6"/>
      <c r="BD28" s="8">
        <v>43267</v>
      </c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</row>
    <row r="29" spans="1:104" s="17" customFormat="1" x14ac:dyDescent="0.2">
      <c r="A29" s="12" t="s">
        <v>87</v>
      </c>
      <c r="B29" s="13" t="s">
        <v>80</v>
      </c>
      <c r="C29" s="13">
        <v>50</v>
      </c>
      <c r="D29" s="13">
        <v>26</v>
      </c>
      <c r="E29" s="14">
        <f>([1]innoculation!$D$9*5)/1000</f>
        <v>1245.9666666666665</v>
      </c>
      <c r="F29" s="15">
        <f>AVERAGE(E29:E37)</f>
        <v>1245.9666666666665</v>
      </c>
      <c r="G29" s="13">
        <f>STDEV(E29:E37)</f>
        <v>0</v>
      </c>
      <c r="H29" s="16">
        <v>43249</v>
      </c>
      <c r="I29" s="13">
        <v>2122</v>
      </c>
      <c r="J29" s="13">
        <f>AVERAGE(I29:I37)</f>
        <v>2104.4444444444443</v>
      </c>
      <c r="K29" s="13">
        <f>STDEV(I29:I37)</f>
        <v>95.903742251164402</v>
      </c>
      <c r="L29" s="16">
        <v>43251</v>
      </c>
      <c r="M29" s="13">
        <v>4670</v>
      </c>
      <c r="N29" s="13">
        <f>AVERAGE(M29:M37)</f>
        <v>4725.7777777777774</v>
      </c>
      <c r="O29" s="13">
        <f>STDEV(M29:M37)</f>
        <v>190.94356350619535</v>
      </c>
      <c r="P29" s="16">
        <v>43253</v>
      </c>
      <c r="Q29" s="13">
        <v>13193</v>
      </c>
      <c r="R29" s="13">
        <f>AVERAGE(Q29:Q37)</f>
        <v>13404.222222222223</v>
      </c>
      <c r="S29" s="13">
        <f>STDEV(Q29:Q37)</f>
        <v>1516.5167141988404</v>
      </c>
      <c r="T29" s="16">
        <v>43255</v>
      </c>
      <c r="U29" s="13">
        <v>35409</v>
      </c>
      <c r="V29" s="13">
        <f>AVERAGE(U29:U37)</f>
        <v>35651.777777777781</v>
      </c>
      <c r="W29" s="13">
        <f>STDEV(U29:U37)</f>
        <v>4871.594163561289</v>
      </c>
      <c r="X29" s="16">
        <v>43257</v>
      </c>
      <c r="Y29" s="13">
        <f>5354*20</f>
        <v>107080</v>
      </c>
      <c r="Z29" s="13">
        <f>AVERAGE(Y29:Y37)</f>
        <v>106331.11111111111</v>
      </c>
      <c r="AA29" s="13">
        <f>STDEV(Y29:Y37)</f>
        <v>6325.6628989467272</v>
      </c>
      <c r="AB29" s="16">
        <v>43259</v>
      </c>
      <c r="AC29" s="13">
        <f>8434*20</f>
        <v>168680</v>
      </c>
      <c r="AD29" s="13">
        <f>AVERAGE(AC29:AC37)</f>
        <v>174217.77777777778</v>
      </c>
      <c r="AE29" s="13">
        <f>STDEV(AC29:AC37)</f>
        <v>3174.7983313030204</v>
      </c>
      <c r="AF29" s="16">
        <v>43261</v>
      </c>
      <c r="AG29" s="13">
        <f>25040*20</f>
        <v>500800</v>
      </c>
      <c r="AH29" s="13">
        <f>AVERAGE(AG29:AG37)</f>
        <v>470886.66666666669</v>
      </c>
      <c r="AI29" s="13">
        <f>STDEV(AG29:AG37)</f>
        <v>29139.14720783709</v>
      </c>
      <c r="AJ29" s="16">
        <v>43263</v>
      </c>
      <c r="AK29" s="13">
        <f>32544*20</f>
        <v>650880</v>
      </c>
      <c r="AL29" s="13">
        <f>AVERAGE(AK29:AK37)</f>
        <v>625006.66666666663</v>
      </c>
      <c r="AM29" s="13">
        <f>STDEV(AK29:AK37)</f>
        <v>17172.067435227476</v>
      </c>
      <c r="AN29" s="16">
        <v>43265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</row>
    <row r="30" spans="1:104" s="17" customFormat="1" x14ac:dyDescent="0.2">
      <c r="A30" s="12" t="s">
        <v>87</v>
      </c>
      <c r="B30" s="13" t="s">
        <v>80</v>
      </c>
      <c r="C30" s="13">
        <v>50</v>
      </c>
      <c r="D30" s="13">
        <v>26</v>
      </c>
      <c r="E30" s="14">
        <f>([1]innoculation!$D$9*5)/1000</f>
        <v>1245.9666666666665</v>
      </c>
      <c r="F30" s="13"/>
      <c r="G30" s="13"/>
      <c r="H30" s="16">
        <v>43249</v>
      </c>
      <c r="I30" s="13">
        <v>1998</v>
      </c>
      <c r="J30" s="13"/>
      <c r="K30" s="13"/>
      <c r="L30" s="16">
        <v>43251</v>
      </c>
      <c r="M30" s="13">
        <v>4425</v>
      </c>
      <c r="N30" s="13"/>
      <c r="O30" s="13"/>
      <c r="P30" s="16">
        <v>43253</v>
      </c>
      <c r="Q30" s="13">
        <v>12537</v>
      </c>
      <c r="R30" s="13"/>
      <c r="S30" s="13"/>
      <c r="T30" s="16">
        <v>43255</v>
      </c>
      <c r="U30" s="13">
        <v>36260</v>
      </c>
      <c r="V30" s="13"/>
      <c r="W30" s="13"/>
      <c r="X30" s="16">
        <v>43257</v>
      </c>
      <c r="Y30" s="13">
        <f>5126*20</f>
        <v>102520</v>
      </c>
      <c r="Z30" s="13"/>
      <c r="AA30" s="13"/>
      <c r="AB30" s="16">
        <v>43259</v>
      </c>
      <c r="AC30" s="13">
        <f>8667*20</f>
        <v>173340</v>
      </c>
      <c r="AD30" s="13"/>
      <c r="AE30" s="13"/>
      <c r="AF30" s="16">
        <v>43261</v>
      </c>
      <c r="AG30" s="13">
        <f>25539*20</f>
        <v>510780</v>
      </c>
      <c r="AH30" s="13"/>
      <c r="AI30" s="13"/>
      <c r="AJ30" s="16">
        <v>43263</v>
      </c>
      <c r="AK30" s="13">
        <f>32161*20</f>
        <v>643220</v>
      </c>
      <c r="AL30" s="13"/>
      <c r="AM30" s="13"/>
      <c r="AN30" s="16">
        <v>43265</v>
      </c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</row>
    <row r="31" spans="1:104" s="17" customFormat="1" x14ac:dyDescent="0.2">
      <c r="A31" s="12" t="s">
        <v>87</v>
      </c>
      <c r="B31" s="13" t="s">
        <v>80</v>
      </c>
      <c r="C31" s="13">
        <v>50</v>
      </c>
      <c r="D31" s="13">
        <v>26</v>
      </c>
      <c r="E31" s="14">
        <f>([1]innoculation!$D$9*5)/1000</f>
        <v>1245.9666666666665</v>
      </c>
      <c r="F31" s="13"/>
      <c r="G31" s="13"/>
      <c r="H31" s="16">
        <v>43249</v>
      </c>
      <c r="I31" s="13">
        <v>2122</v>
      </c>
      <c r="J31" s="13"/>
      <c r="K31" s="13"/>
      <c r="L31" s="16">
        <v>43251</v>
      </c>
      <c r="M31" s="13">
        <v>4514</v>
      </c>
      <c r="N31" s="13"/>
      <c r="O31" s="13"/>
      <c r="P31" s="16">
        <v>43253</v>
      </c>
      <c r="Q31" s="13">
        <v>12432</v>
      </c>
      <c r="R31" s="13"/>
      <c r="S31" s="13"/>
      <c r="T31" s="16">
        <v>43255</v>
      </c>
      <c r="U31" s="13">
        <v>34990</v>
      </c>
      <c r="V31" s="13"/>
      <c r="W31" s="13"/>
      <c r="X31" s="16">
        <v>43257</v>
      </c>
      <c r="Y31" s="13">
        <f>5144*20</f>
        <v>102880</v>
      </c>
      <c r="Z31" s="13"/>
      <c r="AA31" s="13"/>
      <c r="AB31" s="16">
        <v>43259</v>
      </c>
      <c r="AC31" s="13">
        <f>8600*20</f>
        <v>172000</v>
      </c>
      <c r="AD31" s="13"/>
      <c r="AE31" s="13"/>
      <c r="AF31" s="16">
        <v>43261</v>
      </c>
      <c r="AG31" s="13">
        <f>24669*20</f>
        <v>493380</v>
      </c>
      <c r="AH31" s="13"/>
      <c r="AI31" s="13"/>
      <c r="AJ31" s="16">
        <v>43263</v>
      </c>
      <c r="AK31" s="13">
        <f>32363*20</f>
        <v>647260</v>
      </c>
      <c r="AL31" s="13"/>
      <c r="AM31" s="13"/>
      <c r="AN31" s="16">
        <v>43265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</row>
    <row r="32" spans="1:104" s="17" customFormat="1" x14ac:dyDescent="0.2">
      <c r="A32" s="12" t="s">
        <v>88</v>
      </c>
      <c r="B32" s="13" t="s">
        <v>80</v>
      </c>
      <c r="C32" s="13">
        <v>50</v>
      </c>
      <c r="D32" s="13">
        <v>26</v>
      </c>
      <c r="E32" s="14">
        <f>([1]innoculation!$D$9*5)/1000</f>
        <v>1245.9666666666665</v>
      </c>
      <c r="F32" s="13"/>
      <c r="G32" s="13"/>
      <c r="H32" s="16">
        <v>43249</v>
      </c>
      <c r="I32" s="13">
        <v>2184</v>
      </c>
      <c r="J32" s="13"/>
      <c r="K32" s="13"/>
      <c r="L32" s="16">
        <v>43251</v>
      </c>
      <c r="M32" s="13">
        <v>4997</v>
      </c>
      <c r="N32" s="13"/>
      <c r="O32" s="13"/>
      <c r="P32" s="16">
        <v>43253</v>
      </c>
      <c r="Q32" s="13">
        <v>12274</v>
      </c>
      <c r="R32" s="13"/>
      <c r="S32" s="13"/>
      <c r="T32" s="16">
        <v>43255</v>
      </c>
      <c r="U32" s="13">
        <v>30283</v>
      </c>
      <c r="V32" s="13"/>
      <c r="W32" s="13"/>
      <c r="X32" s="16">
        <v>43257</v>
      </c>
      <c r="Y32" s="13">
        <f>4971*20</f>
        <v>99420</v>
      </c>
      <c r="Z32" s="13"/>
      <c r="AA32" s="13"/>
      <c r="AB32" s="16">
        <v>43259</v>
      </c>
      <c r="AC32" s="13">
        <f>8747*20</f>
        <v>174940</v>
      </c>
      <c r="AD32" s="13"/>
      <c r="AE32" s="13"/>
      <c r="AF32" s="16">
        <v>43261</v>
      </c>
      <c r="AG32" s="13">
        <f>24252*20</f>
        <v>485040</v>
      </c>
      <c r="AH32" s="13"/>
      <c r="AI32" s="13"/>
      <c r="AJ32" s="16">
        <v>43263</v>
      </c>
      <c r="AK32" s="13">
        <f>30865*20</f>
        <v>617300</v>
      </c>
      <c r="AL32" s="13"/>
      <c r="AM32" s="13"/>
      <c r="AN32" s="16">
        <v>43265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</row>
    <row r="33" spans="1:104" s="17" customFormat="1" x14ac:dyDescent="0.2">
      <c r="A33" s="12" t="s">
        <v>88</v>
      </c>
      <c r="B33" s="13" t="s">
        <v>80</v>
      </c>
      <c r="C33" s="13">
        <v>50</v>
      </c>
      <c r="D33" s="13">
        <v>26</v>
      </c>
      <c r="E33" s="14">
        <f>([1]innoculation!$D$9*5)/1000</f>
        <v>1245.9666666666665</v>
      </c>
      <c r="F33" s="13"/>
      <c r="G33" s="13"/>
      <c r="H33" s="16">
        <v>43249</v>
      </c>
      <c r="I33" s="13">
        <v>2209</v>
      </c>
      <c r="J33" s="13"/>
      <c r="K33" s="13"/>
      <c r="L33" s="16">
        <v>43251</v>
      </c>
      <c r="M33" s="13">
        <v>4779</v>
      </c>
      <c r="N33" s="13"/>
      <c r="O33" s="13"/>
      <c r="P33" s="16">
        <v>43253</v>
      </c>
      <c r="Q33" s="13">
        <v>12181</v>
      </c>
      <c r="R33" s="13"/>
      <c r="S33" s="13"/>
      <c r="T33" s="16">
        <v>43255</v>
      </c>
      <c r="U33" s="13">
        <v>29933</v>
      </c>
      <c r="V33" s="13"/>
      <c r="W33" s="13"/>
      <c r="X33" s="16">
        <v>43257</v>
      </c>
      <c r="Y33" s="13">
        <f>5116*20</f>
        <v>102320</v>
      </c>
      <c r="Z33" s="13"/>
      <c r="AA33" s="13"/>
      <c r="AB33" s="16">
        <v>43259</v>
      </c>
      <c r="AC33" s="13">
        <f>8701*20</f>
        <v>174020</v>
      </c>
      <c r="AD33" s="13"/>
      <c r="AE33" s="13"/>
      <c r="AF33" s="16">
        <v>43261</v>
      </c>
      <c r="AG33" s="13">
        <f>23535*20</f>
        <v>470700</v>
      </c>
      <c r="AH33" s="13"/>
      <c r="AI33" s="13"/>
      <c r="AJ33" s="16">
        <v>43263</v>
      </c>
      <c r="AK33" s="13">
        <f>30335*20</f>
        <v>606700</v>
      </c>
      <c r="AL33" s="13"/>
      <c r="AM33" s="13"/>
      <c r="AN33" s="16">
        <v>43265</v>
      </c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</row>
    <row r="34" spans="1:104" s="17" customFormat="1" x14ac:dyDescent="0.2">
      <c r="A34" s="12" t="s">
        <v>88</v>
      </c>
      <c r="B34" s="13" t="s">
        <v>80</v>
      </c>
      <c r="C34" s="13">
        <v>50</v>
      </c>
      <c r="D34" s="13">
        <v>26</v>
      </c>
      <c r="E34" s="14">
        <f>([1]innoculation!$D$9*5)/1000</f>
        <v>1245.9666666666665</v>
      </c>
      <c r="F34" s="13"/>
      <c r="G34" s="13"/>
      <c r="H34" s="16">
        <v>43249</v>
      </c>
      <c r="I34" s="13">
        <v>1972</v>
      </c>
      <c r="J34" s="13"/>
      <c r="K34" s="13"/>
      <c r="L34" s="16">
        <v>43251</v>
      </c>
      <c r="M34" s="13">
        <v>4580</v>
      </c>
      <c r="N34" s="13"/>
      <c r="O34" s="13"/>
      <c r="P34" s="16">
        <v>43253</v>
      </c>
      <c r="Q34" s="13">
        <v>11952</v>
      </c>
      <c r="R34" s="13"/>
      <c r="S34" s="13"/>
      <c r="T34" s="16">
        <v>43255</v>
      </c>
      <c r="U34" s="13">
        <v>30091</v>
      </c>
      <c r="V34" s="13"/>
      <c r="W34" s="13"/>
      <c r="X34" s="16">
        <v>43257</v>
      </c>
      <c r="Y34" s="13">
        <f>5004*20</f>
        <v>100080</v>
      </c>
      <c r="Z34" s="13"/>
      <c r="AA34" s="13"/>
      <c r="AB34" s="16">
        <v>43259</v>
      </c>
      <c r="AC34" s="13">
        <f>8609*20</f>
        <v>172180</v>
      </c>
      <c r="AD34" s="13"/>
      <c r="AE34" s="13"/>
      <c r="AF34" s="16">
        <v>43261</v>
      </c>
      <c r="AG34" s="13">
        <f>23245*20</f>
        <v>464900</v>
      </c>
      <c r="AH34" s="13"/>
      <c r="AI34" s="13"/>
      <c r="AJ34" s="16">
        <v>43263</v>
      </c>
      <c r="AK34" s="13">
        <f>30421*20</f>
        <v>608420</v>
      </c>
      <c r="AL34" s="13"/>
      <c r="AM34" s="13"/>
      <c r="AN34" s="16">
        <v>43265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</row>
    <row r="35" spans="1:104" s="17" customFormat="1" x14ac:dyDescent="0.2">
      <c r="A35" s="12" t="s">
        <v>89</v>
      </c>
      <c r="B35" s="13" t="s">
        <v>80</v>
      </c>
      <c r="C35" s="13">
        <v>50</v>
      </c>
      <c r="D35" s="13">
        <v>26</v>
      </c>
      <c r="E35" s="14">
        <f>([1]innoculation!$D$9*5)/1000</f>
        <v>1245.9666666666665</v>
      </c>
      <c r="F35" s="13"/>
      <c r="G35" s="13"/>
      <c r="H35" s="16">
        <v>43249</v>
      </c>
      <c r="I35" s="13">
        <v>2205</v>
      </c>
      <c r="J35" s="13"/>
      <c r="K35" s="13"/>
      <c r="L35" s="16">
        <v>43251</v>
      </c>
      <c r="M35" s="13">
        <v>4884</v>
      </c>
      <c r="N35" s="13"/>
      <c r="O35" s="13"/>
      <c r="P35" s="16">
        <v>43253</v>
      </c>
      <c r="Q35" s="13">
        <v>15477</v>
      </c>
      <c r="R35" s="13"/>
      <c r="S35" s="13"/>
      <c r="T35" s="16">
        <v>43255</v>
      </c>
      <c r="U35" s="13">
        <v>40647</v>
      </c>
      <c r="V35" s="13"/>
      <c r="W35" s="13"/>
      <c r="X35" s="16">
        <v>43257</v>
      </c>
      <c r="Y35" s="13">
        <f>5675*20</f>
        <v>113500</v>
      </c>
      <c r="Z35" s="13"/>
      <c r="AA35" s="13"/>
      <c r="AB35" s="16">
        <v>43259</v>
      </c>
      <c r="AC35" s="13">
        <f>8973*20</f>
        <v>179460</v>
      </c>
      <c r="AD35" s="13"/>
      <c r="AE35" s="13"/>
      <c r="AF35" s="16">
        <v>43261</v>
      </c>
      <c r="AG35" s="13">
        <f>22447*20</f>
        <v>448940</v>
      </c>
      <c r="AH35" s="13"/>
      <c r="AI35" s="13"/>
      <c r="AJ35" s="16">
        <v>43263</v>
      </c>
      <c r="AK35" s="13">
        <f>30913*20</f>
        <v>618260</v>
      </c>
      <c r="AL35" s="13"/>
      <c r="AM35" s="13"/>
      <c r="AN35" s="16">
        <v>43265</v>
      </c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</row>
    <row r="36" spans="1:104" s="17" customFormat="1" x14ac:dyDescent="0.2">
      <c r="A36" s="12" t="s">
        <v>89</v>
      </c>
      <c r="B36" s="13" t="s">
        <v>80</v>
      </c>
      <c r="C36" s="13">
        <v>50</v>
      </c>
      <c r="D36" s="13">
        <v>26</v>
      </c>
      <c r="E36" s="14">
        <f>([1]innoculation!$D$9*5)/1000</f>
        <v>1245.9666666666665</v>
      </c>
      <c r="F36" s="13"/>
      <c r="G36" s="13"/>
      <c r="H36" s="16">
        <v>43249</v>
      </c>
      <c r="I36" s="13">
        <v>2146</v>
      </c>
      <c r="J36" s="13"/>
      <c r="K36" s="13"/>
      <c r="L36" s="16">
        <v>43251</v>
      </c>
      <c r="M36" s="13">
        <v>4885</v>
      </c>
      <c r="N36" s="13"/>
      <c r="O36" s="13"/>
      <c r="P36" s="16">
        <v>43253</v>
      </c>
      <c r="Q36" s="13">
        <v>15696</v>
      </c>
      <c r="R36" s="13"/>
      <c r="S36" s="13"/>
      <c r="T36" s="16">
        <v>43255</v>
      </c>
      <c r="U36" s="13">
        <v>41314</v>
      </c>
      <c r="V36" s="13"/>
      <c r="W36" s="13"/>
      <c r="X36" s="16">
        <v>43257</v>
      </c>
      <c r="Y36" s="13">
        <f>5784*20</f>
        <v>115680</v>
      </c>
      <c r="Z36" s="13"/>
      <c r="AA36" s="13"/>
      <c r="AB36" s="16">
        <v>43259</v>
      </c>
      <c r="AC36" s="13">
        <f>8825*20</f>
        <v>176500</v>
      </c>
      <c r="AD36" s="13"/>
      <c r="AE36" s="13"/>
      <c r="AF36" s="16">
        <v>43261</v>
      </c>
      <c r="AG36" s="13">
        <f>21721*20</f>
        <v>434420</v>
      </c>
      <c r="AH36" s="13"/>
      <c r="AI36" s="13"/>
      <c r="AJ36" s="16">
        <v>43263</v>
      </c>
      <c r="AK36" s="13">
        <f>30888*20</f>
        <v>617760</v>
      </c>
      <c r="AL36" s="13"/>
      <c r="AM36" s="13"/>
      <c r="AN36" s="16">
        <v>43265</v>
      </c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</row>
    <row r="37" spans="1:104" s="17" customFormat="1" x14ac:dyDescent="0.2">
      <c r="A37" s="12" t="s">
        <v>89</v>
      </c>
      <c r="B37" s="13" t="s">
        <v>80</v>
      </c>
      <c r="C37" s="13">
        <v>50</v>
      </c>
      <c r="D37" s="13">
        <v>26</v>
      </c>
      <c r="E37" s="14">
        <f>([1]innoculation!$D$9*5)/1000</f>
        <v>1245.9666666666665</v>
      </c>
      <c r="F37" s="13"/>
      <c r="G37" s="13"/>
      <c r="H37" s="16">
        <v>43249</v>
      </c>
      <c r="I37" s="13">
        <v>1982</v>
      </c>
      <c r="J37" s="13"/>
      <c r="K37" s="13"/>
      <c r="L37" s="16">
        <v>43251</v>
      </c>
      <c r="M37" s="13">
        <v>4798</v>
      </c>
      <c r="N37" s="13"/>
      <c r="O37" s="13"/>
      <c r="P37" s="16">
        <v>43253</v>
      </c>
      <c r="Q37" s="13">
        <v>14896</v>
      </c>
      <c r="R37" s="13"/>
      <c r="S37" s="13"/>
      <c r="T37" s="16">
        <v>43255</v>
      </c>
      <c r="U37" s="13">
        <v>41939</v>
      </c>
      <c r="V37" s="13"/>
      <c r="W37" s="13"/>
      <c r="X37" s="16">
        <v>43257</v>
      </c>
      <c r="Y37" s="13">
        <f>5675*20</f>
        <v>113500</v>
      </c>
      <c r="Z37" s="13"/>
      <c r="AA37" s="13"/>
      <c r="AB37" s="16">
        <v>43259</v>
      </c>
      <c r="AC37" s="13">
        <f>8842*20</f>
        <v>176840</v>
      </c>
      <c r="AD37" s="13"/>
      <c r="AE37" s="13"/>
      <c r="AF37" s="16">
        <v>43261</v>
      </c>
      <c r="AG37" s="13">
        <f>21451*20</f>
        <v>429020</v>
      </c>
      <c r="AH37" s="13"/>
      <c r="AI37" s="13"/>
      <c r="AJ37" s="16">
        <v>43263</v>
      </c>
      <c r="AK37" s="13">
        <f>30763*20</f>
        <v>615260</v>
      </c>
      <c r="AL37" s="13"/>
      <c r="AM37" s="13"/>
      <c r="AN37" s="16">
        <v>43265</v>
      </c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</row>
    <row r="38" spans="1:104" s="19" customFormat="1" x14ac:dyDescent="0.2">
      <c r="A38" s="19" t="s">
        <v>90</v>
      </c>
      <c r="B38" s="11" t="s">
        <v>76</v>
      </c>
      <c r="C38" s="11">
        <v>50</v>
      </c>
      <c r="D38" s="11">
        <v>28</v>
      </c>
      <c r="E38" s="20">
        <f>([1]innoculation!$D$14*1.4)/1000</f>
        <v>1229.06</v>
      </c>
      <c r="F38" s="21">
        <f>AVERAGE(E38:E46)</f>
        <v>1229.0599999999997</v>
      </c>
      <c r="G38" s="11">
        <f>STDEV(E38:E46)</f>
        <v>2.4116620165382783E-13</v>
      </c>
      <c r="H38" s="9">
        <v>43262</v>
      </c>
      <c r="I38" s="11">
        <v>2520</v>
      </c>
      <c r="J38" s="11">
        <f>AVERAGE(I38:I46)</f>
        <v>2248.7777777777778</v>
      </c>
      <c r="K38" s="11">
        <f>STDEV(I38:I46)</f>
        <v>203.23064346806672</v>
      </c>
      <c r="L38" s="9">
        <v>43264</v>
      </c>
      <c r="M38" s="11">
        <v>3503</v>
      </c>
      <c r="N38" s="11">
        <f>AVERAGE(M38:M46)</f>
        <v>3357.4444444444443</v>
      </c>
      <c r="O38" s="11">
        <f>STDEV(M38:M46)</f>
        <v>187.20651104536344</v>
      </c>
      <c r="P38" s="9">
        <v>43266</v>
      </c>
      <c r="Q38" s="11">
        <v>4240</v>
      </c>
      <c r="R38" s="11">
        <f>AVERAGE(Q38:Q46)</f>
        <v>4533.333333333333</v>
      </c>
      <c r="S38" s="11">
        <f>STDEV(Q38:Q46)</f>
        <v>357.44719889796312</v>
      </c>
      <c r="T38" s="9">
        <v>43268</v>
      </c>
      <c r="U38" s="11">
        <v>19371</v>
      </c>
      <c r="V38" s="11">
        <f>AVERAGE(U38:U46)</f>
        <v>21791.666666666668</v>
      </c>
      <c r="W38" s="11">
        <f>STDEV(U38:U46)</f>
        <v>1881.2446677665296</v>
      </c>
      <c r="X38" s="9">
        <v>43270</v>
      </c>
      <c r="Y38" s="11">
        <v>50733</v>
      </c>
      <c r="Z38" s="11">
        <f>AVERAGE(Y38:Y46)</f>
        <v>57696.222222222219</v>
      </c>
      <c r="AA38" s="11">
        <f>STDEV(Y38:Y46)</f>
        <v>5043.9402201497633</v>
      </c>
      <c r="AB38" s="9">
        <v>43272</v>
      </c>
      <c r="AC38" s="11">
        <f>7211*20</f>
        <v>144220</v>
      </c>
      <c r="AD38" s="11">
        <f>AVERAGE(AC38:AC46)</f>
        <v>153124.44444444444</v>
      </c>
      <c r="AE38" s="11">
        <f>STDEV(AC38:AC46)</f>
        <v>10586.518680745705</v>
      </c>
      <c r="AF38" s="9">
        <v>43274</v>
      </c>
      <c r="AG38" s="11">
        <f>14600*20</f>
        <v>292000</v>
      </c>
      <c r="AH38" s="11">
        <f>AVERAGE(AG38:AG46)</f>
        <v>331422.22222222225</v>
      </c>
      <c r="AI38" s="11">
        <f>STDEV(AG38:AG46)</f>
        <v>39762.758260015653</v>
      </c>
      <c r="AJ38" s="9">
        <v>43276</v>
      </c>
      <c r="AK38" s="11">
        <f>26434*20</f>
        <v>528680</v>
      </c>
      <c r="AL38" s="11">
        <f>AVERAGE(AK38:AK46)</f>
        <v>588064.4444444445</v>
      </c>
      <c r="AM38" s="11">
        <f>STDEV(AK38:AK46)</f>
        <v>48116.846091340791</v>
      </c>
      <c r="AN38" s="9">
        <v>43278</v>
      </c>
      <c r="AO38" s="11">
        <f>40120*20</f>
        <v>802400</v>
      </c>
      <c r="AP38" s="11">
        <f>AVERAGE(AO38:AO46)</f>
        <v>861906.66666666663</v>
      </c>
      <c r="AQ38" s="11">
        <f>STDEV(AO38:AO46)</f>
        <v>54355.621604393418</v>
      </c>
      <c r="AR38" s="9">
        <v>43280</v>
      </c>
      <c r="AS38" s="11">
        <f>51278*20</f>
        <v>1025560</v>
      </c>
      <c r="AT38" s="11">
        <f>AVERAGE(AS38:AS46)</f>
        <v>1057995.5555555555</v>
      </c>
      <c r="AU38" s="11">
        <f>STDEV(AS38:AS46)</f>
        <v>30801.337272556491</v>
      </c>
      <c r="AV38" s="9">
        <v>43282</v>
      </c>
      <c r="AW38" s="11">
        <f>59972*20</f>
        <v>1199440</v>
      </c>
      <c r="AX38" s="11">
        <f>AVERAGE(AW38:AW46)</f>
        <v>1216033.3333333333</v>
      </c>
      <c r="AY38" s="11">
        <f>STDEV(AW38:AW46)</f>
        <v>74274.260009777281</v>
      </c>
      <c r="AZ38" s="9">
        <v>43284</v>
      </c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</row>
    <row r="39" spans="1:104" s="19" customFormat="1" x14ac:dyDescent="0.2">
      <c r="A39" s="19" t="s">
        <v>90</v>
      </c>
      <c r="B39" s="11" t="s">
        <v>76</v>
      </c>
      <c r="C39" s="11">
        <v>50</v>
      </c>
      <c r="D39" s="11">
        <v>28</v>
      </c>
      <c r="E39" s="20">
        <f>([1]innoculation!$D$14*1.4)/1000</f>
        <v>1229.06</v>
      </c>
      <c r="F39" s="11"/>
      <c r="G39" s="11"/>
      <c r="H39" s="9">
        <v>43262</v>
      </c>
      <c r="I39" s="11">
        <v>2402</v>
      </c>
      <c r="J39" s="11"/>
      <c r="K39" s="11"/>
      <c r="L39" s="9">
        <v>43264</v>
      </c>
      <c r="M39" s="11">
        <v>3483</v>
      </c>
      <c r="N39" s="11"/>
      <c r="O39" s="11"/>
      <c r="P39" s="9">
        <v>43266</v>
      </c>
      <c r="Q39" s="11">
        <v>4104</v>
      </c>
      <c r="R39" s="11"/>
      <c r="S39" s="11"/>
      <c r="T39" s="9">
        <v>43268</v>
      </c>
      <c r="U39" s="11">
        <v>19067</v>
      </c>
      <c r="V39" s="11"/>
      <c r="W39" s="11"/>
      <c r="X39" s="9">
        <v>43270</v>
      </c>
      <c r="Y39" s="11">
        <v>50944</v>
      </c>
      <c r="Z39" s="11"/>
      <c r="AA39" s="11"/>
      <c r="AB39" s="9">
        <v>43272</v>
      </c>
      <c r="AC39" s="11">
        <f>7068*20</f>
        <v>141360</v>
      </c>
      <c r="AD39" s="11"/>
      <c r="AE39" s="11"/>
      <c r="AF39" s="9">
        <v>43274</v>
      </c>
      <c r="AG39" s="11">
        <f>13820*20</f>
        <v>276400</v>
      </c>
      <c r="AH39" s="11"/>
      <c r="AI39" s="11"/>
      <c r="AJ39" s="9">
        <v>43276</v>
      </c>
      <c r="AK39" s="11">
        <f>25916*20</f>
        <v>518320</v>
      </c>
      <c r="AL39" s="11"/>
      <c r="AM39" s="11"/>
      <c r="AN39" s="9">
        <v>43278</v>
      </c>
      <c r="AO39" s="11">
        <f>39574*20</f>
        <v>791480</v>
      </c>
      <c r="AP39" s="11"/>
      <c r="AQ39" s="11"/>
      <c r="AR39" s="9">
        <v>43280</v>
      </c>
      <c r="AS39" s="11">
        <f>51408*20</f>
        <v>1028160</v>
      </c>
      <c r="AT39" s="11"/>
      <c r="AU39" s="11"/>
      <c r="AV39" s="9">
        <v>43282</v>
      </c>
      <c r="AW39" s="11">
        <f>60351*20</f>
        <v>1207020</v>
      </c>
      <c r="AX39" s="11"/>
      <c r="AY39" s="11"/>
      <c r="AZ39" s="9">
        <v>43284</v>
      </c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</row>
    <row r="40" spans="1:104" s="19" customFormat="1" x14ac:dyDescent="0.2">
      <c r="A40" s="19" t="s">
        <v>90</v>
      </c>
      <c r="B40" s="11" t="s">
        <v>76</v>
      </c>
      <c r="C40" s="11">
        <v>50</v>
      </c>
      <c r="D40" s="11">
        <v>28</v>
      </c>
      <c r="E40" s="20">
        <f>([1]innoculation!$D$14*1.4)/1000</f>
        <v>1229.06</v>
      </c>
      <c r="F40" s="11"/>
      <c r="G40" s="11"/>
      <c r="H40" s="9">
        <v>43262</v>
      </c>
      <c r="I40" s="11">
        <v>2460</v>
      </c>
      <c r="J40" s="11"/>
      <c r="K40" s="11"/>
      <c r="L40" s="9">
        <v>43264</v>
      </c>
      <c r="M40" s="11">
        <v>3173</v>
      </c>
      <c r="N40" s="11"/>
      <c r="O40" s="11"/>
      <c r="P40" s="9">
        <v>43266</v>
      </c>
      <c r="Q40" s="11">
        <v>3901</v>
      </c>
      <c r="R40" s="11"/>
      <c r="S40" s="11"/>
      <c r="T40" s="9">
        <v>43268</v>
      </c>
      <c r="U40" s="11">
        <v>19654</v>
      </c>
      <c r="V40" s="11"/>
      <c r="W40" s="11"/>
      <c r="X40" s="9">
        <v>43270</v>
      </c>
      <c r="Y40" s="11">
        <v>51419</v>
      </c>
      <c r="Z40" s="11"/>
      <c r="AA40" s="11"/>
      <c r="AB40" s="9">
        <v>43272</v>
      </c>
      <c r="AC40" s="11">
        <f>6830*20</f>
        <v>136600</v>
      </c>
      <c r="AD40" s="11"/>
      <c r="AE40" s="11"/>
      <c r="AF40" s="9">
        <v>43274</v>
      </c>
      <c r="AG40" s="11">
        <f>13569*20</f>
        <v>271380</v>
      </c>
      <c r="AH40" s="11"/>
      <c r="AI40" s="11"/>
      <c r="AJ40" s="9">
        <v>43276</v>
      </c>
      <c r="AK40" s="11">
        <f>26309*20</f>
        <v>526180</v>
      </c>
      <c r="AL40" s="11"/>
      <c r="AM40" s="11"/>
      <c r="AN40" s="9">
        <v>43278</v>
      </c>
      <c r="AO40" s="11">
        <f>39243*20</f>
        <v>784860</v>
      </c>
      <c r="AP40" s="11"/>
      <c r="AQ40" s="11"/>
      <c r="AR40" s="9">
        <v>43280</v>
      </c>
      <c r="AS40" s="11">
        <f>50679*20</f>
        <v>1013580</v>
      </c>
      <c r="AT40" s="11"/>
      <c r="AU40" s="11"/>
      <c r="AV40" s="9">
        <v>43282</v>
      </c>
      <c r="AW40" s="11">
        <f>59825*20</f>
        <v>1196500</v>
      </c>
      <c r="AX40" s="11"/>
      <c r="AY40" s="11"/>
      <c r="AZ40" s="9">
        <v>43284</v>
      </c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</row>
    <row r="41" spans="1:104" s="19" customFormat="1" x14ac:dyDescent="0.2">
      <c r="A41" s="19" t="s">
        <v>91</v>
      </c>
      <c r="B41" s="11" t="s">
        <v>76</v>
      </c>
      <c r="C41" s="11">
        <v>50</v>
      </c>
      <c r="D41" s="11">
        <v>28</v>
      </c>
      <c r="E41" s="20">
        <f>([1]innoculation!$D$14*1.4)/1000</f>
        <v>1229.06</v>
      </c>
      <c r="F41" s="11"/>
      <c r="G41" s="11"/>
      <c r="H41" s="9">
        <v>43262</v>
      </c>
      <c r="I41" s="11">
        <v>1921</v>
      </c>
      <c r="J41" s="11"/>
      <c r="K41" s="11"/>
      <c r="L41" s="9">
        <v>43264</v>
      </c>
      <c r="M41" s="11">
        <v>3576</v>
      </c>
      <c r="N41" s="11"/>
      <c r="O41" s="11"/>
      <c r="P41" s="9">
        <v>43266</v>
      </c>
      <c r="Q41" s="11">
        <v>4833</v>
      </c>
      <c r="R41" s="11"/>
      <c r="S41" s="11"/>
      <c r="T41" s="9">
        <v>43268</v>
      </c>
      <c r="U41" s="11">
        <v>23183</v>
      </c>
      <c r="V41" s="11"/>
      <c r="W41" s="11"/>
      <c r="X41" s="9">
        <v>43270</v>
      </c>
      <c r="Y41" s="11">
        <v>61632</v>
      </c>
      <c r="Z41" s="11"/>
      <c r="AA41" s="11"/>
      <c r="AB41" s="9">
        <v>43272</v>
      </c>
      <c r="AC41" s="11">
        <f>8190*20</f>
        <v>163800</v>
      </c>
      <c r="AD41" s="11"/>
      <c r="AE41" s="11"/>
      <c r="AF41" s="9">
        <v>43274</v>
      </c>
      <c r="AG41" s="11">
        <f>17918*20</f>
        <v>358360</v>
      </c>
      <c r="AH41" s="11"/>
      <c r="AI41" s="11"/>
      <c r="AJ41" s="9">
        <v>43276</v>
      </c>
      <c r="AK41" s="11">
        <f>31224*20</f>
        <v>624480</v>
      </c>
      <c r="AL41" s="11"/>
      <c r="AM41" s="11"/>
      <c r="AN41" s="9">
        <v>43278</v>
      </c>
      <c r="AO41" s="11">
        <f>45570*20</f>
        <v>911400</v>
      </c>
      <c r="AP41" s="11"/>
      <c r="AQ41" s="11"/>
      <c r="AR41" s="9">
        <v>43280</v>
      </c>
      <c r="AS41" s="11">
        <f>53237*20</f>
        <v>1064740</v>
      </c>
      <c r="AT41" s="11"/>
      <c r="AU41" s="11"/>
      <c r="AV41" s="9">
        <v>43282</v>
      </c>
      <c r="AW41" s="11">
        <f>56882*20</f>
        <v>1137640</v>
      </c>
      <c r="AX41" s="11"/>
      <c r="AY41" s="11"/>
      <c r="AZ41" s="9">
        <v>43284</v>
      </c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</row>
    <row r="42" spans="1:104" s="19" customFormat="1" x14ac:dyDescent="0.2">
      <c r="A42" s="19" t="s">
        <v>91</v>
      </c>
      <c r="B42" s="11" t="s">
        <v>76</v>
      </c>
      <c r="C42" s="11">
        <v>50</v>
      </c>
      <c r="D42" s="11">
        <v>28</v>
      </c>
      <c r="E42" s="20">
        <f>([1]innoculation!$D$14*1.4)/1000</f>
        <v>1229.06</v>
      </c>
      <c r="F42" s="11"/>
      <c r="G42" s="11"/>
      <c r="H42" s="9">
        <v>43262</v>
      </c>
      <c r="I42" s="11">
        <v>2102</v>
      </c>
      <c r="J42" s="11"/>
      <c r="K42" s="11"/>
      <c r="L42" s="9">
        <v>43264</v>
      </c>
      <c r="M42" s="11">
        <v>3498</v>
      </c>
      <c r="N42" s="11"/>
      <c r="O42" s="11"/>
      <c r="P42" s="9">
        <v>43266</v>
      </c>
      <c r="Q42" s="11">
        <v>4698</v>
      </c>
      <c r="R42" s="11"/>
      <c r="S42" s="11"/>
      <c r="T42" s="9">
        <v>43268</v>
      </c>
      <c r="U42" s="11">
        <v>23944</v>
      </c>
      <c r="V42" s="11"/>
      <c r="W42" s="11"/>
      <c r="X42" s="9">
        <v>43270</v>
      </c>
      <c r="Y42" s="11">
        <v>62362</v>
      </c>
      <c r="Z42" s="11"/>
      <c r="AA42" s="11"/>
      <c r="AB42" s="9">
        <v>43272</v>
      </c>
      <c r="AC42" s="11">
        <f>8309*20</f>
        <v>166180</v>
      </c>
      <c r="AD42" s="11"/>
      <c r="AE42" s="11"/>
      <c r="AF42" s="9">
        <v>43274</v>
      </c>
      <c r="AG42" s="11">
        <f>17010*20</f>
        <v>340200</v>
      </c>
      <c r="AH42" s="11"/>
      <c r="AI42" s="11"/>
      <c r="AJ42" s="9">
        <v>43276</v>
      </c>
      <c r="AK42" s="11">
        <f>31178*20</f>
        <v>623560</v>
      </c>
      <c r="AL42" s="11"/>
      <c r="AM42" s="11"/>
      <c r="AN42" s="9">
        <v>43278</v>
      </c>
      <c r="AO42" s="11">
        <f>45995*20</f>
        <v>919900</v>
      </c>
      <c r="AP42" s="11"/>
      <c r="AQ42" s="11"/>
      <c r="AR42" s="9">
        <v>43280</v>
      </c>
      <c r="AS42" s="11">
        <f>53086*20</f>
        <v>1061720</v>
      </c>
      <c r="AT42" s="11"/>
      <c r="AU42" s="11"/>
      <c r="AV42" s="9">
        <v>43282</v>
      </c>
      <c r="AW42" s="11">
        <f>56711*20</f>
        <v>1134220</v>
      </c>
      <c r="AX42" s="11"/>
      <c r="AY42" s="11"/>
      <c r="AZ42" s="9">
        <v>43284</v>
      </c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</row>
    <row r="43" spans="1:104" s="19" customFormat="1" x14ac:dyDescent="0.2">
      <c r="A43" s="19" t="s">
        <v>91</v>
      </c>
      <c r="B43" s="11" t="s">
        <v>76</v>
      </c>
      <c r="C43" s="11">
        <v>50</v>
      </c>
      <c r="D43" s="11">
        <v>28</v>
      </c>
      <c r="E43" s="20">
        <f>([1]innoculation!$D$14*1.4)/1000</f>
        <v>1229.06</v>
      </c>
      <c r="F43" s="11"/>
      <c r="G43" s="11"/>
      <c r="H43" s="9">
        <v>43262</v>
      </c>
      <c r="I43" s="11">
        <v>2021</v>
      </c>
      <c r="J43" s="11"/>
      <c r="K43" s="11"/>
      <c r="L43" s="9">
        <v>43264</v>
      </c>
      <c r="M43" s="11">
        <v>3469</v>
      </c>
      <c r="N43" s="11"/>
      <c r="O43" s="11"/>
      <c r="P43" s="9">
        <v>43266</v>
      </c>
      <c r="Q43" s="11">
        <v>4838</v>
      </c>
      <c r="R43" s="11"/>
      <c r="S43" s="11"/>
      <c r="T43" s="9">
        <v>43268</v>
      </c>
      <c r="U43" s="11">
        <v>23109</v>
      </c>
      <c r="V43" s="11"/>
      <c r="W43" s="11"/>
      <c r="X43" s="9">
        <v>43270</v>
      </c>
      <c r="Y43" s="11">
        <v>60257</v>
      </c>
      <c r="Z43" s="11"/>
      <c r="AA43" s="11"/>
      <c r="AB43" s="9">
        <v>43272</v>
      </c>
      <c r="AC43" s="11">
        <f>7534*20</f>
        <v>150680</v>
      </c>
      <c r="AD43" s="11"/>
      <c r="AE43" s="11"/>
      <c r="AF43" s="9">
        <v>43274</v>
      </c>
      <c r="AG43" s="11">
        <f>17560*20</f>
        <v>351200</v>
      </c>
      <c r="AH43" s="11"/>
      <c r="AI43" s="11"/>
      <c r="AJ43" s="9">
        <v>43276</v>
      </c>
      <c r="AK43" s="11">
        <f>31209*20</f>
        <v>624180</v>
      </c>
      <c r="AL43" s="11"/>
      <c r="AM43" s="11"/>
      <c r="AN43" s="9">
        <v>43278</v>
      </c>
      <c r="AO43" s="11">
        <f>45494*20</f>
        <v>909880</v>
      </c>
      <c r="AP43" s="11"/>
      <c r="AQ43" s="11"/>
      <c r="AR43" s="9">
        <v>43280</v>
      </c>
      <c r="AS43" s="11">
        <f>52572*20</f>
        <v>1051440</v>
      </c>
      <c r="AT43" s="11"/>
      <c r="AU43" s="11"/>
      <c r="AV43" s="9">
        <v>43282</v>
      </c>
      <c r="AW43" s="11">
        <f>57245*20</f>
        <v>1144900</v>
      </c>
      <c r="AX43" s="11"/>
      <c r="AY43" s="11"/>
      <c r="AZ43" s="9">
        <v>43284</v>
      </c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</row>
    <row r="44" spans="1:104" s="19" customFormat="1" x14ac:dyDescent="0.2">
      <c r="A44" s="19" t="s">
        <v>92</v>
      </c>
      <c r="B44" s="11" t="s">
        <v>76</v>
      </c>
      <c r="C44" s="11">
        <v>50</v>
      </c>
      <c r="D44" s="11">
        <v>28</v>
      </c>
      <c r="E44" s="20">
        <f>([1]innoculation!$D$14*1.4)/1000</f>
        <v>1229.06</v>
      </c>
      <c r="F44" s="11"/>
      <c r="G44" s="11"/>
      <c r="H44" s="9">
        <v>43262</v>
      </c>
      <c r="I44" s="11">
        <v>2330</v>
      </c>
      <c r="J44" s="11"/>
      <c r="K44" s="11"/>
      <c r="L44" s="9">
        <v>43264</v>
      </c>
      <c r="M44" s="11">
        <v>3294</v>
      </c>
      <c r="N44" s="11"/>
      <c r="O44" s="11"/>
      <c r="P44" s="9">
        <v>43266</v>
      </c>
      <c r="Q44" s="11">
        <v>4833</v>
      </c>
      <c r="R44" s="11"/>
      <c r="S44" s="11"/>
      <c r="T44" s="9">
        <v>43268</v>
      </c>
      <c r="U44" s="11">
        <v>22899</v>
      </c>
      <c r="V44" s="11"/>
      <c r="W44" s="11"/>
      <c r="X44" s="9">
        <v>43270</v>
      </c>
      <c r="Y44" s="11">
        <v>61019</v>
      </c>
      <c r="Z44" s="11"/>
      <c r="AA44" s="11"/>
      <c r="AB44" s="9">
        <v>43272</v>
      </c>
      <c r="AC44" s="11">
        <f>8097*20</f>
        <v>161940</v>
      </c>
      <c r="AD44" s="11"/>
      <c r="AE44" s="11"/>
      <c r="AF44" s="9">
        <v>43274</v>
      </c>
      <c r="AG44" s="11">
        <f>18272*20</f>
        <v>365440</v>
      </c>
      <c r="AH44" s="11"/>
      <c r="AI44" s="11"/>
      <c r="AJ44" s="9">
        <v>43276</v>
      </c>
      <c r="AK44" s="11">
        <f>30348*20</f>
        <v>606960</v>
      </c>
      <c r="AL44" s="11"/>
      <c r="AM44" s="11"/>
      <c r="AN44" s="9">
        <v>43278</v>
      </c>
      <c r="AO44" s="11">
        <f>43645*20</f>
        <v>872900</v>
      </c>
      <c r="AP44" s="11"/>
      <c r="AQ44" s="11"/>
      <c r="AR44" s="9">
        <v>43280</v>
      </c>
      <c r="AS44" s="11">
        <f>54787*20</f>
        <v>1095740</v>
      </c>
      <c r="AT44" s="11"/>
      <c r="AU44" s="11"/>
      <c r="AV44" s="9">
        <v>43282</v>
      </c>
      <c r="AW44" s="11">
        <f>65267*20</f>
        <v>1305340</v>
      </c>
      <c r="AX44" s="11"/>
      <c r="AY44" s="11"/>
      <c r="AZ44" s="9">
        <v>43284</v>
      </c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</row>
    <row r="45" spans="1:104" s="19" customFormat="1" x14ac:dyDescent="0.2">
      <c r="A45" s="19" t="s">
        <v>92</v>
      </c>
      <c r="B45" s="11" t="s">
        <v>76</v>
      </c>
      <c r="C45" s="11">
        <v>50</v>
      </c>
      <c r="D45" s="11">
        <v>28</v>
      </c>
      <c r="E45" s="20">
        <f>([1]innoculation!$D$14*1.4)/1000</f>
        <v>1229.06</v>
      </c>
      <c r="F45" s="11"/>
      <c r="G45" s="11"/>
      <c r="H45" s="9">
        <v>43262</v>
      </c>
      <c r="I45" s="11">
        <v>2266</v>
      </c>
      <c r="J45" s="11"/>
      <c r="K45" s="11"/>
      <c r="L45" s="9">
        <v>43264</v>
      </c>
      <c r="M45" s="11">
        <v>3069</v>
      </c>
      <c r="N45" s="11"/>
      <c r="O45" s="11"/>
      <c r="P45" s="9">
        <v>43266</v>
      </c>
      <c r="Q45" s="11">
        <v>4752</v>
      </c>
      <c r="R45" s="11"/>
      <c r="S45" s="11"/>
      <c r="T45" s="9">
        <v>43268</v>
      </c>
      <c r="U45" s="11">
        <v>22268</v>
      </c>
      <c r="V45" s="11"/>
      <c r="W45" s="11"/>
      <c r="X45" s="9">
        <v>43270</v>
      </c>
      <c r="Y45" s="11">
        <v>60342</v>
      </c>
      <c r="Z45" s="11"/>
      <c r="AA45" s="11"/>
      <c r="AB45" s="9">
        <v>43272</v>
      </c>
      <c r="AC45" s="11">
        <f>7959*20</f>
        <v>159180</v>
      </c>
      <c r="AD45" s="11"/>
      <c r="AE45" s="11"/>
      <c r="AF45" s="9">
        <v>43274</v>
      </c>
      <c r="AG45" s="11">
        <f>18191*20</f>
        <v>363820</v>
      </c>
      <c r="AH45" s="11"/>
      <c r="AI45" s="11"/>
      <c r="AJ45" s="9">
        <v>43276</v>
      </c>
      <c r="AK45" s="11">
        <f>30993*20</f>
        <v>619860</v>
      </c>
      <c r="AL45" s="11"/>
      <c r="AM45" s="11"/>
      <c r="AN45" s="9">
        <v>43278</v>
      </c>
      <c r="AO45" s="11">
        <f>44531*20</f>
        <v>890620</v>
      </c>
      <c r="AP45" s="11"/>
      <c r="AQ45" s="11"/>
      <c r="AR45" s="9">
        <v>43280</v>
      </c>
      <c r="AS45" s="11">
        <f>54321*20</f>
        <v>1086420</v>
      </c>
      <c r="AT45" s="11"/>
      <c r="AU45" s="11"/>
      <c r="AV45" s="9">
        <v>43282</v>
      </c>
      <c r="AW45" s="11">
        <f>65549*20</f>
        <v>1310980</v>
      </c>
      <c r="AX45" s="11"/>
      <c r="AY45" s="11"/>
      <c r="AZ45" s="9">
        <v>43284</v>
      </c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</row>
    <row r="46" spans="1:104" s="19" customFormat="1" x14ac:dyDescent="0.2">
      <c r="A46" s="19" t="s">
        <v>92</v>
      </c>
      <c r="B46" s="11" t="s">
        <v>76</v>
      </c>
      <c r="C46" s="11">
        <v>50</v>
      </c>
      <c r="D46" s="11">
        <v>28</v>
      </c>
      <c r="E46" s="20">
        <f>([1]innoculation!$D$14*1.4)/1000</f>
        <v>1229.06</v>
      </c>
      <c r="F46" s="11"/>
      <c r="G46" s="11"/>
      <c r="H46" s="9">
        <v>43262</v>
      </c>
      <c r="I46" s="11">
        <v>2217</v>
      </c>
      <c r="J46" s="11"/>
      <c r="K46" s="11"/>
      <c r="L46" s="9">
        <v>43264</v>
      </c>
      <c r="M46" s="11">
        <v>3152</v>
      </c>
      <c r="N46" s="11"/>
      <c r="O46" s="11"/>
      <c r="P46" s="9">
        <v>43266</v>
      </c>
      <c r="Q46" s="11">
        <v>4601</v>
      </c>
      <c r="R46" s="11"/>
      <c r="S46" s="11"/>
      <c r="T46" s="9">
        <v>43268</v>
      </c>
      <c r="U46" s="11">
        <v>22630</v>
      </c>
      <c r="V46" s="11"/>
      <c r="W46" s="11"/>
      <c r="X46" s="9">
        <v>43270</v>
      </c>
      <c r="Y46" s="11">
        <v>60558</v>
      </c>
      <c r="Z46" s="11"/>
      <c r="AA46" s="11"/>
      <c r="AB46" s="9">
        <v>43272</v>
      </c>
      <c r="AC46" s="11">
        <f>7708*20</f>
        <v>154160</v>
      </c>
      <c r="AD46" s="11"/>
      <c r="AE46" s="11"/>
      <c r="AF46" s="9">
        <v>43274</v>
      </c>
      <c r="AG46" s="11">
        <f>18200*20</f>
        <v>364000</v>
      </c>
      <c r="AH46" s="11"/>
      <c r="AI46" s="11"/>
      <c r="AJ46" s="9">
        <v>43276</v>
      </c>
      <c r="AK46" s="11">
        <f>31018*20</f>
        <v>620360</v>
      </c>
      <c r="AL46" s="11"/>
      <c r="AM46" s="11"/>
      <c r="AN46" s="9">
        <v>43278</v>
      </c>
      <c r="AO46" s="11">
        <f>43686*20</f>
        <v>873720</v>
      </c>
      <c r="AP46" s="11"/>
      <c r="AQ46" s="11"/>
      <c r="AR46" s="9">
        <v>43280</v>
      </c>
      <c r="AS46" s="11">
        <f>54730*20</f>
        <v>1094600</v>
      </c>
      <c r="AT46" s="11"/>
      <c r="AU46" s="11"/>
      <c r="AV46" s="9">
        <v>43282</v>
      </c>
      <c r="AW46" s="11">
        <f>65413*20</f>
        <v>1308260</v>
      </c>
      <c r="AX46" s="11"/>
      <c r="AY46" s="11"/>
      <c r="AZ46" s="9">
        <v>43284</v>
      </c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</row>
    <row r="47" spans="1:104" s="22" customFormat="1" x14ac:dyDescent="0.2">
      <c r="A47" s="22" t="s">
        <v>93</v>
      </c>
      <c r="B47" s="13" t="s">
        <v>76</v>
      </c>
      <c r="C47" s="13">
        <v>100</v>
      </c>
      <c r="D47" s="13">
        <v>28</v>
      </c>
      <c r="E47" s="14">
        <f>([1]innoculation!$D$15*1.4)/1000</f>
        <v>1313.9</v>
      </c>
      <c r="F47" s="15">
        <f>AVERAGE(E47:E55)</f>
        <v>1313.8999999999999</v>
      </c>
      <c r="G47" s="13">
        <f>STDEV(E47:E55)</f>
        <v>2.4116620165382783E-13</v>
      </c>
      <c r="H47" s="16">
        <v>43262</v>
      </c>
      <c r="I47" s="13">
        <v>2546</v>
      </c>
      <c r="J47" s="13">
        <f>AVERAGE(I47:I55)</f>
        <v>2234.4444444444443</v>
      </c>
      <c r="K47" s="13">
        <f>STDEV(I47:I55)</f>
        <v>238.67975988294017</v>
      </c>
      <c r="L47" s="16">
        <v>43264</v>
      </c>
      <c r="M47" s="13">
        <v>3766</v>
      </c>
      <c r="N47" s="13">
        <f>AVERAGE(M47:M55)</f>
        <v>3547</v>
      </c>
      <c r="O47" s="13">
        <f>STDEV(M47:M55)</f>
        <v>205.3643104339213</v>
      </c>
      <c r="P47" s="16">
        <v>43266</v>
      </c>
      <c r="Q47" s="13">
        <v>4231</v>
      </c>
      <c r="R47" s="13">
        <f>AVERAGE(Q47:Q55)</f>
        <v>4408.7777777777774</v>
      </c>
      <c r="S47" s="13">
        <f>STDEV(Q47:Q55)</f>
        <v>167.99983465600329</v>
      </c>
      <c r="T47" s="16">
        <v>43268</v>
      </c>
      <c r="U47" s="13">
        <v>22475</v>
      </c>
      <c r="V47" s="13">
        <f>AVERAGE(U47:U55)</f>
        <v>22383.777777777777</v>
      </c>
      <c r="W47" s="13">
        <f>STDEV(U47:U55)</f>
        <v>922.83500391155758</v>
      </c>
      <c r="X47" s="16">
        <v>43270</v>
      </c>
      <c r="Y47" s="13">
        <v>60260</v>
      </c>
      <c r="Z47" s="13">
        <f>AVERAGE(Y47:Y55)</f>
        <v>60448.111111111109</v>
      </c>
      <c r="AA47" s="13">
        <f>STDEV(Y47:Y55)</f>
        <v>1315.2325311940515</v>
      </c>
      <c r="AB47" s="16">
        <v>43272</v>
      </c>
      <c r="AC47" s="13">
        <f>8703*20</f>
        <v>174060</v>
      </c>
      <c r="AD47" s="13">
        <f>AVERAGE(AC47:AC55)</f>
        <v>171935.55555555556</v>
      </c>
      <c r="AE47" s="13">
        <f>STDEV(AC47:AC55)</f>
        <v>7165.1851181792772</v>
      </c>
      <c r="AF47" s="16">
        <v>43274</v>
      </c>
      <c r="AG47" s="13">
        <f>18728*20</f>
        <v>374560</v>
      </c>
      <c r="AH47" s="13">
        <f>AVERAGE(AG47:AG55)</f>
        <v>366686.66666666669</v>
      </c>
      <c r="AI47" s="13">
        <f>STDEV(AG47:AG55)</f>
        <v>6114.8425981377477</v>
      </c>
      <c r="AJ47" s="16">
        <v>43276</v>
      </c>
      <c r="AK47" s="13">
        <f>31583*20</f>
        <v>631660</v>
      </c>
      <c r="AL47" s="13">
        <f>AVERAGE(AK47:AK55)</f>
        <v>634320</v>
      </c>
      <c r="AM47" s="13">
        <f>STDEV(AK47:AK55)</f>
        <v>14016.643678142067</v>
      </c>
      <c r="AN47" s="16">
        <v>43278</v>
      </c>
      <c r="AO47" s="13">
        <f>48807*20</f>
        <v>976140</v>
      </c>
      <c r="AP47" s="13">
        <f>AVERAGE(AO47:AO55)</f>
        <v>953248.88888888888</v>
      </c>
      <c r="AQ47" s="13">
        <f>STDEV(AO47:AO55)</f>
        <v>17261.886082091696</v>
      </c>
      <c r="AR47" s="16">
        <v>43280</v>
      </c>
      <c r="AS47" s="13">
        <f>56753*20</f>
        <v>1135060</v>
      </c>
      <c r="AT47" s="13">
        <f>AVERAGE(AS47:AS55)</f>
        <v>1130726.6666666667</v>
      </c>
      <c r="AU47" s="13">
        <f>STDEV(AS47:AS55)</f>
        <v>8012.7772962937142</v>
      </c>
      <c r="AV47" s="16">
        <v>43282</v>
      </c>
      <c r="AW47" s="13">
        <f>63667*20</f>
        <v>1273340</v>
      </c>
      <c r="AX47" s="13">
        <f>AVERAGE(AW47:AW55)</f>
        <v>1252448.888888889</v>
      </c>
      <c r="AY47" s="13">
        <f>STDEV(AW47:AW55)</f>
        <v>24358.772775144302</v>
      </c>
      <c r="AZ47" s="16">
        <v>43284</v>
      </c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</row>
    <row r="48" spans="1:104" s="22" customFormat="1" x14ac:dyDescent="0.2">
      <c r="A48" s="22" t="s">
        <v>93</v>
      </c>
      <c r="B48" s="13" t="s">
        <v>76</v>
      </c>
      <c r="C48" s="13">
        <v>100</v>
      </c>
      <c r="D48" s="13">
        <v>28</v>
      </c>
      <c r="E48" s="14">
        <f>([1]innoculation!$D$15*1.4)/1000</f>
        <v>1313.9</v>
      </c>
      <c r="F48" s="13"/>
      <c r="G48" s="13"/>
      <c r="H48" s="16">
        <v>43262</v>
      </c>
      <c r="I48" s="13">
        <v>2546</v>
      </c>
      <c r="J48" s="13"/>
      <c r="K48" s="13"/>
      <c r="L48" s="16">
        <v>43264</v>
      </c>
      <c r="M48" s="13">
        <v>3721</v>
      </c>
      <c r="N48" s="13"/>
      <c r="O48" s="13"/>
      <c r="P48" s="16">
        <v>43266</v>
      </c>
      <c r="Q48" s="13">
        <v>4383</v>
      </c>
      <c r="R48" s="13"/>
      <c r="S48" s="13"/>
      <c r="T48" s="16">
        <v>43268</v>
      </c>
      <c r="U48" s="13">
        <v>22578</v>
      </c>
      <c r="V48" s="13"/>
      <c r="W48" s="13"/>
      <c r="X48" s="16">
        <v>43270</v>
      </c>
      <c r="Y48" s="13">
        <v>62309</v>
      </c>
      <c r="Z48" s="13"/>
      <c r="AA48" s="13"/>
      <c r="AB48" s="16">
        <v>43272</v>
      </c>
      <c r="AC48" s="13">
        <f>8560*20</f>
        <v>171200</v>
      </c>
      <c r="AD48" s="13"/>
      <c r="AE48" s="13"/>
      <c r="AF48" s="16">
        <v>43274</v>
      </c>
      <c r="AG48" s="13">
        <f>17997*20</f>
        <v>359940</v>
      </c>
      <c r="AH48" s="13"/>
      <c r="AI48" s="13"/>
      <c r="AJ48" s="16">
        <v>43276</v>
      </c>
      <c r="AK48" s="13">
        <f>31064*20</f>
        <v>621280</v>
      </c>
      <c r="AL48" s="13"/>
      <c r="AM48" s="13"/>
      <c r="AN48" s="16">
        <v>43278</v>
      </c>
      <c r="AO48" s="13">
        <f>48575*20</f>
        <v>971500</v>
      </c>
      <c r="AP48" s="13"/>
      <c r="AQ48" s="13"/>
      <c r="AR48" s="16">
        <v>43280</v>
      </c>
      <c r="AS48" s="13">
        <f>56482*20</f>
        <v>1129640</v>
      </c>
      <c r="AT48" s="13"/>
      <c r="AU48" s="13"/>
      <c r="AV48" s="16">
        <v>43282</v>
      </c>
      <c r="AW48" s="13">
        <f>63409*20</f>
        <v>1268180</v>
      </c>
      <c r="AX48" s="13"/>
      <c r="AY48" s="13"/>
      <c r="AZ48" s="16">
        <v>43284</v>
      </c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</row>
    <row r="49" spans="1:104" s="22" customFormat="1" x14ac:dyDescent="0.2">
      <c r="A49" s="22" t="s">
        <v>93</v>
      </c>
      <c r="B49" s="13" t="s">
        <v>76</v>
      </c>
      <c r="C49" s="13">
        <v>100</v>
      </c>
      <c r="D49" s="13">
        <v>28</v>
      </c>
      <c r="E49" s="14">
        <f>([1]innoculation!$D$15*1.4)/1000</f>
        <v>1313.9</v>
      </c>
      <c r="F49" s="13"/>
      <c r="G49" s="13"/>
      <c r="H49" s="16">
        <v>43262</v>
      </c>
      <c r="I49" s="13">
        <v>2524</v>
      </c>
      <c r="J49" s="13"/>
      <c r="K49" s="13"/>
      <c r="L49" s="16">
        <v>43264</v>
      </c>
      <c r="M49" s="13">
        <v>3891</v>
      </c>
      <c r="N49" s="13"/>
      <c r="O49" s="13"/>
      <c r="P49" s="16">
        <v>43266</v>
      </c>
      <c r="Q49" s="13">
        <v>4289</v>
      </c>
      <c r="R49" s="13"/>
      <c r="S49" s="13"/>
      <c r="T49" s="16">
        <v>43268</v>
      </c>
      <c r="U49" s="13">
        <v>22169</v>
      </c>
      <c r="V49" s="13"/>
      <c r="W49" s="13"/>
      <c r="X49" s="16">
        <v>43270</v>
      </c>
      <c r="Y49" s="13">
        <v>61565</v>
      </c>
      <c r="Z49" s="13"/>
      <c r="AA49" s="13"/>
      <c r="AB49" s="16">
        <v>43272</v>
      </c>
      <c r="AC49" s="13">
        <f>8570*20</f>
        <v>171400</v>
      </c>
      <c r="AD49" s="13"/>
      <c r="AE49" s="13"/>
      <c r="AF49" s="16">
        <v>43274</v>
      </c>
      <c r="AG49" s="13">
        <f>17990*20</f>
        <v>359800</v>
      </c>
      <c r="AH49" s="13"/>
      <c r="AI49" s="13"/>
      <c r="AJ49" s="16">
        <v>43276</v>
      </c>
      <c r="AK49" s="13">
        <f>30845*20</f>
        <v>616900</v>
      </c>
      <c r="AL49" s="13"/>
      <c r="AM49" s="13"/>
      <c r="AN49" s="16">
        <v>43278</v>
      </c>
      <c r="AO49" s="13">
        <f>48854*20</f>
        <v>977080</v>
      </c>
      <c r="AP49" s="13"/>
      <c r="AQ49" s="13"/>
      <c r="AR49" s="16">
        <v>43280</v>
      </c>
      <c r="AS49" s="13">
        <f>56575*20</f>
        <v>1131500</v>
      </c>
      <c r="AT49" s="13"/>
      <c r="AU49" s="13"/>
      <c r="AV49" s="16">
        <v>43282</v>
      </c>
      <c r="AW49" s="13">
        <f>62720*20</f>
        <v>1254400</v>
      </c>
      <c r="AX49" s="13"/>
      <c r="AY49" s="13"/>
      <c r="AZ49" s="16">
        <v>43284</v>
      </c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</row>
    <row r="50" spans="1:104" s="22" customFormat="1" x14ac:dyDescent="0.2">
      <c r="A50" s="22" t="s">
        <v>94</v>
      </c>
      <c r="B50" s="13" t="s">
        <v>76</v>
      </c>
      <c r="C50" s="13">
        <v>100</v>
      </c>
      <c r="D50" s="13">
        <v>28</v>
      </c>
      <c r="E50" s="14">
        <f>([1]innoculation!$D$15*1.4)/1000</f>
        <v>1313.9</v>
      </c>
      <c r="F50" s="13"/>
      <c r="G50" s="13"/>
      <c r="H50" s="16">
        <v>43262</v>
      </c>
      <c r="I50" s="13">
        <v>2140</v>
      </c>
      <c r="J50" s="13"/>
      <c r="K50" s="13"/>
      <c r="L50" s="16">
        <v>43264</v>
      </c>
      <c r="M50" s="13">
        <v>3444</v>
      </c>
      <c r="N50" s="13"/>
      <c r="O50" s="13"/>
      <c r="P50" s="16">
        <v>43266</v>
      </c>
      <c r="Q50" s="13">
        <v>4451</v>
      </c>
      <c r="R50" s="13"/>
      <c r="S50" s="13"/>
      <c r="T50" s="16">
        <v>43268</v>
      </c>
      <c r="U50" s="13">
        <v>23004</v>
      </c>
      <c r="V50" s="13"/>
      <c r="W50" s="13"/>
      <c r="X50" s="16">
        <v>43270</v>
      </c>
      <c r="Y50" s="13">
        <v>57953</v>
      </c>
      <c r="Z50" s="13"/>
      <c r="AA50" s="13"/>
      <c r="AB50" s="16">
        <v>43272</v>
      </c>
      <c r="AC50" s="13">
        <f>8210*20</f>
        <v>164200</v>
      </c>
      <c r="AD50" s="13"/>
      <c r="AE50" s="13"/>
      <c r="AF50" s="16">
        <v>43274</v>
      </c>
      <c r="AG50" s="13">
        <f>18828*20</f>
        <v>376560</v>
      </c>
      <c r="AH50" s="13"/>
      <c r="AI50" s="13"/>
      <c r="AJ50" s="16">
        <v>43276</v>
      </c>
      <c r="AK50" s="13">
        <f>31517*20</f>
        <v>630340</v>
      </c>
      <c r="AL50" s="13"/>
      <c r="AM50" s="13"/>
      <c r="AN50" s="16">
        <v>43278</v>
      </c>
      <c r="AO50" s="13">
        <f>46831*20</f>
        <v>936620</v>
      </c>
      <c r="AP50" s="13"/>
      <c r="AQ50" s="13"/>
      <c r="AR50" s="16">
        <v>43280</v>
      </c>
      <c r="AS50" s="13">
        <f>56132*20</f>
        <v>1122640</v>
      </c>
      <c r="AT50" s="13"/>
      <c r="AU50" s="13"/>
      <c r="AV50" s="16">
        <v>43282</v>
      </c>
      <c r="AW50" s="13">
        <f>61063*20</f>
        <v>1221260</v>
      </c>
      <c r="AX50" s="13"/>
      <c r="AY50" s="13"/>
      <c r="AZ50" s="16">
        <v>43284</v>
      </c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</row>
    <row r="51" spans="1:104" s="22" customFormat="1" x14ac:dyDescent="0.2">
      <c r="A51" s="22" t="s">
        <v>94</v>
      </c>
      <c r="B51" s="13" t="s">
        <v>76</v>
      </c>
      <c r="C51" s="13">
        <v>100</v>
      </c>
      <c r="D51" s="13">
        <v>28</v>
      </c>
      <c r="E51" s="14">
        <f>([1]innoculation!$D$15*1.4)/1000</f>
        <v>1313.9</v>
      </c>
      <c r="F51" s="13"/>
      <c r="G51" s="13"/>
      <c r="H51" s="16">
        <v>43262</v>
      </c>
      <c r="I51" s="13">
        <v>1983</v>
      </c>
      <c r="J51" s="13"/>
      <c r="K51" s="13"/>
      <c r="L51" s="16">
        <v>43264</v>
      </c>
      <c r="M51" s="13">
        <v>3373</v>
      </c>
      <c r="N51" s="13"/>
      <c r="O51" s="13"/>
      <c r="P51" s="16">
        <v>43266</v>
      </c>
      <c r="Q51" s="13">
        <v>4418</v>
      </c>
      <c r="R51" s="13"/>
      <c r="S51" s="13"/>
      <c r="T51" s="16">
        <v>43268</v>
      </c>
      <c r="U51" s="13">
        <v>23912</v>
      </c>
      <c r="V51" s="13"/>
      <c r="W51" s="13"/>
      <c r="X51" s="16">
        <v>43270</v>
      </c>
      <c r="Y51" s="13">
        <v>59526</v>
      </c>
      <c r="Z51" s="13"/>
      <c r="AA51" s="13"/>
      <c r="AB51" s="16">
        <v>43272</v>
      </c>
      <c r="AC51" s="13">
        <f>8234*20</f>
        <v>164680</v>
      </c>
      <c r="AD51" s="13"/>
      <c r="AE51" s="13"/>
      <c r="AF51" s="16">
        <v>43274</v>
      </c>
      <c r="AG51" s="13">
        <f>18411*20</f>
        <v>368220</v>
      </c>
      <c r="AH51" s="13"/>
      <c r="AI51" s="13"/>
      <c r="AJ51" s="16">
        <v>43276</v>
      </c>
      <c r="AK51" s="13">
        <f>31056*20</f>
        <v>621120</v>
      </c>
      <c r="AL51" s="13"/>
      <c r="AM51" s="13"/>
      <c r="AN51" s="16">
        <v>43278</v>
      </c>
      <c r="AO51" s="13">
        <f>46761*20</f>
        <v>935220</v>
      </c>
      <c r="AP51" s="13"/>
      <c r="AQ51" s="13"/>
      <c r="AR51" s="16">
        <v>43280</v>
      </c>
      <c r="AS51" s="13">
        <f>55860*20</f>
        <v>1117200</v>
      </c>
      <c r="AT51" s="13"/>
      <c r="AU51" s="13"/>
      <c r="AV51" s="16">
        <v>43282</v>
      </c>
      <c r="AW51" s="13">
        <f>60531*20</f>
        <v>1210620</v>
      </c>
      <c r="AX51" s="13"/>
      <c r="AY51" s="13"/>
      <c r="AZ51" s="16">
        <v>43284</v>
      </c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</row>
    <row r="52" spans="1:104" s="22" customFormat="1" x14ac:dyDescent="0.2">
      <c r="A52" s="22" t="s">
        <v>94</v>
      </c>
      <c r="B52" s="13" t="s">
        <v>76</v>
      </c>
      <c r="C52" s="13">
        <v>100</v>
      </c>
      <c r="D52" s="13">
        <v>28</v>
      </c>
      <c r="E52" s="14">
        <f>([1]innoculation!$D$15*1.4)/1000</f>
        <v>1313.9</v>
      </c>
      <c r="F52" s="13"/>
      <c r="G52" s="13"/>
      <c r="H52" s="16">
        <v>43262</v>
      </c>
      <c r="I52" s="13">
        <v>1958</v>
      </c>
      <c r="J52" s="13"/>
      <c r="K52" s="13"/>
      <c r="L52" s="16">
        <v>43264</v>
      </c>
      <c r="M52" s="13">
        <v>3250</v>
      </c>
      <c r="N52" s="13"/>
      <c r="O52" s="13"/>
      <c r="P52" s="16">
        <v>43266</v>
      </c>
      <c r="Q52" s="13">
        <v>4438</v>
      </c>
      <c r="R52" s="13"/>
      <c r="S52" s="13"/>
      <c r="T52" s="16">
        <v>43268</v>
      </c>
      <c r="U52" s="13">
        <v>22966</v>
      </c>
      <c r="V52" s="13"/>
      <c r="W52" s="13"/>
      <c r="X52" s="16">
        <v>43270</v>
      </c>
      <c r="Y52" s="13">
        <v>59504</v>
      </c>
      <c r="Z52" s="13"/>
      <c r="AA52" s="13"/>
      <c r="AB52" s="16">
        <v>43272</v>
      </c>
      <c r="AC52" s="13">
        <f>8195*20</f>
        <v>163900</v>
      </c>
      <c r="AD52" s="13"/>
      <c r="AE52" s="13"/>
      <c r="AF52" s="16">
        <v>43274</v>
      </c>
      <c r="AG52" s="13">
        <f>18420*20</f>
        <v>368400</v>
      </c>
      <c r="AH52" s="13"/>
      <c r="AI52" s="13"/>
      <c r="AJ52" s="16">
        <v>43276</v>
      </c>
      <c r="AK52" s="13">
        <f>31639*20</f>
        <v>632780</v>
      </c>
      <c r="AL52" s="13"/>
      <c r="AM52" s="13"/>
      <c r="AN52" s="16">
        <v>43278</v>
      </c>
      <c r="AO52" s="13">
        <f>47237*20</f>
        <v>944740</v>
      </c>
      <c r="AP52" s="13"/>
      <c r="AQ52" s="13"/>
      <c r="AR52" s="16">
        <v>43280</v>
      </c>
      <c r="AS52" s="13">
        <f>56202*20</f>
        <v>1124040</v>
      </c>
      <c r="AT52" s="13"/>
      <c r="AU52" s="13"/>
      <c r="AV52" s="16">
        <v>43282</v>
      </c>
      <c r="AW52" s="13">
        <f>61677*20</f>
        <v>1233540</v>
      </c>
      <c r="AX52" s="13"/>
      <c r="AY52" s="13"/>
      <c r="AZ52" s="16">
        <v>43284</v>
      </c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</row>
    <row r="53" spans="1:104" s="22" customFormat="1" x14ac:dyDescent="0.2">
      <c r="A53" s="22" t="s">
        <v>95</v>
      </c>
      <c r="B53" s="13" t="s">
        <v>76</v>
      </c>
      <c r="C53" s="13">
        <v>100</v>
      </c>
      <c r="D53" s="13">
        <v>28</v>
      </c>
      <c r="E53" s="14">
        <f>([1]innoculation!$D$15*1.4)/1000</f>
        <v>1313.9</v>
      </c>
      <c r="F53" s="13"/>
      <c r="G53" s="13"/>
      <c r="H53" s="16">
        <v>43262</v>
      </c>
      <c r="I53" s="13">
        <v>2138</v>
      </c>
      <c r="J53" s="13"/>
      <c r="K53" s="13"/>
      <c r="L53" s="16">
        <v>43264</v>
      </c>
      <c r="M53" s="13">
        <v>3512</v>
      </c>
      <c r="N53" s="13"/>
      <c r="O53" s="13"/>
      <c r="P53" s="16">
        <v>43266</v>
      </c>
      <c r="Q53" s="13">
        <v>4813</v>
      </c>
      <c r="R53" s="13"/>
      <c r="S53" s="13"/>
      <c r="T53" s="16">
        <v>43268</v>
      </c>
      <c r="U53" s="13">
        <v>22243</v>
      </c>
      <c r="V53" s="13"/>
      <c r="W53" s="13"/>
      <c r="X53" s="16">
        <v>43270</v>
      </c>
      <c r="Y53" s="13">
        <v>60671</v>
      </c>
      <c r="Z53" s="13"/>
      <c r="AA53" s="13"/>
      <c r="AB53" s="16">
        <v>43272</v>
      </c>
      <c r="AC53" s="13">
        <f>8760*20</f>
        <v>175200</v>
      </c>
      <c r="AD53" s="13"/>
      <c r="AE53" s="13"/>
      <c r="AF53" s="16">
        <v>43274</v>
      </c>
      <c r="AG53" s="13">
        <f>18409*20</f>
        <v>368180</v>
      </c>
      <c r="AH53" s="13"/>
      <c r="AI53" s="13"/>
      <c r="AJ53" s="16">
        <v>43276</v>
      </c>
      <c r="AK53" s="13">
        <f>32512*20</f>
        <v>650240</v>
      </c>
      <c r="AL53" s="13"/>
      <c r="AM53" s="13"/>
      <c r="AN53" s="16">
        <v>43278</v>
      </c>
      <c r="AO53" s="13">
        <f>47093*20</f>
        <v>941860</v>
      </c>
      <c r="AP53" s="13"/>
      <c r="AQ53" s="13"/>
      <c r="AR53" s="16">
        <v>43280</v>
      </c>
      <c r="AS53" s="13">
        <f>56955*20</f>
        <v>1139100</v>
      </c>
      <c r="AT53" s="13"/>
      <c r="AU53" s="13"/>
      <c r="AV53" s="16">
        <v>43282</v>
      </c>
      <c r="AW53" s="13">
        <f>63724*20</f>
        <v>1274480</v>
      </c>
      <c r="AX53" s="13"/>
      <c r="AY53" s="13"/>
      <c r="AZ53" s="16">
        <v>43284</v>
      </c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</row>
    <row r="54" spans="1:104" s="22" customFormat="1" x14ac:dyDescent="0.2">
      <c r="A54" s="22" t="s">
        <v>95</v>
      </c>
      <c r="B54" s="13" t="s">
        <v>76</v>
      </c>
      <c r="C54" s="13">
        <v>100</v>
      </c>
      <c r="D54" s="13">
        <v>28</v>
      </c>
      <c r="E54" s="14">
        <f>([1]innoculation!$D$15*1.4)/1000</f>
        <v>1313.9</v>
      </c>
      <c r="F54" s="13"/>
      <c r="G54" s="13"/>
      <c r="H54" s="16">
        <v>43262</v>
      </c>
      <c r="I54" s="13">
        <v>2161</v>
      </c>
      <c r="J54" s="13"/>
      <c r="K54" s="13"/>
      <c r="L54" s="16">
        <v>43264</v>
      </c>
      <c r="M54" s="13">
        <v>3517</v>
      </c>
      <c r="N54" s="13"/>
      <c r="O54" s="13"/>
      <c r="P54" s="16">
        <v>43266</v>
      </c>
      <c r="Q54" s="13">
        <v>4326</v>
      </c>
      <c r="R54" s="13"/>
      <c r="S54" s="13"/>
      <c r="T54" s="16">
        <v>43268</v>
      </c>
      <c r="U54" s="13">
        <v>21280</v>
      </c>
      <c r="V54" s="13"/>
      <c r="W54" s="13"/>
      <c r="X54" s="16">
        <v>43270</v>
      </c>
      <c r="Y54" s="13">
        <v>60834</v>
      </c>
      <c r="Z54" s="13"/>
      <c r="AA54" s="13"/>
      <c r="AB54" s="16">
        <v>43272</v>
      </c>
      <c r="AC54" s="13">
        <f>8849*20</f>
        <v>176980</v>
      </c>
      <c r="AD54" s="13"/>
      <c r="AE54" s="13"/>
      <c r="AF54" s="16">
        <v>43274</v>
      </c>
      <c r="AG54" s="13">
        <f>18116*20</f>
        <v>362320</v>
      </c>
      <c r="AH54" s="13"/>
      <c r="AI54" s="13"/>
      <c r="AJ54" s="16">
        <v>43276</v>
      </c>
      <c r="AK54" s="13">
        <f>32627*20</f>
        <v>652540</v>
      </c>
      <c r="AL54" s="13"/>
      <c r="AM54" s="13"/>
      <c r="AN54" s="16">
        <v>43278</v>
      </c>
      <c r="AO54" s="13">
        <f>47047*20</f>
        <v>940940</v>
      </c>
      <c r="AP54" s="13"/>
      <c r="AQ54" s="13"/>
      <c r="AR54" s="16">
        <v>43280</v>
      </c>
      <c r="AS54" s="13">
        <f>56999*20</f>
        <v>1139980</v>
      </c>
      <c r="AT54" s="13"/>
      <c r="AU54" s="13"/>
      <c r="AV54" s="16">
        <v>43282</v>
      </c>
      <c r="AW54" s="13">
        <f>63342*20</f>
        <v>1266840</v>
      </c>
      <c r="AX54" s="13"/>
      <c r="AY54" s="13"/>
      <c r="AZ54" s="16">
        <v>43284</v>
      </c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</row>
    <row r="55" spans="1:104" s="22" customFormat="1" x14ac:dyDescent="0.2">
      <c r="A55" s="22" t="s">
        <v>95</v>
      </c>
      <c r="B55" s="13" t="s">
        <v>76</v>
      </c>
      <c r="C55" s="13">
        <v>100</v>
      </c>
      <c r="D55" s="13">
        <v>28</v>
      </c>
      <c r="E55" s="14">
        <f>([1]innoculation!$D$15*1.4)/1000</f>
        <v>1313.9</v>
      </c>
      <c r="F55" s="13"/>
      <c r="G55" s="13"/>
      <c r="H55" s="16">
        <v>43262</v>
      </c>
      <c r="I55" s="13">
        <v>2114</v>
      </c>
      <c r="J55" s="13"/>
      <c r="K55" s="13"/>
      <c r="L55" s="16">
        <v>43264</v>
      </c>
      <c r="M55" s="13">
        <v>3449</v>
      </c>
      <c r="N55" s="13"/>
      <c r="O55" s="13"/>
      <c r="P55" s="16">
        <v>43266</v>
      </c>
      <c r="Q55" s="13">
        <v>4330</v>
      </c>
      <c r="R55" s="13"/>
      <c r="S55" s="13"/>
      <c r="T55" s="16">
        <v>43268</v>
      </c>
      <c r="U55" s="13">
        <v>20827</v>
      </c>
      <c r="V55" s="13"/>
      <c r="W55" s="13"/>
      <c r="X55" s="16">
        <v>43270</v>
      </c>
      <c r="Y55" s="13">
        <v>61411</v>
      </c>
      <c r="Z55" s="13"/>
      <c r="AA55" s="13"/>
      <c r="AB55" s="16">
        <v>43272</v>
      </c>
      <c r="AC55" s="13">
        <f>9290*20</f>
        <v>185800</v>
      </c>
      <c r="AD55" s="13"/>
      <c r="AE55" s="13"/>
      <c r="AF55" s="16">
        <v>43274</v>
      </c>
      <c r="AG55" s="13">
        <f>18110*20</f>
        <v>362200</v>
      </c>
      <c r="AH55" s="13"/>
      <c r="AI55" s="13"/>
      <c r="AJ55" s="16">
        <v>43276</v>
      </c>
      <c r="AK55" s="13">
        <f>32601*20</f>
        <v>652020</v>
      </c>
      <c r="AL55" s="13"/>
      <c r="AM55" s="13"/>
      <c r="AN55" s="16">
        <v>43278</v>
      </c>
      <c r="AO55" s="13">
        <f>47757*20</f>
        <v>955140</v>
      </c>
      <c r="AP55" s="13"/>
      <c r="AQ55" s="13"/>
      <c r="AR55" s="16">
        <v>43280</v>
      </c>
      <c r="AS55" s="13">
        <f>56869*20</f>
        <v>1137380</v>
      </c>
      <c r="AT55" s="13"/>
      <c r="AU55" s="13"/>
      <c r="AV55" s="16">
        <v>43282</v>
      </c>
      <c r="AW55" s="13">
        <f>63469*20</f>
        <v>1269380</v>
      </c>
      <c r="AX55" s="13"/>
      <c r="AY55" s="13"/>
      <c r="AZ55" s="16">
        <v>43284</v>
      </c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</row>
    <row r="56" spans="1:104" s="22" customFormat="1" x14ac:dyDescent="0.2">
      <c r="A56" s="22" t="s">
        <v>96</v>
      </c>
      <c r="B56" s="13" t="s">
        <v>80</v>
      </c>
      <c r="C56" s="13">
        <v>50</v>
      </c>
      <c r="D56" s="13">
        <v>28</v>
      </c>
      <c r="E56" s="14">
        <f>([1]innoculation!$D$17*2)/1000</f>
        <v>1124.94</v>
      </c>
      <c r="F56" s="15">
        <f>AVERAGE(E56:E64)</f>
        <v>1124.9400000000003</v>
      </c>
      <c r="G56" s="13">
        <f>STDEV(E56:E64)</f>
        <v>2.4116620165382783E-13</v>
      </c>
      <c r="H56" s="16">
        <v>43262</v>
      </c>
      <c r="I56" s="13">
        <v>1586</v>
      </c>
      <c r="J56" s="13">
        <f>AVERAGE(I56:I64)</f>
        <v>1714.2222222222222</v>
      </c>
      <c r="K56" s="13">
        <f>STDEV(I56:I64)</f>
        <v>146.26754405692483</v>
      </c>
      <c r="L56" s="16">
        <v>43264</v>
      </c>
      <c r="M56" s="13">
        <v>3460</v>
      </c>
      <c r="N56" s="13">
        <f>AVERAGE(M56:M64)</f>
        <v>4313</v>
      </c>
      <c r="O56" s="13">
        <f>STDEV(M56:M64)</f>
        <v>1057.7076628256032</v>
      </c>
      <c r="P56" s="16">
        <v>43266</v>
      </c>
      <c r="Q56" s="13">
        <v>2900</v>
      </c>
      <c r="R56" s="13">
        <f>AVERAGE(Q56:Q64)</f>
        <v>3804.4444444444443</v>
      </c>
      <c r="S56" s="13">
        <f>STDEV(Q56:Q64)</f>
        <v>903.63033247992405</v>
      </c>
      <c r="T56" s="16">
        <v>43268</v>
      </c>
      <c r="U56" s="13">
        <v>29187</v>
      </c>
      <c r="V56" s="13">
        <f>AVERAGE(U56:U64)</f>
        <v>28156</v>
      </c>
      <c r="W56" s="13">
        <f>STDEV(U56:U64)</f>
        <v>1946.6749215007626</v>
      </c>
      <c r="X56" s="16">
        <v>43270</v>
      </c>
      <c r="Y56" s="13">
        <v>79314</v>
      </c>
      <c r="Z56" s="13">
        <f>AVERAGE(Y56:Y64)</f>
        <v>84005.333333333328</v>
      </c>
      <c r="AA56" s="13">
        <f>STDEV(Y56:Y64)</f>
        <v>5729.5621996798318</v>
      </c>
      <c r="AB56" s="16">
        <v>43272</v>
      </c>
      <c r="AC56" s="13">
        <f>10681*20</f>
        <v>213620</v>
      </c>
      <c r="AD56" s="13">
        <f>AVERAGE(AC56:AC64)</f>
        <v>212126.66666666666</v>
      </c>
      <c r="AE56" s="13">
        <f>STDEV(AC56:AC64)</f>
        <v>8435.4193730958032</v>
      </c>
      <c r="AF56" s="16">
        <v>43274</v>
      </c>
      <c r="AG56" s="13">
        <f>18669*20</f>
        <v>373380</v>
      </c>
      <c r="AH56" s="13">
        <f>AVERAGE(AG56:AG64)</f>
        <v>402495.55555555556</v>
      </c>
      <c r="AI56" s="13">
        <f>STDEV(AG56:AG64)</f>
        <v>25544.90512367932</v>
      </c>
      <c r="AJ56" s="16">
        <v>43276</v>
      </c>
      <c r="AK56" s="13">
        <f>23697*20</f>
        <v>473940</v>
      </c>
      <c r="AL56" s="13">
        <f>AVERAGE(AK56:AK64)</f>
        <v>541511.11111111112</v>
      </c>
      <c r="AM56" s="13">
        <f>STDEV(AK56:AK64)</f>
        <v>56381.328568162629</v>
      </c>
      <c r="AN56" s="16">
        <v>43278</v>
      </c>
      <c r="AO56" s="13">
        <f>21399*20</f>
        <v>427980</v>
      </c>
      <c r="AP56" s="13">
        <f>AVERAGE(AO56:AO64)</f>
        <v>504611.11111111112</v>
      </c>
      <c r="AQ56" s="13">
        <f>STDEV(AO56:AO64)</f>
        <v>73124.962298185725</v>
      </c>
      <c r="AR56" s="16">
        <v>43280</v>
      </c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</row>
    <row r="57" spans="1:104" s="22" customFormat="1" x14ac:dyDescent="0.2">
      <c r="A57" s="22" t="s">
        <v>96</v>
      </c>
      <c r="B57" s="13" t="s">
        <v>80</v>
      </c>
      <c r="C57" s="13">
        <v>50</v>
      </c>
      <c r="D57" s="13">
        <v>28</v>
      </c>
      <c r="E57" s="14">
        <f>([1]innoculation!$D$17*2)/1000</f>
        <v>1124.94</v>
      </c>
      <c r="F57" s="13"/>
      <c r="G57" s="13"/>
      <c r="H57" s="16">
        <v>43262</v>
      </c>
      <c r="I57" s="13">
        <v>1558</v>
      </c>
      <c r="J57" s="13"/>
      <c r="K57" s="13"/>
      <c r="L57" s="16">
        <v>43264</v>
      </c>
      <c r="M57" s="13">
        <v>3461</v>
      </c>
      <c r="N57" s="13"/>
      <c r="O57" s="13"/>
      <c r="P57" s="16">
        <v>43266</v>
      </c>
      <c r="Q57" s="13">
        <v>2564</v>
      </c>
      <c r="R57" s="13"/>
      <c r="S57" s="13"/>
      <c r="T57" s="16">
        <v>43268</v>
      </c>
      <c r="U57" s="13">
        <v>29014</v>
      </c>
      <c r="V57" s="13"/>
      <c r="W57" s="13"/>
      <c r="X57" s="16">
        <v>43270</v>
      </c>
      <c r="Y57" s="13">
        <v>75558</v>
      </c>
      <c r="Z57" s="13"/>
      <c r="AA57" s="13"/>
      <c r="AB57" s="16">
        <v>43272</v>
      </c>
      <c r="AC57" s="13">
        <f>10317*20</f>
        <v>206340</v>
      </c>
      <c r="AD57" s="13"/>
      <c r="AE57" s="13"/>
      <c r="AF57" s="16">
        <v>43274</v>
      </c>
      <c r="AG57" s="13">
        <f>18451*20</f>
        <v>369020</v>
      </c>
      <c r="AH57" s="13"/>
      <c r="AI57" s="13"/>
      <c r="AJ57" s="16">
        <v>43276</v>
      </c>
      <c r="AK57" s="13">
        <f>23360*20</f>
        <v>467200</v>
      </c>
      <c r="AL57" s="13"/>
      <c r="AM57" s="13"/>
      <c r="AN57" s="16">
        <v>43278</v>
      </c>
      <c r="AO57" s="13">
        <f>20925*20</f>
        <v>418500</v>
      </c>
      <c r="AP57" s="13"/>
      <c r="AQ57" s="13"/>
      <c r="AR57" s="16">
        <v>43280</v>
      </c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</row>
    <row r="58" spans="1:104" s="22" customFormat="1" x14ac:dyDescent="0.2">
      <c r="A58" s="22" t="s">
        <v>96</v>
      </c>
      <c r="B58" s="13" t="s">
        <v>80</v>
      </c>
      <c r="C58" s="13">
        <v>50</v>
      </c>
      <c r="D58" s="13">
        <v>28</v>
      </c>
      <c r="E58" s="14">
        <f>([1]innoculation!$D$17*2)/1000</f>
        <v>1124.94</v>
      </c>
      <c r="F58" s="13"/>
      <c r="G58" s="13"/>
      <c r="H58" s="16">
        <v>43262</v>
      </c>
      <c r="I58" s="13">
        <v>1542</v>
      </c>
      <c r="J58" s="13"/>
      <c r="K58" s="13"/>
      <c r="L58" s="16">
        <v>43264</v>
      </c>
      <c r="M58" s="13">
        <v>3393</v>
      </c>
      <c r="N58" s="13"/>
      <c r="O58" s="13"/>
      <c r="P58" s="16">
        <v>43266</v>
      </c>
      <c r="Q58" s="13">
        <v>2580</v>
      </c>
      <c r="R58" s="13"/>
      <c r="S58" s="13"/>
      <c r="T58" s="16">
        <v>43268</v>
      </c>
      <c r="U58" s="13">
        <v>31831</v>
      </c>
      <c r="V58" s="13"/>
      <c r="W58" s="13"/>
      <c r="X58" s="16">
        <v>43270</v>
      </c>
      <c r="Y58" s="13">
        <v>76233</v>
      </c>
      <c r="Z58" s="13"/>
      <c r="AA58" s="13"/>
      <c r="AB58" s="16">
        <v>43272</v>
      </c>
      <c r="AC58" s="13">
        <f>10404*20</f>
        <v>208080</v>
      </c>
      <c r="AD58" s="13"/>
      <c r="AE58" s="13"/>
      <c r="AF58" s="16">
        <v>43274</v>
      </c>
      <c r="AG58" s="13">
        <f>18941*20</f>
        <v>378820</v>
      </c>
      <c r="AH58" s="13"/>
      <c r="AI58" s="13"/>
      <c r="AJ58" s="16">
        <v>43276</v>
      </c>
      <c r="AK58" s="13">
        <f>23049*20</f>
        <v>460980</v>
      </c>
      <c r="AL58" s="13"/>
      <c r="AM58" s="13"/>
      <c r="AN58" s="16">
        <v>43278</v>
      </c>
      <c r="AO58" s="13">
        <f>20967*20</f>
        <v>419340</v>
      </c>
      <c r="AP58" s="13"/>
      <c r="AQ58" s="13"/>
      <c r="AR58" s="16">
        <v>43280</v>
      </c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</row>
    <row r="59" spans="1:104" s="22" customFormat="1" x14ac:dyDescent="0.2">
      <c r="A59" s="22" t="s">
        <v>97</v>
      </c>
      <c r="B59" s="13" t="s">
        <v>80</v>
      </c>
      <c r="C59" s="13">
        <v>50</v>
      </c>
      <c r="D59" s="13">
        <v>28</v>
      </c>
      <c r="E59" s="14">
        <f>([1]innoculation!$D$17*2)/1000</f>
        <v>1124.94</v>
      </c>
      <c r="F59" s="13"/>
      <c r="G59" s="13"/>
      <c r="H59" s="16">
        <v>43262</v>
      </c>
      <c r="I59" s="13">
        <v>1720</v>
      </c>
      <c r="J59" s="13"/>
      <c r="K59" s="13"/>
      <c r="L59" s="16">
        <v>43264</v>
      </c>
      <c r="M59" s="13">
        <v>5501</v>
      </c>
      <c r="N59" s="13"/>
      <c r="O59" s="13"/>
      <c r="P59" s="16">
        <v>43266</v>
      </c>
      <c r="Q59" s="13">
        <v>4501</v>
      </c>
      <c r="R59" s="13"/>
      <c r="S59" s="13"/>
      <c r="T59" s="16">
        <v>43268</v>
      </c>
      <c r="U59" s="13">
        <v>26445</v>
      </c>
      <c r="V59" s="13"/>
      <c r="W59" s="13"/>
      <c r="X59" s="16">
        <v>43270</v>
      </c>
      <c r="Y59" s="13">
        <v>85808</v>
      </c>
      <c r="Z59" s="13"/>
      <c r="AA59" s="13"/>
      <c r="AB59" s="16">
        <v>43272</v>
      </c>
      <c r="AC59" s="13">
        <f>11199*20</f>
        <v>223980</v>
      </c>
      <c r="AD59" s="13"/>
      <c r="AE59" s="13"/>
      <c r="AF59" s="16">
        <v>43274</v>
      </c>
      <c r="AG59" s="13">
        <f>20549*20</f>
        <v>410980</v>
      </c>
      <c r="AH59" s="13"/>
      <c r="AI59" s="13"/>
      <c r="AJ59" s="16">
        <v>43276</v>
      </c>
      <c r="AK59" s="13">
        <f>28876*20</f>
        <v>577520</v>
      </c>
      <c r="AL59" s="13"/>
      <c r="AM59" s="13"/>
      <c r="AN59" s="16">
        <v>43278</v>
      </c>
      <c r="AO59" s="13">
        <f>24931*20</f>
        <v>498620</v>
      </c>
      <c r="AP59" s="13"/>
      <c r="AQ59" s="13"/>
      <c r="AR59" s="16">
        <v>43280</v>
      </c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</row>
    <row r="60" spans="1:104" s="22" customFormat="1" x14ac:dyDescent="0.2">
      <c r="A60" s="22" t="s">
        <v>97</v>
      </c>
      <c r="B60" s="13" t="s">
        <v>80</v>
      </c>
      <c r="C60" s="13">
        <v>50</v>
      </c>
      <c r="D60" s="13">
        <v>28</v>
      </c>
      <c r="E60" s="14">
        <f>([1]innoculation!$D$17*2)/1000</f>
        <v>1124.94</v>
      </c>
      <c r="F60" s="13"/>
      <c r="G60" s="13"/>
      <c r="H60" s="16">
        <v>43262</v>
      </c>
      <c r="I60" s="13">
        <v>1643</v>
      </c>
      <c r="J60" s="13"/>
      <c r="K60" s="13"/>
      <c r="L60" s="16">
        <v>43264</v>
      </c>
      <c r="M60" s="13">
        <v>5647</v>
      </c>
      <c r="N60" s="13"/>
      <c r="O60" s="13"/>
      <c r="P60" s="16">
        <v>43266</v>
      </c>
      <c r="Q60" s="13">
        <v>4732</v>
      </c>
      <c r="R60" s="13"/>
      <c r="S60" s="13"/>
      <c r="T60" s="16">
        <v>43268</v>
      </c>
      <c r="U60" s="13">
        <v>27628</v>
      </c>
      <c r="V60" s="13"/>
      <c r="W60" s="13"/>
      <c r="X60" s="16">
        <v>43270</v>
      </c>
      <c r="Y60" s="13">
        <v>84749</v>
      </c>
      <c r="Z60" s="13"/>
      <c r="AA60" s="13"/>
      <c r="AB60" s="16">
        <v>43272</v>
      </c>
      <c r="AC60" s="13">
        <f>11111*20</f>
        <v>222220</v>
      </c>
      <c r="AD60" s="13"/>
      <c r="AE60" s="13"/>
      <c r="AF60" s="16">
        <v>43274</v>
      </c>
      <c r="AG60" s="13">
        <f>19980*20</f>
        <v>399600</v>
      </c>
      <c r="AH60" s="13"/>
      <c r="AI60" s="13"/>
      <c r="AJ60" s="16">
        <v>43276</v>
      </c>
      <c r="AK60" s="13">
        <f>28674*20</f>
        <v>573480</v>
      </c>
      <c r="AL60" s="13"/>
      <c r="AM60" s="13"/>
      <c r="AN60" s="16">
        <v>43278</v>
      </c>
      <c r="AO60" s="13">
        <f>24914*20</f>
        <v>498280</v>
      </c>
      <c r="AP60" s="13"/>
      <c r="AQ60" s="13"/>
      <c r="AR60" s="16">
        <v>43280</v>
      </c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</row>
    <row r="61" spans="1:104" s="22" customFormat="1" x14ac:dyDescent="0.2">
      <c r="A61" s="22" t="s">
        <v>97</v>
      </c>
      <c r="B61" s="13" t="s">
        <v>80</v>
      </c>
      <c r="C61" s="13">
        <v>50</v>
      </c>
      <c r="D61" s="13">
        <v>28</v>
      </c>
      <c r="E61" s="14">
        <f>([1]innoculation!$D$17*2)/1000</f>
        <v>1124.94</v>
      </c>
      <c r="F61" s="13"/>
      <c r="G61" s="13"/>
      <c r="H61" s="16">
        <v>43262</v>
      </c>
      <c r="I61" s="13">
        <v>1702</v>
      </c>
      <c r="J61" s="13"/>
      <c r="K61" s="13"/>
      <c r="L61" s="16">
        <v>43264</v>
      </c>
      <c r="M61" s="13">
        <v>5948</v>
      </c>
      <c r="N61" s="13"/>
      <c r="O61" s="13"/>
      <c r="P61" s="16">
        <v>43266</v>
      </c>
      <c r="Q61" s="13">
        <v>4814</v>
      </c>
      <c r="R61" s="13"/>
      <c r="S61" s="13"/>
      <c r="T61" s="16">
        <v>43268</v>
      </c>
      <c r="U61" s="13">
        <v>29303</v>
      </c>
      <c r="V61" s="13"/>
      <c r="W61" s="13"/>
      <c r="X61" s="16">
        <v>43270</v>
      </c>
      <c r="Y61" s="13">
        <v>86174</v>
      </c>
      <c r="Z61" s="13"/>
      <c r="AA61" s="13"/>
      <c r="AB61" s="16">
        <v>43272</v>
      </c>
      <c r="AC61" s="13">
        <f>10997*20</f>
        <v>219940</v>
      </c>
      <c r="AD61" s="13"/>
      <c r="AE61" s="13"/>
      <c r="AF61" s="16">
        <v>43274</v>
      </c>
      <c r="AG61" s="13">
        <f>20058*20</f>
        <v>401160</v>
      </c>
      <c r="AH61" s="13"/>
      <c r="AI61" s="13"/>
      <c r="AJ61" s="16">
        <v>43276</v>
      </c>
      <c r="AK61" s="13">
        <f>28068*20</f>
        <v>561360</v>
      </c>
      <c r="AL61" s="13"/>
      <c r="AM61" s="13"/>
      <c r="AN61" s="16">
        <v>43278</v>
      </c>
      <c r="AO61" s="13">
        <f>25374*20</f>
        <v>507480</v>
      </c>
      <c r="AP61" s="13"/>
      <c r="AQ61" s="13"/>
      <c r="AR61" s="16">
        <v>43280</v>
      </c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</row>
    <row r="62" spans="1:104" s="22" customFormat="1" x14ac:dyDescent="0.2">
      <c r="A62" s="22" t="s">
        <v>98</v>
      </c>
      <c r="B62" s="13" t="s">
        <v>80</v>
      </c>
      <c r="C62" s="13">
        <v>50</v>
      </c>
      <c r="D62" s="13">
        <v>28</v>
      </c>
      <c r="E62" s="14">
        <f>([1]innoculation!$D$17*2)/1000</f>
        <v>1124.94</v>
      </c>
      <c r="F62" s="13"/>
      <c r="G62" s="13"/>
      <c r="H62" s="16">
        <v>43262</v>
      </c>
      <c r="I62" s="13">
        <v>1892</v>
      </c>
      <c r="J62" s="13"/>
      <c r="K62" s="13"/>
      <c r="L62" s="16">
        <v>43264</v>
      </c>
      <c r="M62" s="13">
        <v>3782</v>
      </c>
      <c r="N62" s="13"/>
      <c r="O62" s="13"/>
      <c r="P62" s="16">
        <v>43266</v>
      </c>
      <c r="Q62" s="13">
        <v>3799</v>
      </c>
      <c r="R62" s="13"/>
      <c r="S62" s="13"/>
      <c r="T62" s="16">
        <v>43268</v>
      </c>
      <c r="U62" s="13">
        <v>25180</v>
      </c>
      <c r="V62" s="13"/>
      <c r="W62" s="13"/>
      <c r="X62" s="16">
        <v>43270</v>
      </c>
      <c r="Y62" s="13">
        <v>86605</v>
      </c>
      <c r="Z62" s="13"/>
      <c r="AA62" s="13"/>
      <c r="AB62" s="16">
        <v>43272</v>
      </c>
      <c r="AC62" s="13">
        <f>10335*20</f>
        <v>206700</v>
      </c>
      <c r="AD62" s="13"/>
      <c r="AE62" s="13"/>
      <c r="AF62" s="16">
        <v>43274</v>
      </c>
      <c r="AG62" s="13">
        <f>20819*20</f>
        <v>416380</v>
      </c>
      <c r="AH62" s="13"/>
      <c r="AI62" s="13"/>
      <c r="AJ62" s="16">
        <v>43276</v>
      </c>
      <c r="AK62" s="13">
        <f>29734*20</f>
        <v>594680</v>
      </c>
      <c r="AL62" s="13"/>
      <c r="AM62" s="13"/>
      <c r="AN62" s="16">
        <v>43278</v>
      </c>
      <c r="AO62" s="13">
        <f>29546*20</f>
        <v>590920</v>
      </c>
      <c r="AP62" s="13"/>
      <c r="AQ62" s="13"/>
      <c r="AR62" s="16">
        <v>43280</v>
      </c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</row>
    <row r="63" spans="1:104" s="22" customFormat="1" x14ac:dyDescent="0.2">
      <c r="A63" s="22" t="s">
        <v>98</v>
      </c>
      <c r="B63" s="13" t="s">
        <v>80</v>
      </c>
      <c r="C63" s="13">
        <v>50</v>
      </c>
      <c r="D63" s="13">
        <v>28</v>
      </c>
      <c r="E63" s="14">
        <f>([1]innoculation!$D$17*2)/1000</f>
        <v>1124.94</v>
      </c>
      <c r="F63" s="13"/>
      <c r="G63" s="13"/>
      <c r="H63" s="16">
        <v>43262</v>
      </c>
      <c r="I63" s="13">
        <v>1903</v>
      </c>
      <c r="J63" s="13"/>
      <c r="K63" s="13"/>
      <c r="L63" s="16">
        <v>43264</v>
      </c>
      <c r="M63" s="13">
        <v>3851</v>
      </c>
      <c r="N63" s="13"/>
      <c r="O63" s="13"/>
      <c r="P63" s="16">
        <v>43266</v>
      </c>
      <c r="Q63" s="13">
        <v>4311</v>
      </c>
      <c r="R63" s="13"/>
      <c r="S63" s="13"/>
      <c r="T63" s="16">
        <v>43268</v>
      </c>
      <c r="U63" s="13">
        <v>26901</v>
      </c>
      <c r="V63" s="13"/>
      <c r="W63" s="13"/>
      <c r="X63" s="16">
        <v>43270</v>
      </c>
      <c r="Y63" s="13">
        <v>91563</v>
      </c>
      <c r="Z63" s="13"/>
      <c r="AA63" s="13"/>
      <c r="AB63" s="16">
        <v>43272</v>
      </c>
      <c r="AC63" s="13">
        <f>10472*20</f>
        <v>209440</v>
      </c>
      <c r="AD63" s="13"/>
      <c r="AE63" s="13"/>
      <c r="AF63" s="16">
        <v>43274</v>
      </c>
      <c r="AG63" s="13">
        <f>21482*20</f>
        <v>429640</v>
      </c>
      <c r="AH63" s="13"/>
      <c r="AI63" s="13"/>
      <c r="AJ63" s="16">
        <v>43276</v>
      </c>
      <c r="AK63" s="13">
        <f>29178*20</f>
        <v>583560</v>
      </c>
      <c r="AL63" s="13"/>
      <c r="AM63" s="13"/>
      <c r="AN63" s="16">
        <v>43278</v>
      </c>
      <c r="AO63" s="13">
        <f>29729*20</f>
        <v>594580</v>
      </c>
      <c r="AP63" s="13"/>
      <c r="AQ63" s="13"/>
      <c r="AR63" s="16">
        <v>43280</v>
      </c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</row>
    <row r="64" spans="1:104" s="22" customFormat="1" x14ac:dyDescent="0.2">
      <c r="A64" s="22" t="s">
        <v>98</v>
      </c>
      <c r="B64" s="13" t="s">
        <v>80</v>
      </c>
      <c r="C64" s="13">
        <v>50</v>
      </c>
      <c r="D64" s="13">
        <v>28</v>
      </c>
      <c r="E64" s="14">
        <f>([1]innoculation!$D$17*2)/1000</f>
        <v>1124.94</v>
      </c>
      <c r="F64" s="13"/>
      <c r="G64" s="13"/>
      <c r="H64" s="16">
        <v>43262</v>
      </c>
      <c r="I64" s="13">
        <v>1882</v>
      </c>
      <c r="J64" s="13"/>
      <c r="K64" s="13"/>
      <c r="L64" s="16">
        <v>43264</v>
      </c>
      <c r="M64" s="13">
        <v>3774</v>
      </c>
      <c r="N64" s="13"/>
      <c r="O64" s="13"/>
      <c r="P64" s="16">
        <v>43266</v>
      </c>
      <c r="Q64" s="13">
        <v>4039</v>
      </c>
      <c r="R64" s="13"/>
      <c r="S64" s="13"/>
      <c r="T64" s="16">
        <v>43268</v>
      </c>
      <c r="U64" s="13">
        <v>27915</v>
      </c>
      <c r="V64" s="13"/>
      <c r="W64" s="13"/>
      <c r="X64" s="16">
        <v>43270</v>
      </c>
      <c r="Y64" s="13">
        <v>90044</v>
      </c>
      <c r="Z64" s="13"/>
      <c r="AA64" s="13"/>
      <c r="AB64" s="16">
        <v>43272</v>
      </c>
      <c r="AC64" s="13">
        <f>9941*20</f>
        <v>198820</v>
      </c>
      <c r="AD64" s="13"/>
      <c r="AE64" s="13"/>
      <c r="AF64" s="16">
        <v>43274</v>
      </c>
      <c r="AG64" s="13">
        <f>22174*20</f>
        <v>443480</v>
      </c>
      <c r="AH64" s="13"/>
      <c r="AI64" s="13"/>
      <c r="AJ64" s="16">
        <v>43276</v>
      </c>
      <c r="AK64" s="13">
        <f>29044*20</f>
        <v>580880</v>
      </c>
      <c r="AL64" s="13"/>
      <c r="AM64" s="13"/>
      <c r="AN64" s="16">
        <v>43278</v>
      </c>
      <c r="AO64" s="13">
        <f>29290*20</f>
        <v>585800</v>
      </c>
      <c r="AP64" s="13"/>
      <c r="AQ64" s="13"/>
      <c r="AR64" s="16">
        <v>43280</v>
      </c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</row>
    <row r="65" spans="1:104" s="19" customFormat="1" x14ac:dyDescent="0.2">
      <c r="A65" s="19" t="s">
        <v>99</v>
      </c>
      <c r="B65" s="11" t="s">
        <v>80</v>
      </c>
      <c r="C65" s="11">
        <v>100</v>
      </c>
      <c r="D65" s="11">
        <v>28</v>
      </c>
      <c r="E65" s="20">
        <f>([1]innoculation!$D$18*2.3)/1000</f>
        <v>1247.2439999999999</v>
      </c>
      <c r="F65" s="21">
        <f>AVERAGE(E65:E73)</f>
        <v>1247.2439999999999</v>
      </c>
      <c r="G65" s="11">
        <f>STDEV(E65:E73)</f>
        <v>0</v>
      </c>
      <c r="H65" s="9">
        <v>43262</v>
      </c>
      <c r="I65" s="11">
        <v>1661</v>
      </c>
      <c r="J65" s="11">
        <f>AVERAGE(I65:I73)</f>
        <v>1713.3333333333333</v>
      </c>
      <c r="K65" s="11">
        <f>STDEV(I65:I73)</f>
        <v>166.25958618978936</v>
      </c>
      <c r="L65" s="9">
        <v>43264</v>
      </c>
      <c r="M65" s="11">
        <v>2782</v>
      </c>
      <c r="N65" s="11">
        <f>AVERAGE(M65:M73)</f>
        <v>2489.6666666666665</v>
      </c>
      <c r="O65" s="11">
        <f>STDEV(M65:M73)</f>
        <v>235.55413390556319</v>
      </c>
      <c r="P65" s="9">
        <v>43266</v>
      </c>
      <c r="Q65" s="11">
        <v>3405</v>
      </c>
      <c r="R65" s="11">
        <f>AVERAGE(Q65:Q73)</f>
        <v>3216.2222222222222</v>
      </c>
      <c r="S65" s="11">
        <f>STDEV(Q65:Q73)</f>
        <v>459.77379703985309</v>
      </c>
      <c r="T65" s="9">
        <v>43268</v>
      </c>
      <c r="U65" s="11">
        <v>22628</v>
      </c>
      <c r="V65" s="11">
        <f>AVERAGE(U65:U73)</f>
        <v>21360.333333333332</v>
      </c>
      <c r="W65" s="11">
        <f>STDEV(U65:U73)</f>
        <v>1923.0737115357799</v>
      </c>
      <c r="X65" s="9">
        <v>43270</v>
      </c>
      <c r="Y65" s="11">
        <v>68016</v>
      </c>
      <c r="Z65" s="11">
        <f>AVERAGE(Y65:Y73)</f>
        <v>64339.666666666664</v>
      </c>
      <c r="AA65" s="11">
        <f>STDEV(Y65:Y73)</f>
        <v>4765.2442487242988</v>
      </c>
      <c r="AB65" s="9">
        <v>43272</v>
      </c>
      <c r="AC65" s="11">
        <f>9257*20</f>
        <v>185140</v>
      </c>
      <c r="AD65" s="11">
        <f>AVERAGE(AC65:AC73)</f>
        <v>171928.88888888888</v>
      </c>
      <c r="AE65" s="11">
        <f>STDEV(AC65:AC73)</f>
        <v>17234.161166448197</v>
      </c>
      <c r="AF65" s="9">
        <v>43274</v>
      </c>
      <c r="AG65" s="11">
        <f>16300*20</f>
        <v>326000</v>
      </c>
      <c r="AH65" s="11">
        <f>AVERAGE(AG65:AG73)</f>
        <v>320844.44444444444</v>
      </c>
      <c r="AI65" s="11">
        <f>STDEV(AG65:AG73)</f>
        <v>25582.991962977627</v>
      </c>
      <c r="AJ65" s="9">
        <v>43276</v>
      </c>
      <c r="AK65" s="11">
        <f>22960*20</f>
        <v>459200</v>
      </c>
      <c r="AL65" s="11">
        <f>AVERAGE(AK65:AK73)</f>
        <v>452806.66666666669</v>
      </c>
      <c r="AM65" s="11">
        <f>STDEV(AK65:AK73)</f>
        <v>31277.511090238622</v>
      </c>
      <c r="AN65" s="9">
        <v>43278</v>
      </c>
      <c r="AO65" s="11">
        <f>27893*20</f>
        <v>557860</v>
      </c>
      <c r="AP65" s="11">
        <f>AVERAGE(AO65:AO73)</f>
        <v>543937.77777777775</v>
      </c>
      <c r="AQ65" s="11">
        <f>STDEV(AO65:AO73)</f>
        <v>14533.101680110974</v>
      </c>
      <c r="AR65" s="9">
        <v>43280</v>
      </c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</row>
    <row r="66" spans="1:104" s="19" customFormat="1" x14ac:dyDescent="0.2">
      <c r="A66" s="19" t="s">
        <v>99</v>
      </c>
      <c r="B66" s="11" t="s">
        <v>80</v>
      </c>
      <c r="C66" s="11">
        <v>100</v>
      </c>
      <c r="D66" s="11">
        <v>28</v>
      </c>
      <c r="E66" s="20">
        <f>([1]innoculation!$D$18*2.3)/1000</f>
        <v>1247.2439999999999</v>
      </c>
      <c r="F66" s="11"/>
      <c r="G66" s="11"/>
      <c r="H66" s="9">
        <v>43262</v>
      </c>
      <c r="I66" s="11">
        <v>1671</v>
      </c>
      <c r="J66" s="11"/>
      <c r="K66" s="11"/>
      <c r="L66" s="9">
        <v>43264</v>
      </c>
      <c r="M66" s="11">
        <v>2760</v>
      </c>
      <c r="N66" s="11"/>
      <c r="O66" s="11"/>
      <c r="P66" s="9">
        <v>43266</v>
      </c>
      <c r="Q66" s="11">
        <v>3426</v>
      </c>
      <c r="R66" s="11"/>
      <c r="S66" s="11"/>
      <c r="T66" s="9">
        <v>43268</v>
      </c>
      <c r="U66" s="11">
        <v>22869</v>
      </c>
      <c r="V66" s="11"/>
      <c r="W66" s="11"/>
      <c r="X66" s="9">
        <v>43270</v>
      </c>
      <c r="Y66" s="11">
        <v>71492</v>
      </c>
      <c r="Z66" s="11"/>
      <c r="AA66" s="11"/>
      <c r="AB66" s="9">
        <v>43272</v>
      </c>
      <c r="AC66" s="11">
        <f>8885*20</f>
        <v>177700</v>
      </c>
      <c r="AD66" s="11"/>
      <c r="AE66" s="11"/>
      <c r="AF66" s="9">
        <v>43274</v>
      </c>
      <c r="AG66" s="11">
        <f>16514*20</f>
        <v>330280</v>
      </c>
      <c r="AH66" s="11"/>
      <c r="AI66" s="11"/>
      <c r="AJ66" s="9">
        <v>43276</v>
      </c>
      <c r="AK66" s="11">
        <f>23388*20</f>
        <v>467760</v>
      </c>
      <c r="AL66" s="11"/>
      <c r="AM66" s="11"/>
      <c r="AN66" s="9">
        <v>43278</v>
      </c>
      <c r="AO66" s="11">
        <f>28300*20</f>
        <v>566000</v>
      </c>
      <c r="AP66" s="11"/>
      <c r="AQ66" s="11"/>
      <c r="AR66" s="9">
        <v>43280</v>
      </c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</row>
    <row r="67" spans="1:104" s="19" customFormat="1" x14ac:dyDescent="0.2">
      <c r="A67" s="19" t="s">
        <v>99</v>
      </c>
      <c r="B67" s="11" t="s">
        <v>80</v>
      </c>
      <c r="C67" s="11">
        <v>100</v>
      </c>
      <c r="D67" s="11">
        <v>28</v>
      </c>
      <c r="E67" s="20">
        <f>([1]innoculation!$D$18*2.3)/1000</f>
        <v>1247.2439999999999</v>
      </c>
      <c r="F67" s="11"/>
      <c r="G67" s="11"/>
      <c r="H67" s="9">
        <v>43262</v>
      </c>
      <c r="I67" s="11">
        <v>1802</v>
      </c>
      <c r="J67" s="11"/>
      <c r="K67" s="11"/>
      <c r="L67" s="9">
        <v>43264</v>
      </c>
      <c r="M67" s="11">
        <v>2686</v>
      </c>
      <c r="N67" s="11"/>
      <c r="O67" s="11"/>
      <c r="P67" s="9">
        <v>43266</v>
      </c>
      <c r="Q67" s="11">
        <v>3700</v>
      </c>
      <c r="R67" s="11"/>
      <c r="S67" s="11"/>
      <c r="T67" s="9">
        <v>43268</v>
      </c>
      <c r="U67" s="11">
        <v>23242</v>
      </c>
      <c r="V67" s="11"/>
      <c r="W67" s="11"/>
      <c r="X67" s="9">
        <v>43270</v>
      </c>
      <c r="Y67" s="11">
        <v>69726</v>
      </c>
      <c r="Z67" s="11"/>
      <c r="AA67" s="11"/>
      <c r="AB67" s="9">
        <v>43272</v>
      </c>
      <c r="AC67" s="11">
        <f>8706*20</f>
        <v>174120</v>
      </c>
      <c r="AD67" s="11"/>
      <c r="AE67" s="11"/>
      <c r="AF67" s="9">
        <v>43274</v>
      </c>
      <c r="AG67" s="11">
        <f>17345*20</f>
        <v>346900</v>
      </c>
      <c r="AH67" s="11"/>
      <c r="AI67" s="11"/>
      <c r="AJ67" s="9">
        <v>43276</v>
      </c>
      <c r="AK67" s="11">
        <f>23259*20</f>
        <v>465180</v>
      </c>
      <c r="AL67" s="11"/>
      <c r="AM67" s="11"/>
      <c r="AN67" s="9">
        <v>43278</v>
      </c>
      <c r="AO67" s="11">
        <f>28137*20</f>
        <v>562740</v>
      </c>
      <c r="AP67" s="11"/>
      <c r="AQ67" s="11"/>
      <c r="AR67" s="9">
        <v>43280</v>
      </c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</row>
    <row r="68" spans="1:104" s="19" customFormat="1" x14ac:dyDescent="0.2">
      <c r="A68" s="19" t="s">
        <v>100</v>
      </c>
      <c r="B68" s="11" t="s">
        <v>80</v>
      </c>
      <c r="C68" s="11">
        <v>100</v>
      </c>
      <c r="D68" s="11">
        <v>28</v>
      </c>
      <c r="E68" s="20">
        <f>([1]innoculation!$D$18*2.3)/1000</f>
        <v>1247.2439999999999</v>
      </c>
      <c r="F68" s="11"/>
      <c r="G68" s="11"/>
      <c r="H68" s="9">
        <v>43262</v>
      </c>
      <c r="I68" s="11">
        <v>1566</v>
      </c>
      <c r="J68" s="11"/>
      <c r="K68" s="11"/>
      <c r="L68" s="9">
        <v>43264</v>
      </c>
      <c r="M68" s="11">
        <v>2249</v>
      </c>
      <c r="N68" s="11"/>
      <c r="O68" s="11"/>
      <c r="P68" s="9">
        <v>43266</v>
      </c>
      <c r="Q68" s="11">
        <v>2754</v>
      </c>
      <c r="R68" s="11"/>
      <c r="S68" s="11"/>
      <c r="T68" s="9">
        <v>43268</v>
      </c>
      <c r="U68" s="11">
        <v>18534</v>
      </c>
      <c r="V68" s="11"/>
      <c r="W68" s="11"/>
      <c r="X68" s="9">
        <v>43270</v>
      </c>
      <c r="Y68" s="11">
        <v>57682</v>
      </c>
      <c r="Z68" s="11"/>
      <c r="AA68" s="11"/>
      <c r="AB68" s="9">
        <v>43272</v>
      </c>
      <c r="AC68" s="11">
        <f>7653*20</f>
        <v>153060</v>
      </c>
      <c r="AD68" s="11"/>
      <c r="AE68" s="11"/>
      <c r="AF68" s="9">
        <v>43274</v>
      </c>
      <c r="AG68" s="11">
        <f>14259*20</f>
        <v>285180</v>
      </c>
      <c r="AH68" s="11"/>
      <c r="AI68" s="11"/>
      <c r="AJ68" s="9">
        <v>43276</v>
      </c>
      <c r="AK68" s="11">
        <f>20759*20</f>
        <v>415180</v>
      </c>
      <c r="AL68" s="11"/>
      <c r="AM68" s="11"/>
      <c r="AN68" s="9">
        <v>43278</v>
      </c>
      <c r="AO68" s="11">
        <f>26846*20</f>
        <v>536920</v>
      </c>
      <c r="AP68" s="11"/>
      <c r="AQ68" s="11"/>
      <c r="AR68" s="9">
        <v>43280</v>
      </c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</row>
    <row r="69" spans="1:104" s="19" customFormat="1" x14ac:dyDescent="0.2">
      <c r="A69" s="19" t="s">
        <v>100</v>
      </c>
      <c r="B69" s="11" t="s">
        <v>80</v>
      </c>
      <c r="C69" s="11">
        <v>100</v>
      </c>
      <c r="D69" s="11">
        <v>28</v>
      </c>
      <c r="E69" s="20">
        <f>([1]innoculation!$D$18*2.3)/1000</f>
        <v>1247.2439999999999</v>
      </c>
      <c r="F69" s="11"/>
      <c r="G69" s="11"/>
      <c r="H69" s="9">
        <v>43262</v>
      </c>
      <c r="I69" s="11">
        <v>1493</v>
      </c>
      <c r="J69" s="11"/>
      <c r="K69" s="11"/>
      <c r="L69" s="9">
        <v>43264</v>
      </c>
      <c r="M69" s="11">
        <v>2170</v>
      </c>
      <c r="N69" s="11"/>
      <c r="O69" s="11"/>
      <c r="P69" s="9">
        <v>43266</v>
      </c>
      <c r="Q69" s="11">
        <v>2480</v>
      </c>
      <c r="R69" s="11"/>
      <c r="S69" s="11"/>
      <c r="T69" s="9">
        <v>43268</v>
      </c>
      <c r="U69" s="11">
        <v>19247</v>
      </c>
      <c r="V69" s="11"/>
      <c r="W69" s="11"/>
      <c r="X69" s="9">
        <v>43270</v>
      </c>
      <c r="Y69" s="11">
        <v>60579</v>
      </c>
      <c r="Z69" s="11"/>
      <c r="AA69" s="11"/>
      <c r="AB69" s="9">
        <v>43272</v>
      </c>
      <c r="AC69" s="11">
        <f>7382*20</f>
        <v>147640</v>
      </c>
      <c r="AD69" s="11"/>
      <c r="AE69" s="11"/>
      <c r="AF69" s="9">
        <v>43274</v>
      </c>
      <c r="AG69" s="11">
        <f>14088*20</f>
        <v>281760</v>
      </c>
      <c r="AH69" s="11"/>
      <c r="AI69" s="11"/>
      <c r="AJ69" s="9">
        <v>43276</v>
      </c>
      <c r="AK69" s="11">
        <f>20527*20</f>
        <v>410540</v>
      </c>
      <c r="AL69" s="11"/>
      <c r="AM69" s="11"/>
      <c r="AN69" s="9">
        <v>43278</v>
      </c>
      <c r="AO69" s="11">
        <f>26738*20</f>
        <v>534760</v>
      </c>
      <c r="AP69" s="11"/>
      <c r="AQ69" s="11"/>
      <c r="AR69" s="9">
        <v>43280</v>
      </c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</row>
    <row r="70" spans="1:104" s="19" customFormat="1" x14ac:dyDescent="0.2">
      <c r="A70" s="19" t="s">
        <v>100</v>
      </c>
      <c r="B70" s="11" t="s">
        <v>80</v>
      </c>
      <c r="C70" s="11">
        <v>100</v>
      </c>
      <c r="D70" s="11">
        <v>28</v>
      </c>
      <c r="E70" s="20">
        <f>([1]innoculation!$D$18*2.3)/1000</f>
        <v>1247.2439999999999</v>
      </c>
      <c r="F70" s="11"/>
      <c r="G70" s="11"/>
      <c r="H70" s="9">
        <v>43262</v>
      </c>
      <c r="I70" s="11">
        <v>1530</v>
      </c>
      <c r="J70" s="11"/>
      <c r="K70" s="11"/>
      <c r="L70" s="9">
        <v>43264</v>
      </c>
      <c r="M70" s="11">
        <v>2213</v>
      </c>
      <c r="N70" s="11"/>
      <c r="O70" s="11"/>
      <c r="P70" s="9">
        <v>43266</v>
      </c>
      <c r="Q70" s="11">
        <v>2634</v>
      </c>
      <c r="R70" s="11"/>
      <c r="S70" s="11"/>
      <c r="T70" s="9">
        <v>43268</v>
      </c>
      <c r="U70" s="11">
        <v>18964</v>
      </c>
      <c r="V70" s="11"/>
      <c r="W70" s="11"/>
      <c r="X70" s="9">
        <v>43270</v>
      </c>
      <c r="Y70" s="11">
        <v>59385</v>
      </c>
      <c r="Z70" s="11"/>
      <c r="AA70" s="11"/>
      <c r="AB70" s="9">
        <v>43272</v>
      </c>
      <c r="AC70" s="11">
        <f>7459*20</f>
        <v>149180</v>
      </c>
      <c r="AD70" s="11"/>
      <c r="AE70" s="11"/>
      <c r="AF70" s="9">
        <v>43274</v>
      </c>
      <c r="AG70" s="11">
        <f>14910*20</f>
        <v>298200</v>
      </c>
      <c r="AH70" s="11"/>
      <c r="AI70" s="11"/>
      <c r="AJ70" s="9">
        <v>43276</v>
      </c>
      <c r="AK70" s="11">
        <f>20596*20</f>
        <v>411920</v>
      </c>
      <c r="AL70" s="11"/>
      <c r="AM70" s="11"/>
      <c r="AN70" s="9">
        <v>43278</v>
      </c>
      <c r="AO70" s="11">
        <f>27140*20</f>
        <v>542800</v>
      </c>
      <c r="AP70" s="11"/>
      <c r="AQ70" s="11"/>
      <c r="AR70" s="9">
        <v>43280</v>
      </c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</row>
    <row r="71" spans="1:104" s="19" customFormat="1" x14ac:dyDescent="0.2">
      <c r="A71" s="19" t="s">
        <v>101</v>
      </c>
      <c r="B71" s="11" t="s">
        <v>80</v>
      </c>
      <c r="C71" s="11">
        <v>100</v>
      </c>
      <c r="D71" s="11">
        <v>28</v>
      </c>
      <c r="E71" s="20">
        <f>([1]innoculation!$D$18*2.3)/1000</f>
        <v>1247.2439999999999</v>
      </c>
      <c r="F71" s="11"/>
      <c r="G71" s="11"/>
      <c r="H71" s="9">
        <v>43262</v>
      </c>
      <c r="I71" s="11">
        <v>1897</v>
      </c>
      <c r="J71" s="11"/>
      <c r="K71" s="11"/>
      <c r="L71" s="9">
        <v>43264</v>
      </c>
      <c r="M71" s="11">
        <v>2542</v>
      </c>
      <c r="N71" s="11"/>
      <c r="O71" s="11"/>
      <c r="P71" s="9">
        <v>43266</v>
      </c>
      <c r="Q71" s="11">
        <v>3597</v>
      </c>
      <c r="R71" s="11"/>
      <c r="S71" s="11"/>
      <c r="T71" s="9">
        <v>43268</v>
      </c>
      <c r="U71" s="11">
        <v>23229</v>
      </c>
      <c r="V71" s="11"/>
      <c r="W71" s="11"/>
      <c r="X71" s="9">
        <v>43270</v>
      </c>
      <c r="Y71" s="11">
        <v>62312</v>
      </c>
      <c r="Z71" s="11"/>
      <c r="AA71" s="11"/>
      <c r="AB71" s="9">
        <v>43272</v>
      </c>
      <c r="AC71" s="11">
        <f>9544*20</f>
        <v>190880</v>
      </c>
      <c r="AD71" s="11"/>
      <c r="AE71" s="11"/>
      <c r="AF71" s="9">
        <v>43274</v>
      </c>
      <c r="AG71" s="11">
        <f>16784*20</f>
        <v>335680</v>
      </c>
      <c r="AH71" s="11"/>
      <c r="AI71" s="11"/>
      <c r="AJ71" s="9">
        <v>43276</v>
      </c>
      <c r="AK71" s="11">
        <f>24174*20</f>
        <v>483480</v>
      </c>
      <c r="AL71" s="11"/>
      <c r="AM71" s="11"/>
      <c r="AN71" s="9">
        <v>43278</v>
      </c>
      <c r="AO71" s="11">
        <f>26731*20</f>
        <v>534620</v>
      </c>
      <c r="AP71" s="11"/>
      <c r="AQ71" s="11"/>
      <c r="AR71" s="9">
        <v>43280</v>
      </c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</row>
    <row r="72" spans="1:104" s="19" customFormat="1" x14ac:dyDescent="0.2">
      <c r="A72" s="19" t="s">
        <v>101</v>
      </c>
      <c r="B72" s="11" t="s">
        <v>80</v>
      </c>
      <c r="C72" s="11">
        <v>100</v>
      </c>
      <c r="D72" s="11">
        <v>28</v>
      </c>
      <c r="E72" s="20">
        <f>([1]innoculation!$D$18*2.3)/1000</f>
        <v>1247.2439999999999</v>
      </c>
      <c r="F72" s="11"/>
      <c r="G72" s="11"/>
      <c r="H72" s="9">
        <v>43262</v>
      </c>
      <c r="I72" s="11">
        <v>1927</v>
      </c>
      <c r="J72" s="11"/>
      <c r="K72" s="11"/>
      <c r="L72" s="9">
        <v>43264</v>
      </c>
      <c r="M72" s="11">
        <v>2443</v>
      </c>
      <c r="N72" s="11"/>
      <c r="O72" s="11"/>
      <c r="P72" s="9">
        <v>43266</v>
      </c>
      <c r="Q72" s="11">
        <v>3431</v>
      </c>
      <c r="R72" s="11"/>
      <c r="S72" s="11"/>
      <c r="T72" s="9">
        <v>43268</v>
      </c>
      <c r="U72" s="11">
        <v>22035</v>
      </c>
      <c r="V72" s="11"/>
      <c r="W72" s="11"/>
      <c r="X72" s="9">
        <v>43270</v>
      </c>
      <c r="Y72" s="11">
        <v>65203</v>
      </c>
      <c r="Z72" s="11"/>
      <c r="AA72" s="11"/>
      <c r="AB72" s="9">
        <v>43272</v>
      </c>
      <c r="AC72" s="11">
        <f>9344*20</f>
        <v>186880</v>
      </c>
      <c r="AD72" s="11"/>
      <c r="AE72" s="11"/>
      <c r="AF72" s="9">
        <v>43274</v>
      </c>
      <c r="AG72" s="11">
        <f>17286*20</f>
        <v>345720</v>
      </c>
      <c r="AH72" s="11"/>
      <c r="AI72" s="11"/>
      <c r="AJ72" s="9">
        <v>43276</v>
      </c>
      <c r="AK72" s="11">
        <f>23978*20</f>
        <v>479560</v>
      </c>
      <c r="AL72" s="11"/>
      <c r="AM72" s="11"/>
      <c r="AN72" s="9">
        <v>43278</v>
      </c>
      <c r="AO72" s="11">
        <f>26275*20</f>
        <v>525500</v>
      </c>
      <c r="AP72" s="11"/>
      <c r="AQ72" s="11"/>
      <c r="AR72" s="9">
        <v>43280</v>
      </c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</row>
    <row r="73" spans="1:104" s="19" customFormat="1" x14ac:dyDescent="0.2">
      <c r="A73" s="19" t="s">
        <v>101</v>
      </c>
      <c r="B73" s="11" t="s">
        <v>80</v>
      </c>
      <c r="C73" s="11">
        <v>100</v>
      </c>
      <c r="D73" s="11">
        <v>28</v>
      </c>
      <c r="E73" s="20">
        <f>([1]innoculation!$D$18*2.3)/1000</f>
        <v>1247.2439999999999</v>
      </c>
      <c r="F73" s="11"/>
      <c r="G73" s="11"/>
      <c r="H73" s="9">
        <v>43262</v>
      </c>
      <c r="I73" s="11">
        <v>1873</v>
      </c>
      <c r="J73" s="11"/>
      <c r="K73" s="11"/>
      <c r="L73" s="9">
        <v>43264</v>
      </c>
      <c r="M73" s="11">
        <v>2562</v>
      </c>
      <c r="N73" s="11"/>
      <c r="O73" s="11"/>
      <c r="P73" s="9">
        <v>43266</v>
      </c>
      <c r="Q73" s="11">
        <v>3519</v>
      </c>
      <c r="R73" s="11"/>
      <c r="S73" s="11"/>
      <c r="T73" s="9">
        <v>43268</v>
      </c>
      <c r="U73" s="11">
        <v>21495</v>
      </c>
      <c r="V73" s="11"/>
      <c r="W73" s="11"/>
      <c r="X73" s="9">
        <v>43270</v>
      </c>
      <c r="Y73" s="11">
        <v>64662</v>
      </c>
      <c r="Z73" s="11"/>
      <c r="AA73" s="11"/>
      <c r="AB73" s="9">
        <v>43272</v>
      </c>
      <c r="AC73" s="11">
        <f>9138*20</f>
        <v>182760</v>
      </c>
      <c r="AD73" s="11"/>
      <c r="AE73" s="11"/>
      <c r="AF73" s="9">
        <v>43274</v>
      </c>
      <c r="AG73" s="11">
        <f>16894*20</f>
        <v>337880</v>
      </c>
      <c r="AH73" s="11"/>
      <c r="AI73" s="11"/>
      <c r="AJ73" s="9">
        <v>43276</v>
      </c>
      <c r="AK73" s="11">
        <f>24122*20</f>
        <v>482440</v>
      </c>
      <c r="AL73" s="11"/>
      <c r="AM73" s="11"/>
      <c r="AN73" s="9">
        <v>43278</v>
      </c>
      <c r="AO73" s="11">
        <f>26712*20</f>
        <v>534240</v>
      </c>
      <c r="AP73" s="11"/>
      <c r="AQ73" s="11"/>
      <c r="AR73" s="9">
        <v>43280</v>
      </c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</row>
    <row r="74" spans="1:104" s="13" customFormat="1" x14ac:dyDescent="0.2">
      <c r="A74" s="23" t="s">
        <v>102</v>
      </c>
      <c r="B74" s="13" t="s">
        <v>76</v>
      </c>
      <c r="C74" s="13">
        <v>50</v>
      </c>
      <c r="D74" s="13">
        <v>30</v>
      </c>
      <c r="E74" s="14">
        <f>([1]innoculation!$D$19*1.5)/1000</f>
        <v>1185.2850000000001</v>
      </c>
      <c r="F74" s="15">
        <f>AVERAGE(E74:E82)</f>
        <v>1185.2850000000001</v>
      </c>
      <c r="G74" s="13">
        <f>STDEV(E74:E82)</f>
        <v>0</v>
      </c>
      <c r="H74" s="16">
        <v>43277</v>
      </c>
      <c r="I74" s="13">
        <v>2131</v>
      </c>
      <c r="J74" s="13">
        <f>AVERAGE(I74:I82)</f>
        <v>1809.4444444444443</v>
      </c>
      <c r="K74" s="13">
        <f>STDEV(I74:I82)</f>
        <v>385.81832224218954</v>
      </c>
      <c r="L74" s="16">
        <v>43279</v>
      </c>
      <c r="M74" s="13">
        <v>2296</v>
      </c>
      <c r="N74" s="13">
        <f>AVERAGE(M74:M82)</f>
        <v>2055.6666666666665</v>
      </c>
      <c r="O74" s="13">
        <f>STDEV(M74:M82)</f>
        <v>199.98812464744</v>
      </c>
      <c r="P74" s="16">
        <v>43281</v>
      </c>
      <c r="Q74" s="13">
        <v>2111</v>
      </c>
      <c r="R74" s="13">
        <f>AVERAGE(Q74:Q82)</f>
        <v>2428.6666666666665</v>
      </c>
      <c r="S74" s="13">
        <f>STDEV(Q74:Q82)</f>
        <v>560.56489365639015</v>
      </c>
      <c r="T74" s="16">
        <v>43283</v>
      </c>
      <c r="U74" s="13">
        <v>3354</v>
      </c>
      <c r="V74" s="13">
        <f>AVERAGE(U74:U82)</f>
        <v>2834.2222222222222</v>
      </c>
      <c r="W74" s="13">
        <f>STDEV(U74:U82)</f>
        <v>485.92483415076043</v>
      </c>
      <c r="X74" s="16">
        <v>43285</v>
      </c>
      <c r="Y74" s="13">
        <v>4330</v>
      </c>
      <c r="Z74" s="13">
        <f>AVERAGE(Y74:Y82)</f>
        <v>3158.4444444444443</v>
      </c>
      <c r="AA74" s="13">
        <f>STDEV(Y74:Y82)</f>
        <v>1022.5442669037747</v>
      </c>
      <c r="AB74" s="16">
        <v>43287</v>
      </c>
      <c r="AF74" s="16">
        <v>43289</v>
      </c>
      <c r="AG74" s="13">
        <v>17966</v>
      </c>
      <c r="AH74" s="13">
        <f>AVERAGE(AG74:AG82)</f>
        <v>9093.7777777777774</v>
      </c>
      <c r="AI74" s="13">
        <f>STDEV(AG74:AG82)</f>
        <v>6266.2994617592649</v>
      </c>
      <c r="AJ74" s="16">
        <v>43291</v>
      </c>
      <c r="AK74" s="13">
        <v>42116</v>
      </c>
      <c r="AL74" s="13">
        <f>AVERAGE(AK74:AK82)</f>
        <v>19471.222222222223</v>
      </c>
      <c r="AM74" s="13">
        <f>STDEV(AK74:AK82)</f>
        <v>16532.369255325881</v>
      </c>
      <c r="AN74" s="16">
        <v>43293</v>
      </c>
      <c r="AO74" s="13">
        <f>6074*20</f>
        <v>121480</v>
      </c>
      <c r="AP74" s="13">
        <f>AVERAGE(AO74:AO82)</f>
        <v>49489.111111111109</v>
      </c>
      <c r="AQ74" s="13">
        <f>STDEV(AO74:AO82)</f>
        <v>54451.569636339329</v>
      </c>
      <c r="AR74" s="16">
        <v>43295</v>
      </c>
      <c r="AS74" s="13">
        <f>9864*20</f>
        <v>197280</v>
      </c>
      <c r="AT74" s="13">
        <f>AVERAGE(AS74:AS82)</f>
        <v>79680.333333333328</v>
      </c>
      <c r="AU74" s="13">
        <f>STDEV(AS74:AS82)</f>
        <v>85390.491168513603</v>
      </c>
      <c r="AV74" s="16">
        <v>43297</v>
      </c>
      <c r="AW74" s="13">
        <f>12545*20</f>
        <v>250900</v>
      </c>
      <c r="AX74" s="13">
        <f>AVERAGE(AW74:AW82)</f>
        <v>110366.33333333333</v>
      </c>
      <c r="AY74" s="13">
        <f>STDEV(AW74:AW82)</f>
        <v>105260.32903710686</v>
      </c>
      <c r="AZ74" s="16">
        <v>43299</v>
      </c>
      <c r="BA74" s="13">
        <f>16808*20</f>
        <v>336160</v>
      </c>
      <c r="BB74" s="13">
        <f>AVERAGE(BA74:BA82)</f>
        <v>167026.66666666666</v>
      </c>
      <c r="BC74" s="13">
        <f>STDEV(BA74:BA82)</f>
        <v>129436.1135850424</v>
      </c>
      <c r="BD74" s="16">
        <v>43301</v>
      </c>
      <c r="BE74" s="13">
        <f>21524*20</f>
        <v>430480</v>
      </c>
      <c r="BF74" s="13">
        <f>AVERAGE(BE74:BE82)</f>
        <v>221277.77777777778</v>
      </c>
      <c r="BG74" s="13">
        <f>STDEV(BE74:BE82)</f>
        <v>158335.95594319201</v>
      </c>
      <c r="BH74" s="16">
        <v>43303</v>
      </c>
      <c r="BI74" s="13">
        <f>26478*20</f>
        <v>529560</v>
      </c>
      <c r="BJ74" s="13">
        <f>AVERAGE(BI74:BI82)</f>
        <v>285931.11111111112</v>
      </c>
      <c r="BK74" s="13">
        <f>STDEV(BI74:BI82)</f>
        <v>182198.84278203064</v>
      </c>
      <c r="BL74" s="16">
        <v>43305</v>
      </c>
    </row>
    <row r="75" spans="1:104" s="13" customFormat="1" x14ac:dyDescent="0.2">
      <c r="A75" s="23" t="s">
        <v>102</v>
      </c>
      <c r="B75" s="13" t="s">
        <v>76</v>
      </c>
      <c r="C75" s="13">
        <v>50</v>
      </c>
      <c r="D75" s="13">
        <v>30</v>
      </c>
      <c r="E75" s="14">
        <f>([1]innoculation!$D$19*1.5)/1000</f>
        <v>1185.2850000000001</v>
      </c>
      <c r="H75" s="16">
        <v>43277</v>
      </c>
      <c r="I75" s="13">
        <v>2163</v>
      </c>
      <c r="L75" s="16">
        <v>43279</v>
      </c>
      <c r="M75" s="13">
        <v>2250</v>
      </c>
      <c r="P75" s="16">
        <v>43281</v>
      </c>
      <c r="Q75" s="13">
        <v>2093</v>
      </c>
      <c r="T75" s="16">
        <v>43283</v>
      </c>
      <c r="U75" s="13">
        <v>3386</v>
      </c>
      <c r="X75" s="16">
        <v>43285</v>
      </c>
      <c r="Y75" s="13">
        <v>4401</v>
      </c>
      <c r="AB75" s="16">
        <v>43287</v>
      </c>
      <c r="AF75" s="16">
        <v>43289</v>
      </c>
      <c r="AG75" s="13">
        <v>17601</v>
      </c>
      <c r="AJ75" s="16">
        <v>43291</v>
      </c>
      <c r="AK75" s="13">
        <v>40795</v>
      </c>
      <c r="AN75" s="16">
        <v>43293</v>
      </c>
      <c r="AO75" s="13">
        <f>6069*20</f>
        <v>121380</v>
      </c>
      <c r="AR75" s="16">
        <v>43295</v>
      </c>
      <c r="AS75" s="13">
        <f>9572*20</f>
        <v>191440</v>
      </c>
      <c r="AV75" s="16">
        <v>43297</v>
      </c>
      <c r="AW75" s="13">
        <f>12647*20</f>
        <v>252940</v>
      </c>
      <c r="AZ75" s="16">
        <v>43299</v>
      </c>
      <c r="BA75" s="13">
        <f>17042*20</f>
        <v>340840</v>
      </c>
      <c r="BD75" s="16">
        <v>43301</v>
      </c>
      <c r="BE75" s="13">
        <f>21662*20</f>
        <v>433240</v>
      </c>
      <c r="BH75" s="16">
        <v>43303</v>
      </c>
      <c r="BI75" s="13">
        <f>26162*20</f>
        <v>523240</v>
      </c>
      <c r="BL75" s="16">
        <v>43305</v>
      </c>
    </row>
    <row r="76" spans="1:104" s="13" customFormat="1" x14ac:dyDescent="0.2">
      <c r="A76" s="23" t="s">
        <v>102</v>
      </c>
      <c r="B76" s="13" t="s">
        <v>76</v>
      </c>
      <c r="C76" s="13">
        <v>50</v>
      </c>
      <c r="D76" s="13">
        <v>30</v>
      </c>
      <c r="E76" s="14">
        <f>([1]innoculation!$D$19*1.5)/1000</f>
        <v>1185.2850000000001</v>
      </c>
      <c r="H76" s="16">
        <v>43277</v>
      </c>
      <c r="I76" s="13">
        <v>2095</v>
      </c>
      <c r="L76" s="16">
        <v>43279</v>
      </c>
      <c r="M76" s="13">
        <v>2229</v>
      </c>
      <c r="P76" s="16">
        <v>43281</v>
      </c>
      <c r="Q76" s="13">
        <v>1978</v>
      </c>
      <c r="T76" s="16">
        <v>43283</v>
      </c>
      <c r="U76" s="13">
        <v>3508</v>
      </c>
      <c r="X76" s="16">
        <v>43285</v>
      </c>
      <c r="Y76" s="13">
        <v>4376</v>
      </c>
      <c r="AB76" s="16">
        <v>43287</v>
      </c>
      <c r="AF76" s="16">
        <v>43289</v>
      </c>
      <c r="AG76" s="13">
        <v>16741</v>
      </c>
      <c r="AJ76" s="16">
        <v>43291</v>
      </c>
      <c r="AK76" s="13">
        <v>41569</v>
      </c>
      <c r="AN76" s="16">
        <v>43293</v>
      </c>
      <c r="AO76" s="13">
        <f>6170*20</f>
        <v>123400</v>
      </c>
      <c r="AR76" s="16">
        <v>43295</v>
      </c>
      <c r="AS76" s="13">
        <f>9591*20</f>
        <v>191820</v>
      </c>
      <c r="AV76" s="16">
        <v>43297</v>
      </c>
      <c r="AW76" s="13">
        <f>12409*20</f>
        <v>248180</v>
      </c>
      <c r="AZ76" s="16">
        <v>43299</v>
      </c>
      <c r="BA76" s="13">
        <f>17054*20</f>
        <v>341080</v>
      </c>
      <c r="BD76" s="16">
        <v>43301</v>
      </c>
      <c r="BE76" s="13">
        <f>21539*20</f>
        <v>430780</v>
      </c>
      <c r="BH76" s="16">
        <v>43303</v>
      </c>
      <c r="BI76" s="13">
        <f>26274*20</f>
        <v>525480</v>
      </c>
      <c r="BL76" s="16">
        <v>43305</v>
      </c>
    </row>
    <row r="77" spans="1:104" s="13" customFormat="1" x14ac:dyDescent="0.2">
      <c r="A77" s="23" t="s">
        <v>103</v>
      </c>
      <c r="B77" s="13" t="s">
        <v>76</v>
      </c>
      <c r="C77" s="13">
        <v>50</v>
      </c>
      <c r="D77" s="13">
        <v>30</v>
      </c>
      <c r="E77" s="14">
        <f>([1]innoculation!$D$19*1.5)/1000</f>
        <v>1185.2850000000001</v>
      </c>
      <c r="H77" s="16">
        <v>43277</v>
      </c>
      <c r="I77" s="13">
        <v>874</v>
      </c>
      <c r="L77" s="16">
        <v>43279</v>
      </c>
      <c r="M77" s="13">
        <v>2229</v>
      </c>
      <c r="P77" s="16">
        <v>43281</v>
      </c>
      <c r="Q77" s="13">
        <v>2115</v>
      </c>
      <c r="T77" s="16">
        <v>43283</v>
      </c>
      <c r="U77" s="13">
        <v>2344</v>
      </c>
      <c r="X77" s="16">
        <v>43285</v>
      </c>
      <c r="Y77" s="13">
        <v>1985</v>
      </c>
      <c r="AB77" s="16">
        <v>43287</v>
      </c>
      <c r="AF77" s="16">
        <v>43289</v>
      </c>
      <c r="AG77" s="13">
        <v>4818</v>
      </c>
      <c r="AJ77" s="16">
        <v>43291</v>
      </c>
      <c r="AK77" s="13">
        <v>8449</v>
      </c>
      <c r="AN77" s="16">
        <v>43293</v>
      </c>
      <c r="AO77" s="13">
        <v>13552</v>
      </c>
      <c r="AR77" s="16">
        <v>43295</v>
      </c>
      <c r="AS77" s="13">
        <v>22575</v>
      </c>
      <c r="AV77" s="16">
        <v>43297</v>
      </c>
      <c r="AW77" s="13">
        <v>37594</v>
      </c>
      <c r="AZ77" s="16">
        <v>43299</v>
      </c>
      <c r="BA77" s="13">
        <f>3806*20</f>
        <v>76120</v>
      </c>
      <c r="BD77" s="16">
        <v>43301</v>
      </c>
      <c r="BE77" s="13">
        <f>4963*20</f>
        <v>99260</v>
      </c>
      <c r="BH77" s="16">
        <v>43303</v>
      </c>
      <c r="BI77" s="13">
        <f>6792*20</f>
        <v>135840</v>
      </c>
      <c r="BL77" s="16">
        <v>43305</v>
      </c>
    </row>
    <row r="78" spans="1:104" s="13" customFormat="1" x14ac:dyDescent="0.2">
      <c r="A78" s="23" t="s">
        <v>103</v>
      </c>
      <c r="B78" s="13" t="s">
        <v>76</v>
      </c>
      <c r="C78" s="13">
        <v>50</v>
      </c>
      <c r="D78" s="13">
        <v>30</v>
      </c>
      <c r="E78" s="14">
        <f>([1]innoculation!$D$19*1.5)/1000</f>
        <v>1185.2850000000001</v>
      </c>
      <c r="H78" s="16">
        <v>43277</v>
      </c>
      <c r="I78" s="13">
        <v>1847</v>
      </c>
      <c r="L78" s="16">
        <v>43279</v>
      </c>
      <c r="M78" s="13">
        <v>2019</v>
      </c>
      <c r="P78" s="16">
        <v>43281</v>
      </c>
      <c r="Q78" s="13">
        <v>1993</v>
      </c>
      <c r="T78" s="16">
        <v>43283</v>
      </c>
      <c r="U78" s="13">
        <v>2423</v>
      </c>
      <c r="X78" s="16">
        <v>43285</v>
      </c>
      <c r="Y78" s="13">
        <v>2077</v>
      </c>
      <c r="AB78" s="16">
        <v>43287</v>
      </c>
      <c r="AF78" s="16">
        <v>43289</v>
      </c>
      <c r="AG78" s="13">
        <v>4706</v>
      </c>
      <c r="AJ78" s="16">
        <v>43291</v>
      </c>
      <c r="AK78" s="13">
        <v>8796</v>
      </c>
      <c r="AN78" s="16">
        <v>43293</v>
      </c>
      <c r="AO78" s="13">
        <v>13415</v>
      </c>
      <c r="AR78" s="16">
        <v>43295</v>
      </c>
      <c r="AS78" s="13">
        <v>22642</v>
      </c>
      <c r="AV78" s="16">
        <v>43297</v>
      </c>
      <c r="AW78" s="13">
        <v>37562</v>
      </c>
      <c r="AZ78" s="16">
        <v>43299</v>
      </c>
      <c r="BA78" s="13">
        <f>3560*20</f>
        <v>71200</v>
      </c>
      <c r="BD78" s="16">
        <v>43301</v>
      </c>
      <c r="BE78" s="13">
        <f>4897*20</f>
        <v>97940</v>
      </c>
      <c r="BH78" s="16">
        <v>43303</v>
      </c>
      <c r="BI78" s="13">
        <f>6632*20</f>
        <v>132640</v>
      </c>
      <c r="BL78" s="16">
        <v>43305</v>
      </c>
    </row>
    <row r="79" spans="1:104" s="13" customFormat="1" x14ac:dyDescent="0.2">
      <c r="A79" s="23" t="s">
        <v>103</v>
      </c>
      <c r="B79" s="13" t="s">
        <v>76</v>
      </c>
      <c r="C79" s="13">
        <v>50</v>
      </c>
      <c r="D79" s="13">
        <v>30</v>
      </c>
      <c r="E79" s="14">
        <f>([1]innoculation!$D$19*1.5)/1000</f>
        <v>1185.2850000000001</v>
      </c>
      <c r="H79" s="16">
        <v>43277</v>
      </c>
      <c r="I79" s="13">
        <v>1754</v>
      </c>
      <c r="L79" s="16">
        <v>43279</v>
      </c>
      <c r="M79" s="13">
        <v>1977</v>
      </c>
      <c r="P79" s="16">
        <v>43281</v>
      </c>
      <c r="Q79" s="13">
        <v>2049</v>
      </c>
      <c r="T79" s="16">
        <v>43283</v>
      </c>
      <c r="U79" s="13">
        <v>2437</v>
      </c>
      <c r="X79" s="16">
        <v>43285</v>
      </c>
      <c r="Y79" s="13">
        <v>1974</v>
      </c>
      <c r="AB79" s="16">
        <v>43287</v>
      </c>
      <c r="AF79" s="16">
        <v>43289</v>
      </c>
      <c r="AG79" s="13">
        <v>4752</v>
      </c>
      <c r="AJ79" s="16">
        <v>43291</v>
      </c>
      <c r="AK79" s="13">
        <v>9913</v>
      </c>
      <c r="AN79" s="16">
        <v>43293</v>
      </c>
      <c r="AO79" s="13">
        <v>13316</v>
      </c>
      <c r="AR79" s="16">
        <v>43295</v>
      </c>
      <c r="AS79" s="13">
        <v>22745</v>
      </c>
      <c r="AV79" s="16">
        <v>43297</v>
      </c>
      <c r="AW79" s="13">
        <v>37818</v>
      </c>
      <c r="AZ79" s="16">
        <v>43299</v>
      </c>
      <c r="BA79" s="13">
        <f>3610*20</f>
        <v>72200</v>
      </c>
      <c r="BD79" s="16">
        <v>43301</v>
      </c>
      <c r="BE79" s="13">
        <f>5092*20</f>
        <v>101840</v>
      </c>
      <c r="BH79" s="16">
        <v>43303</v>
      </c>
      <c r="BI79" s="13">
        <f>6714*20</f>
        <v>134280</v>
      </c>
      <c r="BL79" s="16">
        <v>43305</v>
      </c>
    </row>
    <row r="80" spans="1:104" s="13" customFormat="1" x14ac:dyDescent="0.2">
      <c r="A80" s="23" t="s">
        <v>104</v>
      </c>
      <c r="B80" s="13" t="s">
        <v>76</v>
      </c>
      <c r="C80" s="13">
        <v>50</v>
      </c>
      <c r="D80" s="13">
        <v>30</v>
      </c>
      <c r="E80" s="14">
        <f>([1]innoculation!$D$19*1.5)/1000</f>
        <v>1185.2850000000001</v>
      </c>
      <c r="H80" s="16">
        <v>43277</v>
      </c>
      <c r="I80" s="13">
        <v>1786</v>
      </c>
      <c r="L80" s="16">
        <v>43279</v>
      </c>
      <c r="M80" s="13">
        <v>1781</v>
      </c>
      <c r="P80" s="16">
        <v>43281</v>
      </c>
      <c r="Q80" s="13">
        <v>3171</v>
      </c>
      <c r="T80" s="16">
        <v>43283</v>
      </c>
      <c r="U80" s="13">
        <v>2301</v>
      </c>
      <c r="X80" s="16">
        <v>43285</v>
      </c>
      <c r="Y80" s="13">
        <v>3122</v>
      </c>
      <c r="AB80" s="16">
        <v>43287</v>
      </c>
      <c r="AF80" s="16">
        <v>43289</v>
      </c>
      <c r="AG80" s="13">
        <v>5102</v>
      </c>
      <c r="AJ80" s="16">
        <v>43291</v>
      </c>
      <c r="AK80" s="13">
        <v>7941</v>
      </c>
      <c r="AN80" s="16">
        <v>43293</v>
      </c>
      <c r="AO80" s="13">
        <v>12919</v>
      </c>
      <c r="AR80" s="16">
        <v>43295</v>
      </c>
      <c r="AS80" s="13">
        <v>23079</v>
      </c>
      <c r="AV80" s="16">
        <v>43297</v>
      </c>
      <c r="AW80" s="13">
        <v>42793</v>
      </c>
      <c r="AZ80" s="16">
        <v>43299</v>
      </c>
      <c r="BA80" s="13">
        <f>4467*20</f>
        <v>89340</v>
      </c>
      <c r="BD80" s="16">
        <v>43301</v>
      </c>
      <c r="BE80" s="13">
        <f>6404*20</f>
        <v>128080</v>
      </c>
      <c r="BH80" s="16">
        <v>43303</v>
      </c>
      <c r="BI80" s="13">
        <f>9820*20</f>
        <v>196400</v>
      </c>
      <c r="BL80" s="16">
        <v>43305</v>
      </c>
    </row>
    <row r="81" spans="1:76" s="13" customFormat="1" x14ac:dyDescent="0.2">
      <c r="A81" s="23" t="s">
        <v>104</v>
      </c>
      <c r="B81" s="13" t="s">
        <v>76</v>
      </c>
      <c r="C81" s="13">
        <v>50</v>
      </c>
      <c r="D81" s="13">
        <v>30</v>
      </c>
      <c r="E81" s="14">
        <f>([1]innoculation!$D$19*1.5)/1000</f>
        <v>1185.2850000000001</v>
      </c>
      <c r="H81" s="16">
        <v>43277</v>
      </c>
      <c r="I81" s="13">
        <v>1836</v>
      </c>
      <c r="L81" s="16">
        <v>43279</v>
      </c>
      <c r="M81" s="13">
        <v>1811</v>
      </c>
      <c r="P81" s="16">
        <v>43281</v>
      </c>
      <c r="Q81" s="13">
        <v>3211</v>
      </c>
      <c r="T81" s="16">
        <v>43283</v>
      </c>
      <c r="U81" s="13">
        <v>2928</v>
      </c>
      <c r="X81" s="16">
        <v>43285</v>
      </c>
      <c r="Y81" s="13">
        <v>3042</v>
      </c>
      <c r="AB81" s="16">
        <v>43287</v>
      </c>
      <c r="AF81" s="16">
        <v>43289</v>
      </c>
      <c r="AG81" s="13">
        <v>5025</v>
      </c>
      <c r="AJ81" s="16">
        <v>43291</v>
      </c>
      <c r="AK81" s="13">
        <v>7893</v>
      </c>
      <c r="AN81" s="16">
        <v>43293</v>
      </c>
      <c r="AO81" s="13">
        <v>12922</v>
      </c>
      <c r="AR81" s="16">
        <v>43295</v>
      </c>
      <c r="AS81" s="13">
        <v>22781</v>
      </c>
      <c r="AV81" s="16">
        <v>43297</v>
      </c>
      <c r="AW81" s="13">
        <v>42900</v>
      </c>
      <c r="AZ81" s="16">
        <v>43299</v>
      </c>
      <c r="BA81" s="13">
        <f>4439*20</f>
        <v>88780</v>
      </c>
      <c r="BD81" s="16">
        <v>43301</v>
      </c>
      <c r="BE81" s="13">
        <f>6894*20</f>
        <v>137880</v>
      </c>
      <c r="BH81" s="16">
        <v>43303</v>
      </c>
      <c r="BI81" s="13">
        <f>9833*20</f>
        <v>196660</v>
      </c>
      <c r="BL81" s="16">
        <v>43305</v>
      </c>
    </row>
    <row r="82" spans="1:76" s="13" customFormat="1" x14ac:dyDescent="0.2">
      <c r="A82" s="23" t="s">
        <v>104</v>
      </c>
      <c r="B82" s="13" t="s">
        <v>76</v>
      </c>
      <c r="C82" s="13">
        <v>50</v>
      </c>
      <c r="D82" s="13">
        <v>30</v>
      </c>
      <c r="E82" s="14">
        <f>([1]innoculation!$D$19*1.5)/1000</f>
        <v>1185.2850000000001</v>
      </c>
      <c r="H82" s="16">
        <v>43277</v>
      </c>
      <c r="I82" s="13">
        <v>1799</v>
      </c>
      <c r="L82" s="16">
        <v>43279</v>
      </c>
      <c r="M82" s="13">
        <v>1909</v>
      </c>
      <c r="P82" s="16">
        <v>43281</v>
      </c>
      <c r="Q82" s="13">
        <v>3137</v>
      </c>
      <c r="T82" s="16">
        <v>43283</v>
      </c>
      <c r="U82" s="13">
        <v>2827</v>
      </c>
      <c r="X82" s="16">
        <v>43285</v>
      </c>
      <c r="Y82" s="13">
        <v>3119</v>
      </c>
      <c r="AB82" s="16">
        <v>43287</v>
      </c>
      <c r="AF82" s="16">
        <v>43289</v>
      </c>
      <c r="AG82" s="13">
        <v>5133</v>
      </c>
      <c r="AJ82" s="16">
        <v>43291</v>
      </c>
      <c r="AK82" s="13">
        <v>7769</v>
      </c>
      <c r="AN82" s="16">
        <v>43293</v>
      </c>
      <c r="AO82" s="13">
        <v>13018</v>
      </c>
      <c r="AR82" s="16">
        <v>43295</v>
      </c>
      <c r="AS82" s="13">
        <v>22761</v>
      </c>
      <c r="AV82" s="16">
        <v>43297</v>
      </c>
      <c r="AW82" s="13">
        <v>42610</v>
      </c>
      <c r="AZ82" s="16">
        <v>43299</v>
      </c>
      <c r="BA82" s="13">
        <f>4376*20</f>
        <v>87520</v>
      </c>
      <c r="BD82" s="16">
        <v>43301</v>
      </c>
      <c r="BE82" s="13">
        <f>6600*20</f>
        <v>132000</v>
      </c>
      <c r="BH82" s="16">
        <v>43303</v>
      </c>
      <c r="BI82" s="13">
        <f>9964*20</f>
        <v>199280</v>
      </c>
      <c r="BL82" s="16">
        <v>43305</v>
      </c>
    </row>
    <row r="83" spans="1:76" s="11" customFormat="1" x14ac:dyDescent="0.2">
      <c r="A83" s="24" t="s">
        <v>105</v>
      </c>
      <c r="B83" s="11" t="s">
        <v>76</v>
      </c>
      <c r="C83" s="11">
        <v>100</v>
      </c>
      <c r="D83" s="11">
        <v>30</v>
      </c>
      <c r="E83" s="20">
        <f>([1]innoculation!$D$20*2)/1000</f>
        <v>1334.64</v>
      </c>
      <c r="F83" s="21">
        <f>AVERAGE(E83:E91)</f>
        <v>1334.64</v>
      </c>
      <c r="G83" s="11">
        <f>STDEV(E83:E91)</f>
        <v>0</v>
      </c>
      <c r="H83" s="9">
        <v>43277</v>
      </c>
      <c r="I83" s="11">
        <v>2102</v>
      </c>
      <c r="J83" s="11">
        <f>AVERAGE(I83:I91)</f>
        <v>2032.1111111111111</v>
      </c>
      <c r="K83" s="11">
        <f>STDEV(I83:I91)</f>
        <v>98.173882021192938</v>
      </c>
      <c r="L83" s="9">
        <v>43279</v>
      </c>
      <c r="M83" s="11">
        <v>1672</v>
      </c>
      <c r="N83" s="11">
        <f>AVERAGE(M83:M91)</f>
        <v>1834.4444444444443</v>
      </c>
      <c r="O83" s="11">
        <f>STDEV(M83:M91)</f>
        <v>156.32187235885377</v>
      </c>
      <c r="P83" s="9">
        <v>43281</v>
      </c>
      <c r="Q83" s="11">
        <v>2891</v>
      </c>
      <c r="R83" s="11">
        <f>AVERAGE(Q83:Q91)</f>
        <v>2157.4444444444443</v>
      </c>
      <c r="S83" s="11">
        <f>STDEV(Q83:Q91)</f>
        <v>634.42022964103057</v>
      </c>
      <c r="T83" s="9">
        <v>43283</v>
      </c>
      <c r="U83" s="11">
        <v>3614</v>
      </c>
      <c r="V83" s="11">
        <f>AVERAGE(U83:U91)</f>
        <v>2399.3333333333335</v>
      </c>
      <c r="W83" s="11">
        <f>STDEV(U83:U91)</f>
        <v>905.72208761849242</v>
      </c>
      <c r="X83" s="8">
        <v>43285</v>
      </c>
      <c r="Y83" s="11">
        <v>4549</v>
      </c>
      <c r="Z83" s="11">
        <f>AVERAGE(Y83:Y91)</f>
        <v>2509</v>
      </c>
      <c r="AA83" s="11">
        <f>STDEV(Y83:Y91)</f>
        <v>1496.4768625007205</v>
      </c>
      <c r="AB83" s="9">
        <v>43287</v>
      </c>
      <c r="AF83" s="9">
        <v>43289</v>
      </c>
      <c r="AG83" s="11">
        <v>9946</v>
      </c>
      <c r="AH83" s="11">
        <f>AVERAGE(AG83:AG91)</f>
        <v>4303.666666666667</v>
      </c>
      <c r="AI83" s="11">
        <f>STDEV(AG83:AG91)</f>
        <v>4236.2843093918991</v>
      </c>
      <c r="AJ83" s="9">
        <v>43291</v>
      </c>
      <c r="AK83" s="11">
        <v>20199</v>
      </c>
      <c r="AL83" s="11">
        <f>AVERAGE(AK83:AK91)</f>
        <v>8058.2222222222226</v>
      </c>
      <c r="AM83" s="11">
        <f>STDEV(AK83:AK91)</f>
        <v>9038.714064757467</v>
      </c>
      <c r="AN83" s="9">
        <v>43293</v>
      </c>
      <c r="AO83" s="11">
        <v>31155</v>
      </c>
      <c r="AP83" s="11">
        <f>AVERAGE(AO83:AO91)</f>
        <v>12384.111111111111</v>
      </c>
      <c r="AQ83" s="11">
        <f>STDEV(AO83:AO91)</f>
        <v>14113.744696610858</v>
      </c>
      <c r="AR83" s="9">
        <v>43295</v>
      </c>
      <c r="AS83" s="11">
        <f>3352*20</f>
        <v>67040</v>
      </c>
      <c r="AT83" s="11">
        <f>AVERAGE(AS83:AS91)</f>
        <v>26835.777777777777</v>
      </c>
      <c r="AU83" s="11">
        <f>STDEV(AS83:AS91)</f>
        <v>30479.337454978322</v>
      </c>
      <c r="AV83" s="9">
        <v>43297</v>
      </c>
      <c r="AW83" s="11">
        <f>5206*20</f>
        <v>104120</v>
      </c>
      <c r="AX83" s="11">
        <f>AVERAGE(AW83:AW91)</f>
        <v>39536.666666666664</v>
      </c>
      <c r="AY83" s="11">
        <f>STDEV(AW83:AW91)</f>
        <v>49576.198997099404</v>
      </c>
      <c r="AZ83" s="9">
        <v>43299</v>
      </c>
      <c r="BA83" s="11">
        <f>8859*20</f>
        <v>177180</v>
      </c>
      <c r="BB83" s="11">
        <f>AVERAGE(BA83:BA91)</f>
        <v>66091.888888888891</v>
      </c>
      <c r="BC83" s="11">
        <f>STDEV(BA83:BA91)</f>
        <v>82581.113704109797</v>
      </c>
      <c r="BD83" s="9">
        <v>43301</v>
      </c>
      <c r="BE83" s="11">
        <f>13586*20</f>
        <v>271720</v>
      </c>
      <c r="BF83" s="11">
        <f>AVERAGE(BE83:BE91)</f>
        <v>102004.11111111111</v>
      </c>
      <c r="BG83" s="11">
        <f>STDEV(BE83:BE91)</f>
        <v>126212.02508719647</v>
      </c>
      <c r="BH83" s="9">
        <v>43303</v>
      </c>
      <c r="BI83" s="11">
        <f>19708*20</f>
        <v>394160</v>
      </c>
      <c r="BJ83" s="11">
        <f>AVERAGE(BI83:BI91)</f>
        <v>149215.88888888888</v>
      </c>
      <c r="BK83" s="11">
        <f>STDEV(BI83:BI91)</f>
        <v>182136.54721145646</v>
      </c>
      <c r="BL83" s="9">
        <v>43305</v>
      </c>
      <c r="BM83" s="11">
        <f>28323*20</f>
        <v>566460</v>
      </c>
      <c r="BN83" s="11">
        <f>AVERAGE(BM83:BM91)</f>
        <v>228894.44444444444</v>
      </c>
      <c r="BO83" s="11">
        <f>STDEV(BM83:BM91)</f>
        <v>252954.88869663654</v>
      </c>
      <c r="BP83" s="9">
        <v>43308</v>
      </c>
      <c r="BQ83" s="11">
        <f>31747*20</f>
        <v>634940</v>
      </c>
      <c r="BR83" s="11">
        <f>AVERAGE(BQ83:BQ91)</f>
        <v>262182.77777777775</v>
      </c>
      <c r="BS83" s="11">
        <f>STDEV(BQ83:BQ91)</f>
        <v>284007.30585751566</v>
      </c>
      <c r="BT83" s="9">
        <v>43310</v>
      </c>
      <c r="BU83" s="11">
        <f>40988*20</f>
        <v>819760</v>
      </c>
      <c r="BV83" s="11">
        <f>AVERAGE(BU83:BU91)</f>
        <v>351194.11111111112</v>
      </c>
      <c r="BW83" s="11">
        <f>STDEV(BU83:BU91)</f>
        <v>360803.91795005649</v>
      </c>
      <c r="BX83" s="9">
        <v>43312</v>
      </c>
    </row>
    <row r="84" spans="1:76" s="11" customFormat="1" x14ac:dyDescent="0.2">
      <c r="A84" s="24" t="s">
        <v>105</v>
      </c>
      <c r="B84" s="11" t="s">
        <v>76</v>
      </c>
      <c r="C84" s="11">
        <v>100</v>
      </c>
      <c r="D84" s="11">
        <v>30</v>
      </c>
      <c r="E84" s="20">
        <f>([1]innoculation!$D$20*2)/1000</f>
        <v>1334.64</v>
      </c>
      <c r="H84" s="9">
        <v>43277</v>
      </c>
      <c r="I84" s="11">
        <v>2192</v>
      </c>
      <c r="L84" s="9">
        <v>43279</v>
      </c>
      <c r="M84" s="11">
        <v>1945</v>
      </c>
      <c r="P84" s="9">
        <v>43281</v>
      </c>
      <c r="Q84" s="11">
        <v>2878</v>
      </c>
      <c r="T84" s="9">
        <v>43283</v>
      </c>
      <c r="U84" s="11">
        <v>3655</v>
      </c>
      <c r="X84" s="8">
        <v>43285</v>
      </c>
      <c r="Y84" s="11">
        <v>4466</v>
      </c>
      <c r="AB84" s="9">
        <v>43287</v>
      </c>
      <c r="AF84" s="9">
        <v>43289</v>
      </c>
      <c r="AG84" s="11">
        <v>9997</v>
      </c>
      <c r="AJ84" s="9">
        <v>43291</v>
      </c>
      <c r="AK84" s="11">
        <v>20039</v>
      </c>
      <c r="AN84" s="9">
        <v>43293</v>
      </c>
      <c r="AO84" s="11">
        <v>31333</v>
      </c>
      <c r="AR84" s="9">
        <v>43295</v>
      </c>
      <c r="AS84" s="11">
        <f>3399*20</f>
        <v>67980</v>
      </c>
      <c r="AV84" s="9">
        <v>43297</v>
      </c>
      <c r="AW84" s="11">
        <f>5283*20</f>
        <v>105660</v>
      </c>
      <c r="AZ84" s="9">
        <v>43299</v>
      </c>
      <c r="BA84" s="11">
        <f>8762*20</f>
        <v>175240</v>
      </c>
      <c r="BD84" s="9">
        <v>43301</v>
      </c>
      <c r="BE84" s="11">
        <f>14335*20</f>
        <v>286700</v>
      </c>
      <c r="BH84" s="9">
        <v>43303</v>
      </c>
      <c r="BI84" s="11">
        <f>19398*20</f>
        <v>387960</v>
      </c>
      <c r="BL84" s="9">
        <v>43305</v>
      </c>
      <c r="BM84" s="11">
        <f>28050*20</f>
        <v>561000</v>
      </c>
      <c r="BP84" s="9">
        <v>43308</v>
      </c>
      <c r="BQ84" s="11">
        <f>31636*20</f>
        <v>632720</v>
      </c>
      <c r="BT84" s="9">
        <v>43310</v>
      </c>
      <c r="BU84" s="11">
        <f>41028*20</f>
        <v>820560</v>
      </c>
      <c r="BX84" s="9">
        <v>43312</v>
      </c>
    </row>
    <row r="85" spans="1:76" s="11" customFormat="1" x14ac:dyDescent="0.2">
      <c r="A85" s="24" t="s">
        <v>105</v>
      </c>
      <c r="B85" s="11" t="s">
        <v>76</v>
      </c>
      <c r="C85" s="11">
        <v>100</v>
      </c>
      <c r="D85" s="11">
        <v>30</v>
      </c>
      <c r="E85" s="20">
        <f>([1]innoculation!$D$20*2)/1000</f>
        <v>1334.64</v>
      </c>
      <c r="H85" s="9">
        <v>43277</v>
      </c>
      <c r="I85" s="11">
        <v>2161</v>
      </c>
      <c r="L85" s="9">
        <v>43279</v>
      </c>
      <c r="M85" s="11">
        <v>1602</v>
      </c>
      <c r="P85" s="9">
        <v>43281</v>
      </c>
      <c r="Q85" s="11">
        <v>2922</v>
      </c>
      <c r="T85" s="9">
        <v>43283</v>
      </c>
      <c r="U85" s="11">
        <v>3548</v>
      </c>
      <c r="X85" s="8">
        <v>43285</v>
      </c>
      <c r="Y85" s="11">
        <v>4405</v>
      </c>
      <c r="AB85" s="9">
        <v>43287</v>
      </c>
      <c r="AF85" s="9">
        <v>43289</v>
      </c>
      <c r="AG85" s="11">
        <v>9880</v>
      </c>
      <c r="AJ85" s="9">
        <v>43291</v>
      </c>
      <c r="AK85" s="11">
        <v>20045</v>
      </c>
      <c r="AN85" s="9">
        <v>43293</v>
      </c>
      <c r="AO85" s="11">
        <v>30944</v>
      </c>
      <c r="AR85" s="9">
        <v>43295</v>
      </c>
      <c r="AS85" s="11">
        <f>3313*20</f>
        <v>66260</v>
      </c>
      <c r="AV85" s="9">
        <v>43297</v>
      </c>
      <c r="AW85" s="11">
        <f>5333*20</f>
        <v>106660</v>
      </c>
      <c r="AZ85" s="9">
        <v>43299</v>
      </c>
      <c r="BA85" s="11">
        <f>8761*20</f>
        <v>175220</v>
      </c>
      <c r="BD85" s="9">
        <v>43301</v>
      </c>
      <c r="BE85" s="11">
        <f>12450*20</f>
        <v>249000</v>
      </c>
      <c r="BH85" s="9">
        <v>43303</v>
      </c>
      <c r="BI85" s="11">
        <f>19531*20</f>
        <v>390620</v>
      </c>
      <c r="BL85" s="9">
        <v>43305</v>
      </c>
      <c r="BM85" s="11">
        <f>27862*20</f>
        <v>557240</v>
      </c>
      <c r="BP85" s="9">
        <v>43308</v>
      </c>
      <c r="BQ85" s="11">
        <f>31816*20</f>
        <v>636320</v>
      </c>
      <c r="BT85" s="9">
        <v>43310</v>
      </c>
      <c r="BU85" s="11">
        <f>40807*20</f>
        <v>816140</v>
      </c>
      <c r="BX85" s="9">
        <v>43312</v>
      </c>
    </row>
    <row r="86" spans="1:76" s="11" customFormat="1" x14ac:dyDescent="0.2">
      <c r="A86" s="24" t="s">
        <v>106</v>
      </c>
      <c r="B86" s="11" t="s">
        <v>76</v>
      </c>
      <c r="C86" s="11">
        <v>100</v>
      </c>
      <c r="D86" s="11">
        <v>30</v>
      </c>
      <c r="E86" s="20">
        <f>([1]innoculation!$D$20*2)/1000</f>
        <v>1334.64</v>
      </c>
      <c r="H86" s="9">
        <v>43277</v>
      </c>
      <c r="I86" s="11">
        <v>1924</v>
      </c>
      <c r="L86" s="9">
        <v>43279</v>
      </c>
      <c r="M86" s="11">
        <v>1999</v>
      </c>
      <c r="P86" s="9">
        <v>43281</v>
      </c>
      <c r="Q86" s="11">
        <v>2194</v>
      </c>
      <c r="T86" s="9">
        <v>43283</v>
      </c>
      <c r="U86" s="11">
        <v>1808</v>
      </c>
      <c r="X86" s="8">
        <v>43285</v>
      </c>
      <c r="Y86" s="11">
        <v>1869</v>
      </c>
      <c r="AB86" s="9">
        <v>43287</v>
      </c>
      <c r="AF86" s="9">
        <v>43289</v>
      </c>
      <c r="AG86" s="11">
        <v>1854</v>
      </c>
      <c r="AJ86" s="9">
        <v>43291</v>
      </c>
      <c r="AK86" s="11">
        <v>2529</v>
      </c>
      <c r="AN86" s="9">
        <v>43293</v>
      </c>
      <c r="AO86" s="11">
        <v>4347</v>
      </c>
      <c r="AR86" s="9">
        <v>43295</v>
      </c>
      <c r="AS86" s="11">
        <f>581*20</f>
        <v>11620</v>
      </c>
      <c r="AV86" s="9">
        <v>43297</v>
      </c>
      <c r="AW86" s="11">
        <v>10563</v>
      </c>
      <c r="AZ86" s="9">
        <v>43299</v>
      </c>
      <c r="BA86" s="11">
        <v>18461</v>
      </c>
      <c r="BD86" s="9">
        <v>43301</v>
      </c>
      <c r="BE86" s="11">
        <v>31742</v>
      </c>
      <c r="BH86" s="9">
        <v>43303</v>
      </c>
      <c r="BI86" s="11">
        <v>48734</v>
      </c>
      <c r="BL86" s="9">
        <v>43305</v>
      </c>
      <c r="BM86" s="11">
        <f>5053*20</f>
        <v>101060</v>
      </c>
      <c r="BP86" s="9">
        <v>43308</v>
      </c>
      <c r="BQ86" s="11">
        <f>6801*20</f>
        <v>136020</v>
      </c>
      <c r="BT86" s="9">
        <v>43310</v>
      </c>
      <c r="BU86" s="11">
        <f>10893*20</f>
        <v>217860</v>
      </c>
      <c r="BX86" s="9">
        <v>43312</v>
      </c>
    </row>
    <row r="87" spans="1:76" s="11" customFormat="1" x14ac:dyDescent="0.2">
      <c r="A87" s="24" t="s">
        <v>106</v>
      </c>
      <c r="B87" s="11" t="s">
        <v>76</v>
      </c>
      <c r="C87" s="11">
        <v>100</v>
      </c>
      <c r="D87" s="11">
        <v>30</v>
      </c>
      <c r="E87" s="20">
        <f>([1]innoculation!$D$20*2)/1000</f>
        <v>1334.64</v>
      </c>
      <c r="H87" s="9">
        <v>43277</v>
      </c>
      <c r="I87" s="11">
        <v>2021</v>
      </c>
      <c r="L87" s="9">
        <v>43279</v>
      </c>
      <c r="M87" s="11">
        <v>2005</v>
      </c>
      <c r="P87" s="9">
        <v>43281</v>
      </c>
      <c r="Q87" s="11">
        <v>2176</v>
      </c>
      <c r="T87" s="9">
        <v>43283</v>
      </c>
      <c r="U87" s="11">
        <v>1835</v>
      </c>
      <c r="X87" s="8">
        <v>43285</v>
      </c>
      <c r="Y87" s="11">
        <v>1825</v>
      </c>
      <c r="AB87" s="9">
        <v>43287</v>
      </c>
      <c r="AF87" s="9">
        <v>43289</v>
      </c>
      <c r="AG87" s="11">
        <v>1719</v>
      </c>
      <c r="AJ87" s="9">
        <v>43291</v>
      </c>
      <c r="AK87" s="11">
        <v>2561</v>
      </c>
      <c r="AN87" s="9">
        <v>43293</v>
      </c>
      <c r="AO87" s="11">
        <v>4239</v>
      </c>
      <c r="AR87" s="9">
        <v>43295</v>
      </c>
      <c r="AS87" s="11">
        <f>591*20</f>
        <v>11820</v>
      </c>
      <c r="AV87" s="9">
        <v>43297</v>
      </c>
      <c r="AW87" s="11">
        <v>10439</v>
      </c>
      <c r="AZ87" s="9">
        <v>43299</v>
      </c>
      <c r="BA87" s="11">
        <v>18463</v>
      </c>
      <c r="BD87" s="9">
        <v>43301</v>
      </c>
      <c r="BE87" s="11">
        <v>31262</v>
      </c>
      <c r="BH87" s="9">
        <v>43303</v>
      </c>
      <c r="BI87" s="11">
        <v>48722</v>
      </c>
      <c r="BL87" s="9">
        <v>43305</v>
      </c>
      <c r="BM87" s="11">
        <f>5754*20</f>
        <v>115080</v>
      </c>
      <c r="BP87" s="9">
        <v>43308</v>
      </c>
      <c r="BQ87" s="11">
        <f>6775*20</f>
        <v>135500</v>
      </c>
      <c r="BT87" s="9">
        <v>43310</v>
      </c>
      <c r="BU87" s="11">
        <f>10655*20</f>
        <v>213100</v>
      </c>
      <c r="BX87" s="9">
        <v>43312</v>
      </c>
    </row>
    <row r="88" spans="1:76" s="11" customFormat="1" x14ac:dyDescent="0.2">
      <c r="A88" s="24" t="s">
        <v>106</v>
      </c>
      <c r="B88" s="11" t="s">
        <v>76</v>
      </c>
      <c r="C88" s="11">
        <v>100</v>
      </c>
      <c r="D88" s="11">
        <v>30</v>
      </c>
      <c r="E88" s="20">
        <f>([1]innoculation!$D$20*2)/1000</f>
        <v>1334.64</v>
      </c>
      <c r="H88" s="9">
        <v>43277</v>
      </c>
      <c r="I88" s="11">
        <v>2017</v>
      </c>
      <c r="L88" s="9">
        <v>43279</v>
      </c>
      <c r="M88" s="11">
        <v>2004</v>
      </c>
      <c r="P88" s="9">
        <v>43281</v>
      </c>
      <c r="Q88" s="11">
        <v>2050</v>
      </c>
      <c r="T88" s="9">
        <v>43283</v>
      </c>
      <c r="U88" s="11">
        <v>1809</v>
      </c>
      <c r="X88" s="8">
        <v>43285</v>
      </c>
      <c r="Y88" s="11">
        <v>1778</v>
      </c>
      <c r="AB88" s="9">
        <v>43287</v>
      </c>
      <c r="AF88" s="9">
        <v>43289</v>
      </c>
      <c r="AG88" s="11">
        <v>1786</v>
      </c>
      <c r="AJ88" s="9">
        <v>43291</v>
      </c>
      <c r="AK88" s="11">
        <v>2605</v>
      </c>
      <c r="AN88" s="9">
        <v>43293</v>
      </c>
      <c r="AO88" s="11">
        <v>4259</v>
      </c>
      <c r="AR88" s="9">
        <v>43295</v>
      </c>
      <c r="AS88" s="11">
        <f>551*20</f>
        <v>11020</v>
      </c>
      <c r="AV88" s="9">
        <v>43297</v>
      </c>
      <c r="AW88" s="11">
        <v>10359</v>
      </c>
      <c r="AZ88" s="9">
        <v>43299</v>
      </c>
      <c r="BA88" s="11">
        <v>18377</v>
      </c>
      <c r="BD88" s="9">
        <v>43301</v>
      </c>
      <c r="BE88" s="11">
        <v>31231</v>
      </c>
      <c r="BH88" s="9">
        <v>43303</v>
      </c>
      <c r="BI88" s="11">
        <v>48772</v>
      </c>
      <c r="BL88" s="9">
        <v>43305</v>
      </c>
      <c r="BM88" s="11">
        <f>5744*20</f>
        <v>114880</v>
      </c>
      <c r="BP88" s="9">
        <v>43308</v>
      </c>
      <c r="BQ88" s="11">
        <f>6678*20</f>
        <v>133560</v>
      </c>
      <c r="BT88" s="9">
        <v>43310</v>
      </c>
      <c r="BU88" s="11">
        <f>10728*20</f>
        <v>214560</v>
      </c>
      <c r="BX88" s="9">
        <v>43312</v>
      </c>
    </row>
    <row r="89" spans="1:76" s="11" customFormat="1" x14ac:dyDescent="0.2">
      <c r="A89" s="24" t="s">
        <v>107</v>
      </c>
      <c r="B89" s="11" t="s">
        <v>76</v>
      </c>
      <c r="C89" s="11">
        <v>100</v>
      </c>
      <c r="D89" s="11">
        <v>30</v>
      </c>
      <c r="E89" s="20">
        <f>([1]innoculation!$D$20*2)/1000</f>
        <v>1334.64</v>
      </c>
      <c r="H89" s="9">
        <v>43277</v>
      </c>
      <c r="I89" s="11">
        <v>1929</v>
      </c>
      <c r="L89" s="9">
        <v>43279</v>
      </c>
      <c r="M89" s="11">
        <v>1747</v>
      </c>
      <c r="P89" s="9">
        <v>43281</v>
      </c>
      <c r="Q89" s="11">
        <v>1444</v>
      </c>
      <c r="T89" s="9">
        <v>43283</v>
      </c>
      <c r="U89" s="11">
        <v>1736</v>
      </c>
      <c r="X89" s="8">
        <v>43285</v>
      </c>
      <c r="Y89" s="11">
        <v>1287</v>
      </c>
      <c r="AB89" s="9">
        <v>43287</v>
      </c>
      <c r="AF89" s="9">
        <v>43289</v>
      </c>
      <c r="AG89" s="11">
        <v>1194</v>
      </c>
      <c r="AJ89" s="9">
        <v>43291</v>
      </c>
      <c r="AK89" s="11">
        <v>1439</v>
      </c>
      <c r="AN89" s="9">
        <v>43293</v>
      </c>
      <c r="AO89" s="11">
        <v>1738</v>
      </c>
      <c r="AR89" s="9">
        <v>43295</v>
      </c>
      <c r="AS89" s="11">
        <v>1938</v>
      </c>
      <c r="AV89" s="9">
        <v>43297</v>
      </c>
      <c r="AW89" s="11">
        <v>2750</v>
      </c>
      <c r="AZ89" s="9">
        <v>43299</v>
      </c>
      <c r="BA89" s="11">
        <v>3899</v>
      </c>
      <c r="BD89" s="9">
        <v>43301</v>
      </c>
      <c r="BE89" s="11">
        <v>5422</v>
      </c>
      <c r="BH89" s="9">
        <v>43303</v>
      </c>
      <c r="BI89" s="11">
        <v>8074</v>
      </c>
      <c r="BL89" s="9">
        <v>43305</v>
      </c>
      <c r="BM89" s="11">
        <v>14589</v>
      </c>
      <c r="BP89" s="9">
        <v>43308</v>
      </c>
      <c r="BQ89" s="11">
        <v>16812</v>
      </c>
      <c r="BT89" s="9">
        <v>43310</v>
      </c>
      <c r="BU89" s="11">
        <v>19452</v>
      </c>
      <c r="BX89" s="9">
        <v>43312</v>
      </c>
    </row>
    <row r="90" spans="1:76" s="11" customFormat="1" x14ac:dyDescent="0.2">
      <c r="A90" s="24" t="s">
        <v>107</v>
      </c>
      <c r="B90" s="11" t="s">
        <v>76</v>
      </c>
      <c r="C90" s="11">
        <v>100</v>
      </c>
      <c r="D90" s="11">
        <v>30</v>
      </c>
      <c r="E90" s="20">
        <f>([1]innoculation!$D$20*2)/1000</f>
        <v>1334.64</v>
      </c>
      <c r="H90" s="9">
        <v>43277</v>
      </c>
      <c r="I90" s="11">
        <v>1975</v>
      </c>
      <c r="L90" s="9">
        <v>43279</v>
      </c>
      <c r="M90" s="11">
        <v>1741</v>
      </c>
      <c r="P90" s="9">
        <v>43281</v>
      </c>
      <c r="Q90" s="11">
        <v>1445</v>
      </c>
      <c r="T90" s="9">
        <v>43283</v>
      </c>
      <c r="U90" s="11">
        <v>1832</v>
      </c>
      <c r="X90" s="8">
        <v>43285</v>
      </c>
      <c r="Y90" s="11">
        <v>1166</v>
      </c>
      <c r="AB90" s="9">
        <v>43287</v>
      </c>
      <c r="AF90" s="9">
        <v>43289</v>
      </c>
      <c r="AG90" s="11">
        <v>1178</v>
      </c>
      <c r="AJ90" s="9">
        <v>43291</v>
      </c>
      <c r="AK90" s="11">
        <v>1545</v>
      </c>
      <c r="AN90" s="9">
        <v>43293</v>
      </c>
      <c r="AO90" s="11">
        <v>1781</v>
      </c>
      <c r="AR90" s="9">
        <v>43295</v>
      </c>
      <c r="AS90" s="11">
        <v>1921</v>
      </c>
      <c r="AV90" s="9">
        <v>43297</v>
      </c>
      <c r="AW90" s="11">
        <v>2578</v>
      </c>
      <c r="AZ90" s="9">
        <v>43299</v>
      </c>
      <c r="BA90" s="11">
        <v>4016</v>
      </c>
      <c r="BD90" s="9">
        <v>43301</v>
      </c>
      <c r="BE90" s="11">
        <v>5464</v>
      </c>
      <c r="BH90" s="9">
        <v>43303</v>
      </c>
      <c r="BI90" s="11">
        <v>7983</v>
      </c>
      <c r="BL90" s="9">
        <v>43305</v>
      </c>
      <c r="BM90" s="11">
        <v>14800</v>
      </c>
      <c r="BP90" s="9">
        <v>43308</v>
      </c>
      <c r="BQ90" s="11">
        <v>16788</v>
      </c>
      <c r="BT90" s="9">
        <v>43310</v>
      </c>
      <c r="BU90" s="11">
        <v>19688</v>
      </c>
      <c r="BX90" s="9">
        <v>43312</v>
      </c>
    </row>
    <row r="91" spans="1:76" s="11" customFormat="1" x14ac:dyDescent="0.2">
      <c r="A91" s="24" t="s">
        <v>107</v>
      </c>
      <c r="B91" s="11" t="s">
        <v>76</v>
      </c>
      <c r="C91" s="11">
        <v>100</v>
      </c>
      <c r="D91" s="11">
        <v>30</v>
      </c>
      <c r="E91" s="20">
        <f>([1]innoculation!$D$20*2)/1000</f>
        <v>1334.64</v>
      </c>
      <c r="H91" s="9">
        <v>43277</v>
      </c>
      <c r="I91" s="11">
        <v>1968</v>
      </c>
      <c r="L91" s="9">
        <v>43279</v>
      </c>
      <c r="M91" s="11">
        <v>1795</v>
      </c>
      <c r="P91" s="9">
        <v>43281</v>
      </c>
      <c r="Q91" s="11">
        <v>1417</v>
      </c>
      <c r="T91" s="9">
        <v>43283</v>
      </c>
      <c r="U91" s="11">
        <v>1757</v>
      </c>
      <c r="X91" s="8">
        <v>43285</v>
      </c>
      <c r="Y91" s="11">
        <v>1236</v>
      </c>
      <c r="AB91" s="9">
        <v>43287</v>
      </c>
      <c r="AF91" s="9">
        <v>43289</v>
      </c>
      <c r="AG91" s="11">
        <v>1179</v>
      </c>
      <c r="AJ91" s="9">
        <v>43291</v>
      </c>
      <c r="AK91" s="11">
        <v>1562</v>
      </c>
      <c r="AN91" s="9">
        <v>43293</v>
      </c>
      <c r="AO91" s="11">
        <v>1661</v>
      </c>
      <c r="AR91" s="9">
        <v>43295</v>
      </c>
      <c r="AS91" s="11">
        <v>1923</v>
      </c>
      <c r="AV91" s="9">
        <v>43297</v>
      </c>
      <c r="AW91" s="11">
        <v>2701</v>
      </c>
      <c r="AZ91" s="9">
        <v>43299</v>
      </c>
      <c r="BA91" s="11">
        <v>3971</v>
      </c>
      <c r="BD91" s="9">
        <v>43301</v>
      </c>
      <c r="BE91" s="11">
        <v>5496</v>
      </c>
      <c r="BH91" s="9">
        <v>43303</v>
      </c>
      <c r="BI91" s="11">
        <v>7918</v>
      </c>
      <c r="BL91" s="9">
        <v>43305</v>
      </c>
      <c r="BM91" s="11">
        <v>14941</v>
      </c>
      <c r="BP91" s="9">
        <v>43308</v>
      </c>
      <c r="BQ91" s="11">
        <v>16985</v>
      </c>
      <c r="BT91" s="9">
        <v>43310</v>
      </c>
      <c r="BU91" s="11">
        <v>19627</v>
      </c>
      <c r="BX91" s="9">
        <v>43312</v>
      </c>
    </row>
    <row r="92" spans="1:76" s="11" customFormat="1" x14ac:dyDescent="0.2">
      <c r="A92" s="24" t="s">
        <v>108</v>
      </c>
      <c r="B92" s="11" t="s">
        <v>80</v>
      </c>
      <c r="C92" s="11">
        <v>50</v>
      </c>
      <c r="D92" s="11">
        <v>30</v>
      </c>
      <c r="E92" s="20">
        <f>([1]innoculation!$D$22*3)/1000</f>
        <v>1244.07</v>
      </c>
      <c r="F92" s="21">
        <f>AVERAGE(E92:E100)</f>
        <v>1244.07</v>
      </c>
      <c r="G92" s="11">
        <f>STDEV(E92:E100)</f>
        <v>0</v>
      </c>
      <c r="H92" s="9">
        <v>43277</v>
      </c>
      <c r="I92" s="11">
        <v>1607</v>
      </c>
      <c r="J92" s="11">
        <f>AVERAGE(I92:I100)</f>
        <v>1782.1111111111111</v>
      </c>
      <c r="K92" s="11">
        <f>STDEV(I92:I100)</f>
        <v>109.69211963997738</v>
      </c>
      <c r="L92" s="9">
        <v>43279</v>
      </c>
      <c r="M92" s="11">
        <v>2592</v>
      </c>
      <c r="N92" s="11">
        <f>AVERAGE(M92:M100)</f>
        <v>2324</v>
      </c>
      <c r="O92" s="11">
        <f>STDEV(M92:M100)</f>
        <v>162.31219917184291</v>
      </c>
      <c r="P92" s="9">
        <v>43281</v>
      </c>
      <c r="Q92" s="11">
        <v>2102</v>
      </c>
      <c r="R92" s="11">
        <f>AVERAGE(Q92:Q100)</f>
        <v>1721.5555555555557</v>
      </c>
      <c r="S92" s="11">
        <f>STDEV(Q92:Q100)</f>
        <v>380.52894473059206</v>
      </c>
      <c r="T92" s="9">
        <v>43283</v>
      </c>
      <c r="U92" s="11">
        <v>1828</v>
      </c>
      <c r="V92" s="11">
        <f>AVERAGE(U92:U100)</f>
        <v>1466.5555555555557</v>
      </c>
      <c r="W92" s="11">
        <f>STDEV(U92:U100)</f>
        <v>323.43744028448219</v>
      </c>
      <c r="X92" s="8">
        <v>43285</v>
      </c>
      <c r="Y92" s="11">
        <v>1478</v>
      </c>
      <c r="Z92" s="11">
        <f>AVERAGE(Y92:Y100)</f>
        <v>1351.5555555555557</v>
      </c>
      <c r="AA92" s="11">
        <f>STDEV(Y92:Y100)</f>
        <v>270.51114168879951</v>
      </c>
      <c r="AB92" s="9">
        <v>43287</v>
      </c>
      <c r="AF92" s="9">
        <v>43289</v>
      </c>
      <c r="AG92" s="11">
        <v>2701</v>
      </c>
      <c r="AH92" s="11">
        <f>AVERAGE(AG92:AG100)</f>
        <v>3337.3333333333335</v>
      </c>
      <c r="AI92" s="11">
        <f>STDEV(AG92:AG100)</f>
        <v>1206.1763967181582</v>
      </c>
      <c r="AJ92" s="9">
        <v>43291</v>
      </c>
      <c r="AK92" s="11">
        <v>5910</v>
      </c>
      <c r="AL92" s="11">
        <f>AVERAGE(AK92:AK100)</f>
        <v>8545.5555555555547</v>
      </c>
      <c r="AM92" s="11">
        <f>STDEV(AK92:AK100)</f>
        <v>3699.3864055783329</v>
      </c>
      <c r="AN92" s="9">
        <v>43293</v>
      </c>
      <c r="AO92" s="11">
        <v>14925</v>
      </c>
      <c r="AP92" s="11">
        <f>AVERAGE(AO92:AO100)</f>
        <v>23006.444444444445</v>
      </c>
      <c r="AQ92" s="11">
        <f>STDEV(AO92:AO100)</f>
        <v>11779.261151607845</v>
      </c>
      <c r="AR92" s="9">
        <v>43295</v>
      </c>
      <c r="AS92" s="11">
        <v>37915</v>
      </c>
      <c r="AT92" s="11">
        <f>AVERAGE(AS92:AS100)</f>
        <v>74600.888888888891</v>
      </c>
      <c r="AU92" s="11">
        <f>STDEV(AS92:AS100)</f>
        <v>50433.379242929092</v>
      </c>
      <c r="AV92" s="9">
        <v>43297</v>
      </c>
      <c r="AW92" s="11">
        <v>70875</v>
      </c>
      <c r="AX92" s="11">
        <f>AVERAGE(AW92:AW100)</f>
        <v>109053.22222222222</v>
      </c>
      <c r="AY92" s="11">
        <f>STDEV(AW92:AW100)</f>
        <v>40616.371393742753</v>
      </c>
      <c r="AZ92" s="9">
        <v>43299</v>
      </c>
      <c r="BA92" s="11">
        <f>6605*20</f>
        <v>132100</v>
      </c>
      <c r="BB92" s="11">
        <f>AVERAGE(BA92:BA100)</f>
        <v>193602.22222222222</v>
      </c>
      <c r="BC92" s="11">
        <f>STDEV(BA92:BA100)</f>
        <v>50827.253953410102</v>
      </c>
      <c r="BD92" s="9">
        <v>43301</v>
      </c>
      <c r="BE92" s="11">
        <f>16410*20</f>
        <v>328200</v>
      </c>
      <c r="BF92" s="11">
        <f>AVERAGE(BE92:BE100)</f>
        <v>338702.22222222225</v>
      </c>
      <c r="BG92" s="11">
        <f>STDEV(BE92:BE100)</f>
        <v>32051.247158955368</v>
      </c>
      <c r="BH92" s="9">
        <v>43303</v>
      </c>
    </row>
    <row r="93" spans="1:76" s="11" customFormat="1" x14ac:dyDescent="0.2">
      <c r="A93" s="24" t="s">
        <v>108</v>
      </c>
      <c r="B93" s="11" t="s">
        <v>80</v>
      </c>
      <c r="C93" s="11">
        <v>50</v>
      </c>
      <c r="D93" s="11">
        <v>30</v>
      </c>
      <c r="E93" s="20">
        <f>([1]innoculation!$D$22*3)/1000</f>
        <v>1244.07</v>
      </c>
      <c r="H93" s="9">
        <v>43277</v>
      </c>
      <c r="I93" s="11">
        <v>1711</v>
      </c>
      <c r="L93" s="9">
        <v>43279</v>
      </c>
      <c r="M93" s="11">
        <v>2458</v>
      </c>
      <c r="P93" s="9">
        <v>43281</v>
      </c>
      <c r="Q93" s="11">
        <v>2094</v>
      </c>
      <c r="T93" s="9">
        <v>43283</v>
      </c>
      <c r="U93" s="11">
        <v>1791</v>
      </c>
      <c r="X93" s="8">
        <v>43285</v>
      </c>
      <c r="Y93" s="11">
        <v>1579</v>
      </c>
      <c r="AB93" s="9">
        <v>43287</v>
      </c>
      <c r="AF93" s="9">
        <v>43289</v>
      </c>
      <c r="AG93" s="11">
        <v>2584</v>
      </c>
      <c r="AJ93" s="9">
        <v>43291</v>
      </c>
      <c r="AK93" s="11">
        <v>5430</v>
      </c>
      <c r="AN93" s="9">
        <v>43293</v>
      </c>
      <c r="AO93" s="11">
        <v>14460</v>
      </c>
      <c r="AR93" s="9">
        <v>43295</v>
      </c>
      <c r="AS93" s="11">
        <v>37255</v>
      </c>
      <c r="AV93" s="9">
        <v>43297</v>
      </c>
      <c r="AW93" s="11">
        <v>69175</v>
      </c>
      <c r="AZ93" s="9">
        <v>43299</v>
      </c>
      <c r="BA93" s="11">
        <f>6546*20</f>
        <v>130920</v>
      </c>
      <c r="BD93" s="9">
        <v>43301</v>
      </c>
      <c r="BE93" s="11">
        <f>16813*20</f>
        <v>336260</v>
      </c>
      <c r="BH93" s="9">
        <v>43303</v>
      </c>
    </row>
    <row r="94" spans="1:76" s="11" customFormat="1" x14ac:dyDescent="0.2">
      <c r="A94" s="24" t="s">
        <v>108</v>
      </c>
      <c r="B94" s="11" t="s">
        <v>80</v>
      </c>
      <c r="C94" s="11">
        <v>50</v>
      </c>
      <c r="D94" s="11">
        <v>30</v>
      </c>
      <c r="E94" s="20">
        <f>([1]innoculation!$D$22*3)/1000</f>
        <v>1244.07</v>
      </c>
      <c r="H94" s="9">
        <v>43277</v>
      </c>
      <c r="I94" s="11">
        <v>1610</v>
      </c>
      <c r="L94" s="9">
        <v>43279</v>
      </c>
      <c r="M94" s="11">
        <v>2463</v>
      </c>
      <c r="P94" s="9">
        <v>43281</v>
      </c>
      <c r="Q94" s="11">
        <v>2033</v>
      </c>
      <c r="T94" s="9">
        <v>43283</v>
      </c>
      <c r="U94" s="11">
        <v>1826</v>
      </c>
      <c r="X94" s="8">
        <v>43285</v>
      </c>
      <c r="Y94" s="11">
        <v>1606</v>
      </c>
      <c r="AB94" s="9">
        <v>43287</v>
      </c>
      <c r="AF94" s="9">
        <v>43289</v>
      </c>
      <c r="AG94" s="11">
        <v>2622</v>
      </c>
      <c r="AJ94" s="9">
        <v>43291</v>
      </c>
      <c r="AK94" s="11">
        <v>5306</v>
      </c>
      <c r="AN94" s="9">
        <v>43293</v>
      </c>
      <c r="AO94" s="11">
        <v>14179</v>
      </c>
      <c r="AR94" s="9">
        <v>43295</v>
      </c>
      <c r="AS94" s="11">
        <v>36770</v>
      </c>
      <c r="AV94" s="9">
        <v>43297</v>
      </c>
      <c r="AW94" s="11">
        <v>70031</v>
      </c>
      <c r="AZ94" s="9">
        <v>43299</v>
      </c>
      <c r="BA94" s="11">
        <f>6551*20</f>
        <v>131020</v>
      </c>
      <c r="BD94" s="9">
        <v>43301</v>
      </c>
      <c r="BE94" s="11">
        <f>16445*20</f>
        <v>328900</v>
      </c>
      <c r="BH94" s="9">
        <v>43303</v>
      </c>
    </row>
    <row r="95" spans="1:76" s="11" customFormat="1" x14ac:dyDescent="0.2">
      <c r="A95" s="24" t="s">
        <v>109</v>
      </c>
      <c r="B95" s="11" t="s">
        <v>80</v>
      </c>
      <c r="C95" s="11">
        <v>50</v>
      </c>
      <c r="D95" s="11">
        <v>30</v>
      </c>
      <c r="E95" s="20">
        <f>([1]innoculation!$D$22*3)/1000</f>
        <v>1244.07</v>
      </c>
      <c r="H95" s="9">
        <v>43277</v>
      </c>
      <c r="I95" s="11">
        <v>1831</v>
      </c>
      <c r="L95" s="9">
        <v>43279</v>
      </c>
      <c r="M95" s="11">
        <v>2324</v>
      </c>
      <c r="P95" s="9">
        <v>43281</v>
      </c>
      <c r="Q95" s="11">
        <v>1818</v>
      </c>
      <c r="T95" s="9">
        <v>43283</v>
      </c>
      <c r="U95" s="11">
        <v>1514</v>
      </c>
      <c r="X95" s="8">
        <v>43285</v>
      </c>
      <c r="Y95" s="11">
        <v>1457</v>
      </c>
      <c r="AB95" s="9">
        <v>43287</v>
      </c>
      <c r="AF95" s="9">
        <v>43289</v>
      </c>
      <c r="AG95" s="11">
        <v>4944</v>
      </c>
      <c r="AJ95" s="9">
        <v>43291</v>
      </c>
      <c r="AK95" s="11">
        <v>13388</v>
      </c>
      <c r="AN95" s="9">
        <v>43293</v>
      </c>
      <c r="AO95" s="11">
        <v>38053</v>
      </c>
      <c r="AR95" s="9">
        <v>43295</v>
      </c>
      <c r="AS95" s="11">
        <f>7098*20</f>
        <v>141960</v>
      </c>
      <c r="AV95" s="9">
        <v>43297</v>
      </c>
      <c r="AW95" s="11">
        <f>7911*20</f>
        <v>158220</v>
      </c>
      <c r="AZ95" s="9">
        <v>43299</v>
      </c>
      <c r="BA95" s="11">
        <f>12478*20</f>
        <v>249560</v>
      </c>
      <c r="BD95" s="9">
        <v>43301</v>
      </c>
      <c r="BE95" s="11">
        <f>19012*20</f>
        <v>380240</v>
      </c>
      <c r="BH95" s="9">
        <v>43303</v>
      </c>
    </row>
    <row r="96" spans="1:76" s="11" customFormat="1" x14ac:dyDescent="0.2">
      <c r="A96" s="24" t="s">
        <v>109</v>
      </c>
      <c r="B96" s="11" t="s">
        <v>80</v>
      </c>
      <c r="C96" s="11">
        <v>50</v>
      </c>
      <c r="D96" s="11">
        <v>30</v>
      </c>
      <c r="E96" s="20">
        <f>([1]innoculation!$D$22*3)/1000</f>
        <v>1244.07</v>
      </c>
      <c r="H96" s="9">
        <v>43277</v>
      </c>
      <c r="I96" s="11">
        <v>1836</v>
      </c>
      <c r="L96" s="9">
        <v>43279</v>
      </c>
      <c r="M96" s="11">
        <v>2338</v>
      </c>
      <c r="P96" s="9">
        <v>43281</v>
      </c>
      <c r="Q96" s="11">
        <v>1940</v>
      </c>
      <c r="T96" s="9">
        <v>43283</v>
      </c>
      <c r="U96" s="11">
        <v>1485</v>
      </c>
      <c r="X96" s="8">
        <v>43285</v>
      </c>
      <c r="Y96" s="11">
        <v>1525</v>
      </c>
      <c r="AB96" s="9">
        <v>43287</v>
      </c>
      <c r="AF96" s="9">
        <v>43289</v>
      </c>
      <c r="AG96" s="11">
        <v>4967</v>
      </c>
      <c r="AJ96" s="9">
        <v>43291</v>
      </c>
      <c r="AK96" s="11">
        <v>13116</v>
      </c>
      <c r="AN96" s="9">
        <v>43293</v>
      </c>
      <c r="AO96" s="11">
        <v>37726</v>
      </c>
      <c r="AR96" s="9">
        <v>43295</v>
      </c>
      <c r="AS96" s="11">
        <f>7036*20</f>
        <v>140720</v>
      </c>
      <c r="AV96" s="9">
        <v>43297</v>
      </c>
      <c r="AW96" s="11">
        <f>8114*20</f>
        <v>162280</v>
      </c>
      <c r="AZ96" s="9">
        <v>43299</v>
      </c>
      <c r="BA96" s="11">
        <f>12320*20</f>
        <v>246400</v>
      </c>
      <c r="BD96" s="9">
        <v>43301</v>
      </c>
      <c r="BE96" s="11">
        <f>18964*20</f>
        <v>379280</v>
      </c>
      <c r="BH96" s="9">
        <v>43303</v>
      </c>
    </row>
    <row r="97" spans="1:64" s="11" customFormat="1" x14ac:dyDescent="0.2">
      <c r="A97" s="24" t="s">
        <v>109</v>
      </c>
      <c r="B97" s="11" t="s">
        <v>80</v>
      </c>
      <c r="C97" s="11">
        <v>50</v>
      </c>
      <c r="D97" s="11">
        <v>30</v>
      </c>
      <c r="E97" s="20">
        <f>([1]innoculation!$D$22*3)/1000</f>
        <v>1244.07</v>
      </c>
      <c r="H97" s="9">
        <v>43277</v>
      </c>
      <c r="I97" s="11">
        <v>1843</v>
      </c>
      <c r="L97" s="9">
        <v>43279</v>
      </c>
      <c r="M97" s="11">
        <v>2318</v>
      </c>
      <c r="P97" s="9">
        <v>43281</v>
      </c>
      <c r="Q97" s="11">
        <v>1805</v>
      </c>
      <c r="T97" s="9">
        <v>43283</v>
      </c>
      <c r="U97" s="11">
        <v>1529</v>
      </c>
      <c r="X97" s="8">
        <v>43285</v>
      </c>
      <c r="Y97" s="11">
        <v>1531</v>
      </c>
      <c r="AB97" s="9">
        <v>43287</v>
      </c>
      <c r="AF97" s="9">
        <v>43289</v>
      </c>
      <c r="AG97" s="11">
        <v>4910</v>
      </c>
      <c r="AJ97" s="9">
        <v>43291</v>
      </c>
      <c r="AK97" s="11">
        <v>13768</v>
      </c>
      <c r="AN97" s="9">
        <v>43293</v>
      </c>
      <c r="AO97" s="11">
        <v>40215</v>
      </c>
      <c r="AR97" s="9">
        <v>43295</v>
      </c>
      <c r="AS97" s="11">
        <f>7121*20</f>
        <v>142420</v>
      </c>
      <c r="AV97" s="9">
        <v>43297</v>
      </c>
      <c r="AW97" s="11">
        <f>8132*20</f>
        <v>162640</v>
      </c>
      <c r="AZ97" s="9">
        <v>43299</v>
      </c>
      <c r="BA97" s="11">
        <f>12386*20</f>
        <v>247720</v>
      </c>
      <c r="BD97" s="9">
        <v>43301</v>
      </c>
      <c r="BE97" s="11">
        <f>18840*20</f>
        <v>376800</v>
      </c>
      <c r="BH97" s="9">
        <v>43303</v>
      </c>
    </row>
    <row r="98" spans="1:64" s="11" customFormat="1" x14ac:dyDescent="0.2">
      <c r="A98" s="24" t="s">
        <v>110</v>
      </c>
      <c r="B98" s="11" t="s">
        <v>80</v>
      </c>
      <c r="C98" s="11">
        <v>50</v>
      </c>
      <c r="D98" s="11">
        <v>30</v>
      </c>
      <c r="E98" s="20">
        <f>([1]innoculation!$D$22*3)/1000</f>
        <v>1244.07</v>
      </c>
      <c r="H98" s="9">
        <v>43277</v>
      </c>
      <c r="I98" s="11">
        <v>1861</v>
      </c>
      <c r="L98" s="9">
        <v>43279</v>
      </c>
      <c r="M98" s="11">
        <v>2125</v>
      </c>
      <c r="P98" s="9">
        <v>43281</v>
      </c>
      <c r="Q98" s="11">
        <v>1257</v>
      </c>
      <c r="T98" s="9">
        <v>43283</v>
      </c>
      <c r="U98" s="11">
        <v>1138</v>
      </c>
      <c r="X98" s="8">
        <v>43285</v>
      </c>
      <c r="Y98" s="11">
        <v>1008</v>
      </c>
      <c r="AB98" s="9">
        <v>43287</v>
      </c>
      <c r="AF98" s="9">
        <v>43289</v>
      </c>
      <c r="AG98" s="11">
        <v>2495</v>
      </c>
      <c r="AJ98" s="9">
        <v>43291</v>
      </c>
      <c r="AK98" s="11">
        <v>6752</v>
      </c>
      <c r="AN98" s="9">
        <v>43293</v>
      </c>
      <c r="AO98" s="11">
        <v>15788</v>
      </c>
      <c r="AR98" s="9">
        <v>43295</v>
      </c>
      <c r="AS98" s="11">
        <v>43822</v>
      </c>
      <c r="AV98" s="9">
        <v>43297</v>
      </c>
      <c r="AW98" s="11">
        <v>96628</v>
      </c>
      <c r="AZ98" s="9">
        <v>43299</v>
      </c>
      <c r="BA98" s="11">
        <f>10080*20</f>
        <v>201600</v>
      </c>
      <c r="BD98" s="9">
        <v>43301</v>
      </c>
      <c r="BE98" s="11">
        <f>15468*20</f>
        <v>309360</v>
      </c>
      <c r="BH98" s="9">
        <v>43303</v>
      </c>
    </row>
    <row r="99" spans="1:64" s="11" customFormat="1" x14ac:dyDescent="0.2">
      <c r="A99" s="24" t="s">
        <v>110</v>
      </c>
      <c r="B99" s="11" t="s">
        <v>80</v>
      </c>
      <c r="C99" s="11">
        <v>50</v>
      </c>
      <c r="D99" s="11">
        <v>30</v>
      </c>
      <c r="E99" s="20">
        <f>([1]innoculation!$D$22*3)/1000</f>
        <v>1244.07</v>
      </c>
      <c r="H99" s="9">
        <v>43277</v>
      </c>
      <c r="I99" s="11">
        <v>1881</v>
      </c>
      <c r="L99" s="9">
        <v>43279</v>
      </c>
      <c r="M99" s="11">
        <v>2166</v>
      </c>
      <c r="P99" s="9">
        <v>43281</v>
      </c>
      <c r="Q99" s="11">
        <v>1228</v>
      </c>
      <c r="T99" s="9">
        <v>43283</v>
      </c>
      <c r="U99" s="11">
        <v>1033</v>
      </c>
      <c r="X99" s="8">
        <v>43285</v>
      </c>
      <c r="Y99" s="11">
        <v>996</v>
      </c>
      <c r="AB99" s="9">
        <v>43287</v>
      </c>
      <c r="AF99" s="9">
        <v>43289</v>
      </c>
      <c r="AG99" s="11">
        <v>2437</v>
      </c>
      <c r="AJ99" s="9">
        <v>43291</v>
      </c>
      <c r="AK99" s="11">
        <v>6834</v>
      </c>
      <c r="AN99" s="9">
        <v>43293</v>
      </c>
      <c r="AO99" s="11">
        <v>16148</v>
      </c>
      <c r="AR99" s="9">
        <v>43295</v>
      </c>
      <c r="AS99" s="11">
        <v>45748</v>
      </c>
      <c r="AV99" s="9">
        <v>43297</v>
      </c>
      <c r="AW99" s="11">
        <v>95670</v>
      </c>
      <c r="AZ99" s="9">
        <v>43299</v>
      </c>
      <c r="BA99" s="11">
        <f>10117*20</f>
        <v>202340</v>
      </c>
      <c r="BD99" s="9">
        <v>43301</v>
      </c>
      <c r="BE99" s="11">
        <f>15269*20</f>
        <v>305380</v>
      </c>
      <c r="BH99" s="9">
        <v>43303</v>
      </c>
    </row>
    <row r="100" spans="1:64" s="11" customFormat="1" x14ac:dyDescent="0.2">
      <c r="A100" s="24" t="s">
        <v>110</v>
      </c>
      <c r="B100" s="11" t="s">
        <v>80</v>
      </c>
      <c r="C100" s="11">
        <v>50</v>
      </c>
      <c r="D100" s="11">
        <v>30</v>
      </c>
      <c r="E100" s="20">
        <f>([1]innoculation!$D$22*3)/1000</f>
        <v>1244.07</v>
      </c>
      <c r="H100" s="9">
        <v>43277</v>
      </c>
      <c r="I100" s="11">
        <v>1859</v>
      </c>
      <c r="L100" s="9">
        <v>43279</v>
      </c>
      <c r="M100" s="11">
        <v>2132</v>
      </c>
      <c r="P100" s="9">
        <v>43281</v>
      </c>
      <c r="Q100" s="11">
        <v>1217</v>
      </c>
      <c r="T100" s="9">
        <v>43283</v>
      </c>
      <c r="U100" s="11">
        <v>1055</v>
      </c>
      <c r="X100" s="8">
        <v>43285</v>
      </c>
      <c r="Y100" s="11">
        <v>984</v>
      </c>
      <c r="AB100" s="9">
        <v>43287</v>
      </c>
      <c r="AF100" s="9">
        <v>43289</v>
      </c>
      <c r="AG100" s="11">
        <v>2376</v>
      </c>
      <c r="AJ100" s="9">
        <v>43291</v>
      </c>
      <c r="AK100" s="11">
        <v>6406</v>
      </c>
      <c r="AN100" s="9">
        <v>43293</v>
      </c>
      <c r="AO100" s="11">
        <v>15564</v>
      </c>
      <c r="AR100" s="9">
        <v>43295</v>
      </c>
      <c r="AS100" s="11">
        <v>44798</v>
      </c>
      <c r="AV100" s="9">
        <v>43297</v>
      </c>
      <c r="AW100" s="11">
        <v>95960</v>
      </c>
      <c r="AZ100" s="9">
        <v>43299</v>
      </c>
      <c r="BA100" s="11">
        <f>10038*20</f>
        <v>200760</v>
      </c>
      <c r="BD100" s="9">
        <v>43301</v>
      </c>
      <c r="BE100" s="11">
        <f>15195*20</f>
        <v>303900</v>
      </c>
      <c r="BH100" s="9">
        <v>43303</v>
      </c>
    </row>
    <row r="101" spans="1:64" s="13" customFormat="1" x14ac:dyDescent="0.2">
      <c r="A101" s="23" t="s">
        <v>111</v>
      </c>
      <c r="B101" s="13" t="s">
        <v>80</v>
      </c>
      <c r="C101" s="13">
        <v>100</v>
      </c>
      <c r="D101" s="13">
        <v>30</v>
      </c>
      <c r="E101" s="14">
        <f>([1]innoculation!$D$23*3.5)/1000</f>
        <v>1372.21</v>
      </c>
      <c r="F101" s="15">
        <f>AVERAGE(E101:E109)</f>
        <v>1372.21</v>
      </c>
      <c r="G101" s="13">
        <f>STDEV(E101:E109)</f>
        <v>0</v>
      </c>
      <c r="H101" s="16">
        <v>43277</v>
      </c>
      <c r="I101" s="13">
        <v>1788</v>
      </c>
      <c r="J101" s="13">
        <f>AVERAGE(I101:I109)</f>
        <v>1683.8888888888889</v>
      </c>
      <c r="K101" s="13">
        <f>STDEV(I101:I109)</f>
        <v>158.36385670698701</v>
      </c>
      <c r="L101" s="16">
        <v>43279</v>
      </c>
      <c r="M101" s="13">
        <v>1661</v>
      </c>
      <c r="N101" s="13">
        <f>AVERAGE(M101:M109)</f>
        <v>1923.7777777777778</v>
      </c>
      <c r="O101" s="13">
        <f>STDEV(M101:M109)</f>
        <v>235.83510011116772</v>
      </c>
      <c r="P101" s="16">
        <v>43281</v>
      </c>
      <c r="Q101" s="13">
        <v>1983</v>
      </c>
      <c r="R101" s="13">
        <f>AVERAGE(Q101:Q109)</f>
        <v>2206</v>
      </c>
      <c r="S101" s="13">
        <f>STDEV(Q101:Q109)</f>
        <v>232.13465919590723</v>
      </c>
      <c r="T101" s="16">
        <v>43283</v>
      </c>
      <c r="U101" s="13">
        <v>1267</v>
      </c>
      <c r="V101" s="13">
        <f>AVERAGE(U101:U109)</f>
        <v>1461.3333333333333</v>
      </c>
      <c r="W101" s="13">
        <f>STDEV(U101:U109)</f>
        <v>200.17429904960326</v>
      </c>
      <c r="X101" s="16">
        <v>43285</v>
      </c>
      <c r="Y101" s="13">
        <v>1257</v>
      </c>
      <c r="Z101" s="13">
        <f>AVERAGE(Y101:Y109)</f>
        <v>1341.5555555555557</v>
      </c>
      <c r="AA101" s="13">
        <f>STDEV(Y101:Y109)</f>
        <v>382.25812977329565</v>
      </c>
      <c r="AB101" s="16">
        <v>43287</v>
      </c>
      <c r="AF101" s="16">
        <v>43289</v>
      </c>
      <c r="AG101" s="13">
        <v>1809</v>
      </c>
      <c r="AH101" s="13">
        <f>AVERAGE(AG101:AG109)</f>
        <v>2316.4444444444443</v>
      </c>
      <c r="AI101" s="13">
        <f>STDEV(AG101:AG109)</f>
        <v>743.14586574761893</v>
      </c>
      <c r="AJ101" s="16">
        <v>43291</v>
      </c>
      <c r="AK101" s="13">
        <v>3570</v>
      </c>
      <c r="AL101" s="13">
        <f>AVERAGE(AK101:AK109)</f>
        <v>4602.666666666667</v>
      </c>
      <c r="AM101" s="13">
        <f>STDEV(AK101:AK109)</f>
        <v>1630.997394234583</v>
      </c>
      <c r="AN101" s="16">
        <v>43293</v>
      </c>
      <c r="AO101" s="13">
        <v>8276</v>
      </c>
      <c r="AP101" s="13">
        <f>AVERAGE(AO101:AO109)</f>
        <v>10209.111111111111</v>
      </c>
      <c r="AQ101" s="13">
        <f>STDEV(AO101:AO109)</f>
        <v>3077.986129129094</v>
      </c>
      <c r="AR101" s="16">
        <v>43295</v>
      </c>
      <c r="AS101" s="13">
        <v>16584</v>
      </c>
      <c r="AT101" s="13">
        <f>AVERAGE(AS101:AS109)</f>
        <v>19889.333333333332</v>
      </c>
      <c r="AU101" s="13">
        <f>STDEV(AS101:AS109)</f>
        <v>4671.2204775625823</v>
      </c>
      <c r="AV101" s="16">
        <v>43297</v>
      </c>
      <c r="AW101" s="13">
        <v>37218</v>
      </c>
      <c r="AX101" s="13">
        <f>AVERAGE(AW101:AW109)</f>
        <v>40469.111111111109</v>
      </c>
      <c r="AY101" s="13">
        <f>STDEV(AW101:AW109)</f>
        <v>5363.8637064257291</v>
      </c>
      <c r="AZ101" s="16">
        <v>43299</v>
      </c>
      <c r="BA101" s="13">
        <f>4039*20</f>
        <v>80780</v>
      </c>
      <c r="BB101" s="13">
        <f>AVERAGE(BA101:BA109)</f>
        <v>81851.111111111109</v>
      </c>
      <c r="BC101" s="13">
        <f>STDEV(BA101:BA109)</f>
        <v>8027.5657026966219</v>
      </c>
      <c r="BD101" s="16">
        <v>43301</v>
      </c>
      <c r="BE101" s="13">
        <f>6757*20</f>
        <v>135140</v>
      </c>
      <c r="BF101" s="13">
        <f>AVERAGE(BE101:BE109)</f>
        <v>134864.44444444444</v>
      </c>
      <c r="BG101" s="13">
        <f>STDEV(BE101:BE109)</f>
        <v>10449.740560309514</v>
      </c>
      <c r="BH101" s="16">
        <v>43303</v>
      </c>
      <c r="BI101" s="13">
        <f>12295*20</f>
        <v>245900</v>
      </c>
      <c r="BJ101" s="13">
        <f>AVERAGE(BI101:BI109)</f>
        <v>257126.66666666666</v>
      </c>
      <c r="BK101" s="13">
        <f>STDEV(BI101:BI109)</f>
        <v>42879.493933580889</v>
      </c>
      <c r="BL101" s="16">
        <v>43305</v>
      </c>
    </row>
    <row r="102" spans="1:64" s="13" customFormat="1" x14ac:dyDescent="0.2">
      <c r="A102" s="23" t="s">
        <v>111</v>
      </c>
      <c r="B102" s="13" t="s">
        <v>80</v>
      </c>
      <c r="C102" s="13">
        <v>100</v>
      </c>
      <c r="D102" s="13">
        <v>30</v>
      </c>
      <c r="E102" s="14">
        <f>([1]innoculation!$D$23*3.5)/1000</f>
        <v>1372.21</v>
      </c>
      <c r="H102" s="16">
        <v>43277</v>
      </c>
      <c r="I102" s="13">
        <v>1834</v>
      </c>
      <c r="L102" s="16">
        <v>43279</v>
      </c>
      <c r="M102" s="13">
        <v>1643</v>
      </c>
      <c r="P102" s="16">
        <v>43281</v>
      </c>
      <c r="Q102" s="13">
        <v>1978</v>
      </c>
      <c r="T102" s="16">
        <v>43283</v>
      </c>
      <c r="U102" s="13">
        <v>1217</v>
      </c>
      <c r="X102" s="16">
        <v>43285</v>
      </c>
      <c r="Y102" s="13">
        <v>1171</v>
      </c>
      <c r="AB102" s="16">
        <v>43287</v>
      </c>
      <c r="AF102" s="16">
        <v>43289</v>
      </c>
      <c r="AG102" s="13">
        <v>1739</v>
      </c>
      <c r="AJ102" s="16">
        <v>43291</v>
      </c>
      <c r="AK102" s="13">
        <v>3600</v>
      </c>
      <c r="AN102" s="16">
        <v>43293</v>
      </c>
      <c r="AO102" s="13">
        <v>8114</v>
      </c>
      <c r="AR102" s="16">
        <v>43295</v>
      </c>
      <c r="AS102" s="13">
        <v>16902</v>
      </c>
      <c r="AV102" s="16">
        <v>43297</v>
      </c>
      <c r="AW102" s="13">
        <v>36766</v>
      </c>
      <c r="AZ102" s="16">
        <v>43299</v>
      </c>
      <c r="BA102" s="13">
        <f>4120*20</f>
        <v>82400</v>
      </c>
      <c r="BD102" s="16">
        <v>43301</v>
      </c>
      <c r="BE102" s="13">
        <f>6749*20</f>
        <v>134980</v>
      </c>
      <c r="BH102" s="16">
        <v>43303</v>
      </c>
      <c r="BI102" s="13">
        <f>12404*20</f>
        <v>248080</v>
      </c>
      <c r="BL102" s="16">
        <v>43305</v>
      </c>
    </row>
    <row r="103" spans="1:64" s="13" customFormat="1" x14ac:dyDescent="0.2">
      <c r="A103" s="23" t="s">
        <v>111</v>
      </c>
      <c r="B103" s="13" t="s">
        <v>80</v>
      </c>
      <c r="C103" s="13">
        <v>100</v>
      </c>
      <c r="D103" s="13">
        <v>30</v>
      </c>
      <c r="E103" s="14">
        <f>([1]innoculation!$D$23*3.5)/1000</f>
        <v>1372.21</v>
      </c>
      <c r="H103" s="16">
        <v>43277</v>
      </c>
      <c r="I103" s="13">
        <v>1730</v>
      </c>
      <c r="L103" s="16">
        <v>43279</v>
      </c>
      <c r="M103" s="13">
        <v>1615</v>
      </c>
      <c r="P103" s="16">
        <v>43281</v>
      </c>
      <c r="Q103" s="13">
        <v>1887</v>
      </c>
      <c r="T103" s="16">
        <v>43283</v>
      </c>
      <c r="U103" s="13">
        <v>1232</v>
      </c>
      <c r="X103" s="16">
        <v>43285</v>
      </c>
      <c r="Y103" s="13">
        <v>1179</v>
      </c>
      <c r="AB103" s="16">
        <v>43287</v>
      </c>
      <c r="AF103" s="16">
        <v>43289</v>
      </c>
      <c r="AG103" s="13">
        <v>1704</v>
      </c>
      <c r="AJ103" s="16">
        <v>43291</v>
      </c>
      <c r="AK103" s="13">
        <v>3774</v>
      </c>
      <c r="AN103" s="16">
        <v>43293</v>
      </c>
      <c r="AO103" s="13">
        <v>9143</v>
      </c>
      <c r="AR103" s="16">
        <v>43295</v>
      </c>
      <c r="AS103" s="13">
        <v>16823</v>
      </c>
      <c r="AV103" s="16">
        <v>43297</v>
      </c>
      <c r="AW103" s="13">
        <v>36403</v>
      </c>
      <c r="AZ103" s="16">
        <v>43299</v>
      </c>
      <c r="BA103" s="13">
        <f>4031*20</f>
        <v>80620</v>
      </c>
      <c r="BD103" s="16">
        <v>43301</v>
      </c>
      <c r="BE103" s="13">
        <f>6797*20</f>
        <v>135940</v>
      </c>
      <c r="BH103" s="16">
        <v>43303</v>
      </c>
      <c r="BI103" s="13">
        <f>11987*20</f>
        <v>239740</v>
      </c>
      <c r="BL103" s="16">
        <v>43305</v>
      </c>
    </row>
    <row r="104" spans="1:64" s="13" customFormat="1" x14ac:dyDescent="0.2">
      <c r="A104" s="23" t="s">
        <v>112</v>
      </c>
      <c r="B104" s="13" t="s">
        <v>80</v>
      </c>
      <c r="C104" s="13">
        <v>100</v>
      </c>
      <c r="D104" s="13">
        <v>30</v>
      </c>
      <c r="E104" s="14">
        <f>([1]innoculation!$D$23*3.5)/1000</f>
        <v>1372.21</v>
      </c>
      <c r="H104" s="16">
        <v>43277</v>
      </c>
      <c r="I104" s="13">
        <v>1443</v>
      </c>
      <c r="L104" s="16">
        <v>43279</v>
      </c>
      <c r="M104" s="13">
        <v>2168</v>
      </c>
      <c r="P104" s="16">
        <v>43281</v>
      </c>
      <c r="Q104" s="13">
        <v>2341</v>
      </c>
      <c r="T104" s="16">
        <v>43283</v>
      </c>
      <c r="U104" s="13">
        <v>1429</v>
      </c>
      <c r="X104" s="16">
        <v>43285</v>
      </c>
      <c r="Y104" s="13">
        <v>993</v>
      </c>
      <c r="AB104" s="16">
        <v>43287</v>
      </c>
      <c r="AF104" s="16">
        <v>43289</v>
      </c>
      <c r="AG104" s="13">
        <v>1918</v>
      </c>
      <c r="AJ104" s="16">
        <v>43291</v>
      </c>
      <c r="AK104" s="13">
        <v>3374</v>
      </c>
      <c r="AN104" s="16">
        <v>43293</v>
      </c>
      <c r="AO104" s="13">
        <v>7981</v>
      </c>
      <c r="AR104" s="16">
        <v>43295</v>
      </c>
      <c r="AS104" s="13">
        <v>17016</v>
      </c>
      <c r="AV104" s="16">
        <v>43297</v>
      </c>
      <c r="AW104" s="13">
        <v>36275</v>
      </c>
      <c r="AZ104" s="16">
        <v>43299</v>
      </c>
      <c r="BA104" s="13">
        <f>3686*20</f>
        <v>73720</v>
      </c>
      <c r="BD104" s="16">
        <v>43301</v>
      </c>
      <c r="BE104" s="13">
        <f>6111*20</f>
        <v>122220</v>
      </c>
      <c r="BH104" s="16">
        <v>43303</v>
      </c>
      <c r="BI104" s="13">
        <f>10717*20</f>
        <v>214340</v>
      </c>
      <c r="BL104" s="16">
        <v>43305</v>
      </c>
    </row>
    <row r="105" spans="1:64" s="13" customFormat="1" x14ac:dyDescent="0.2">
      <c r="A105" s="23" t="s">
        <v>112</v>
      </c>
      <c r="B105" s="13" t="s">
        <v>80</v>
      </c>
      <c r="C105" s="13">
        <v>100</v>
      </c>
      <c r="D105" s="13">
        <v>30</v>
      </c>
      <c r="E105" s="14">
        <f>([1]innoculation!$D$23*3.5)/1000</f>
        <v>1372.21</v>
      </c>
      <c r="H105" s="16">
        <v>43277</v>
      </c>
      <c r="I105" s="13">
        <v>1953</v>
      </c>
      <c r="L105" s="16">
        <v>43279</v>
      </c>
      <c r="M105" s="13">
        <v>2156</v>
      </c>
      <c r="P105" s="16">
        <v>43281</v>
      </c>
      <c r="Q105" s="13">
        <v>2156</v>
      </c>
      <c r="T105" s="16">
        <v>43283</v>
      </c>
      <c r="U105" s="13">
        <v>1473</v>
      </c>
      <c r="X105" s="16">
        <v>43285</v>
      </c>
      <c r="Y105" s="13">
        <v>976</v>
      </c>
      <c r="AB105" s="16">
        <v>43287</v>
      </c>
      <c r="AF105" s="16">
        <v>43289</v>
      </c>
      <c r="AG105" s="13">
        <v>1908</v>
      </c>
      <c r="AJ105" s="16">
        <v>43291</v>
      </c>
      <c r="AK105" s="13">
        <v>3423</v>
      </c>
      <c r="AN105" s="16">
        <v>43293</v>
      </c>
      <c r="AO105" s="13">
        <v>7849</v>
      </c>
      <c r="AR105" s="16">
        <v>43295</v>
      </c>
      <c r="AS105" s="13">
        <v>16706</v>
      </c>
      <c r="AV105" s="16">
        <v>43297</v>
      </c>
      <c r="AW105" s="13">
        <v>37357</v>
      </c>
      <c r="AZ105" s="16">
        <v>43299</v>
      </c>
      <c r="BA105" s="13">
        <f>3584*20</f>
        <v>71680</v>
      </c>
      <c r="BD105" s="16">
        <v>43301</v>
      </c>
      <c r="BE105" s="13">
        <f>6134*20</f>
        <v>122680</v>
      </c>
      <c r="BH105" s="16">
        <v>43303</v>
      </c>
      <c r="BI105" s="13">
        <f>10811*20</f>
        <v>216220</v>
      </c>
      <c r="BL105" s="16">
        <v>43305</v>
      </c>
    </row>
    <row r="106" spans="1:64" s="13" customFormat="1" x14ac:dyDescent="0.2">
      <c r="A106" s="23" t="s">
        <v>112</v>
      </c>
      <c r="B106" s="13" t="s">
        <v>80</v>
      </c>
      <c r="C106" s="13">
        <v>100</v>
      </c>
      <c r="D106" s="13">
        <v>30</v>
      </c>
      <c r="E106" s="14">
        <f>([1]innoculation!$D$23*3.5)/1000</f>
        <v>1372.21</v>
      </c>
      <c r="H106" s="16">
        <v>43277</v>
      </c>
      <c r="I106" s="13">
        <v>1675</v>
      </c>
      <c r="L106" s="16">
        <v>43279</v>
      </c>
      <c r="M106" s="13">
        <v>2199</v>
      </c>
      <c r="P106" s="16">
        <v>43281</v>
      </c>
      <c r="Q106" s="13">
        <v>2126</v>
      </c>
      <c r="T106" s="16">
        <v>43283</v>
      </c>
      <c r="U106" s="13">
        <v>1439</v>
      </c>
      <c r="X106" s="16">
        <v>43285</v>
      </c>
      <c r="Y106" s="13">
        <v>995</v>
      </c>
      <c r="AB106" s="16">
        <v>43287</v>
      </c>
      <c r="AF106" s="16">
        <v>43289</v>
      </c>
      <c r="AG106" s="13">
        <v>1880</v>
      </c>
      <c r="AJ106" s="16">
        <v>43291</v>
      </c>
      <c r="AK106" s="13">
        <v>3373</v>
      </c>
      <c r="AN106" s="16">
        <v>43293</v>
      </c>
      <c r="AO106" s="13">
        <v>7708</v>
      </c>
      <c r="AR106" s="16">
        <v>43295</v>
      </c>
      <c r="AS106" s="13">
        <v>16630</v>
      </c>
      <c r="AV106" s="16">
        <v>43297</v>
      </c>
      <c r="AW106" s="13">
        <v>37403</v>
      </c>
      <c r="AZ106" s="16">
        <v>43299</v>
      </c>
      <c r="BA106" s="13">
        <f>3673*20</f>
        <v>73460</v>
      </c>
      <c r="BD106" s="16">
        <v>43301</v>
      </c>
      <c r="BE106" s="13">
        <f>6153*20</f>
        <v>123060</v>
      </c>
      <c r="BH106" s="16">
        <v>43303</v>
      </c>
      <c r="BI106" s="13">
        <f>10749*20</f>
        <v>214980</v>
      </c>
      <c r="BL106" s="16">
        <v>43305</v>
      </c>
    </row>
    <row r="107" spans="1:64" s="13" customFormat="1" x14ac:dyDescent="0.2">
      <c r="A107" s="23" t="s">
        <v>113</v>
      </c>
      <c r="B107" s="13" t="s">
        <v>80</v>
      </c>
      <c r="C107" s="13">
        <v>100</v>
      </c>
      <c r="D107" s="13">
        <v>30</v>
      </c>
      <c r="E107" s="14">
        <f>([1]innoculation!$D$23*3.5)/1000</f>
        <v>1372.21</v>
      </c>
      <c r="H107" s="16">
        <v>43277</v>
      </c>
      <c r="I107" s="13">
        <v>1591</v>
      </c>
      <c r="L107" s="16">
        <v>43279</v>
      </c>
      <c r="M107" s="13">
        <v>2034</v>
      </c>
      <c r="P107" s="16">
        <v>43281</v>
      </c>
      <c r="Q107" s="13">
        <v>2521</v>
      </c>
      <c r="T107" s="16">
        <v>43283</v>
      </c>
      <c r="U107" s="13">
        <v>1704</v>
      </c>
      <c r="X107" s="16">
        <v>43285</v>
      </c>
      <c r="Y107" s="13">
        <v>1851</v>
      </c>
      <c r="AB107" s="16">
        <v>43287</v>
      </c>
      <c r="AF107" s="16">
        <v>43289</v>
      </c>
      <c r="AG107" s="13">
        <v>3437</v>
      </c>
      <c r="AJ107" s="16">
        <v>43291</v>
      </c>
      <c r="AK107" s="13">
        <v>6666</v>
      </c>
      <c r="AN107" s="16">
        <v>43293</v>
      </c>
      <c r="AO107" s="13">
        <v>14143</v>
      </c>
      <c r="AR107" s="16">
        <v>43295</v>
      </c>
      <c r="AS107" s="13">
        <v>26170</v>
      </c>
      <c r="AV107" s="16">
        <v>43297</v>
      </c>
      <c r="AW107" s="13">
        <v>47311</v>
      </c>
      <c r="AZ107" s="16">
        <v>43299</v>
      </c>
      <c r="BA107" s="13">
        <f>4520*20</f>
        <v>90400</v>
      </c>
      <c r="BD107" s="16">
        <v>43301</v>
      </c>
      <c r="BE107" s="13">
        <f>7280*20</f>
        <v>145600</v>
      </c>
      <c r="BH107" s="16">
        <v>43303</v>
      </c>
      <c r="BI107" s="13">
        <f>15590*20</f>
        <v>311800</v>
      </c>
      <c r="BL107" s="16">
        <v>43305</v>
      </c>
    </row>
    <row r="108" spans="1:64" s="22" customFormat="1" x14ac:dyDescent="0.2">
      <c r="A108" s="23" t="s">
        <v>113</v>
      </c>
      <c r="B108" s="13" t="s">
        <v>80</v>
      </c>
      <c r="C108" s="13">
        <v>100</v>
      </c>
      <c r="D108" s="13">
        <v>30</v>
      </c>
      <c r="E108" s="14">
        <f>([1]innoculation!$D$23*3.5)/1000</f>
        <v>1372.21</v>
      </c>
      <c r="F108" s="13"/>
      <c r="G108" s="13"/>
      <c r="H108" s="16">
        <v>43277</v>
      </c>
      <c r="I108" s="13">
        <v>1582</v>
      </c>
      <c r="J108" s="13"/>
      <c r="K108" s="13"/>
      <c r="L108" s="16">
        <v>43279</v>
      </c>
      <c r="M108" s="13">
        <v>1909</v>
      </c>
      <c r="N108" s="13"/>
      <c r="O108" s="13"/>
      <c r="P108" s="16">
        <v>43281</v>
      </c>
      <c r="Q108" s="13">
        <v>2428</v>
      </c>
      <c r="R108" s="13"/>
      <c r="T108" s="16">
        <v>43283</v>
      </c>
      <c r="U108" s="13">
        <v>1707</v>
      </c>
      <c r="V108" s="13"/>
      <c r="W108" s="13"/>
      <c r="X108" s="16">
        <v>43285</v>
      </c>
      <c r="Y108" s="13">
        <v>1793</v>
      </c>
      <c r="Z108" s="13"/>
      <c r="AA108" s="13"/>
      <c r="AB108" s="16">
        <v>43287</v>
      </c>
      <c r="AC108" s="13"/>
      <c r="AD108" s="13"/>
      <c r="AE108" s="13"/>
      <c r="AF108" s="16">
        <v>43289</v>
      </c>
      <c r="AG108" s="13">
        <v>3336</v>
      </c>
      <c r="AJ108" s="16">
        <v>43291</v>
      </c>
      <c r="AK108" s="13">
        <v>6797</v>
      </c>
      <c r="AN108" s="16">
        <v>43293</v>
      </c>
      <c r="AO108" s="13">
        <v>13992</v>
      </c>
      <c r="AR108" s="16">
        <v>43295</v>
      </c>
      <c r="AS108" s="13">
        <v>26230</v>
      </c>
      <c r="AT108" s="13"/>
      <c r="AU108" s="13"/>
      <c r="AV108" s="16">
        <v>43297</v>
      </c>
      <c r="AW108" s="13">
        <v>47718</v>
      </c>
      <c r="AZ108" s="16">
        <v>43299</v>
      </c>
      <c r="BA108" s="13">
        <f>4546*20</f>
        <v>90920</v>
      </c>
      <c r="BD108" s="16">
        <v>43301</v>
      </c>
      <c r="BE108" s="13">
        <f>7471*20</f>
        <v>149420</v>
      </c>
      <c r="BH108" s="16">
        <v>43303</v>
      </c>
      <c r="BI108" s="13">
        <f>15478*20</f>
        <v>309560</v>
      </c>
      <c r="BL108" s="16">
        <v>43305</v>
      </c>
    </row>
    <row r="109" spans="1:64" s="22" customFormat="1" x14ac:dyDescent="0.2">
      <c r="A109" s="23" t="s">
        <v>113</v>
      </c>
      <c r="B109" s="13" t="s">
        <v>80</v>
      </c>
      <c r="C109" s="13">
        <v>100</v>
      </c>
      <c r="D109" s="13">
        <v>30</v>
      </c>
      <c r="E109" s="14">
        <f>([1]innoculation!$D$23*3.5)/1000</f>
        <v>1372.21</v>
      </c>
      <c r="F109" s="13"/>
      <c r="G109" s="13"/>
      <c r="H109" s="16">
        <v>43277</v>
      </c>
      <c r="I109" s="13">
        <v>1559</v>
      </c>
      <c r="J109" s="13"/>
      <c r="K109" s="13"/>
      <c r="L109" s="16">
        <v>43279</v>
      </c>
      <c r="M109" s="13">
        <v>1929</v>
      </c>
      <c r="N109" s="13"/>
      <c r="O109" s="13"/>
      <c r="P109" s="16">
        <v>43281</v>
      </c>
      <c r="Q109" s="13">
        <v>2434</v>
      </c>
      <c r="R109" s="13"/>
      <c r="T109" s="16">
        <v>43283</v>
      </c>
      <c r="U109" s="13">
        <v>1684</v>
      </c>
      <c r="V109" s="13"/>
      <c r="W109" s="13"/>
      <c r="X109" s="16">
        <v>43285</v>
      </c>
      <c r="Y109" s="13">
        <v>1859</v>
      </c>
      <c r="Z109" s="13"/>
      <c r="AA109" s="13"/>
      <c r="AB109" s="16">
        <v>43287</v>
      </c>
      <c r="AC109" s="13"/>
      <c r="AD109" s="13"/>
      <c r="AE109" s="13"/>
      <c r="AF109" s="16">
        <v>43289</v>
      </c>
      <c r="AG109" s="13">
        <v>3117</v>
      </c>
      <c r="AJ109" s="16">
        <v>43291</v>
      </c>
      <c r="AK109" s="13">
        <v>6847</v>
      </c>
      <c r="AN109" s="16">
        <v>43293</v>
      </c>
      <c r="AO109" s="13">
        <v>14676</v>
      </c>
      <c r="AR109" s="16">
        <v>43295</v>
      </c>
      <c r="AS109" s="13">
        <v>25943</v>
      </c>
      <c r="AT109" s="13"/>
      <c r="AU109" s="13"/>
      <c r="AV109" s="16">
        <v>43297</v>
      </c>
      <c r="AW109" s="13">
        <v>47771</v>
      </c>
      <c r="AZ109" s="16">
        <v>43299</v>
      </c>
      <c r="BA109" s="13">
        <f>4634*20</f>
        <v>92680</v>
      </c>
      <c r="BD109" s="16">
        <v>43301</v>
      </c>
      <c r="BE109" s="13">
        <f>7237*20</f>
        <v>144740</v>
      </c>
      <c r="BH109" s="16">
        <v>43303</v>
      </c>
      <c r="BI109" s="13">
        <f>15676*20</f>
        <v>313520</v>
      </c>
      <c r="BL109" s="16">
        <v>43305</v>
      </c>
    </row>
    <row r="110" spans="1:64" s="13" customFormat="1" x14ac:dyDescent="0.2">
      <c r="A110" s="12" t="s">
        <v>114</v>
      </c>
      <c r="B110" s="13" t="s">
        <v>76</v>
      </c>
      <c r="C110" s="13">
        <v>10</v>
      </c>
      <c r="D110" s="13">
        <v>26</v>
      </c>
      <c r="E110" s="14">
        <f>([1]innoculation!$D$26*0.7)/1000</f>
        <v>1353.0509999999999</v>
      </c>
      <c r="F110" s="15">
        <f>AVERAGE(E110:E118)</f>
        <v>1353.0509999999997</v>
      </c>
      <c r="G110" s="13">
        <f>STDEV(E110:E118)</f>
        <v>2.4116620165382783E-13</v>
      </c>
      <c r="H110" s="16">
        <v>43282</v>
      </c>
      <c r="I110" s="13">
        <v>1865</v>
      </c>
      <c r="J110" s="13">
        <f>AVERAGE(I110:I118)</f>
        <v>1871</v>
      </c>
      <c r="K110" s="13">
        <f>STDEV(I110:I118)</f>
        <v>65.740018253724273</v>
      </c>
      <c r="L110" s="16">
        <v>43284</v>
      </c>
      <c r="M110" s="13">
        <v>2352</v>
      </c>
      <c r="N110" s="13">
        <f>AVERAGE(M110:M118)</f>
        <v>2400.2222222222222</v>
      </c>
      <c r="O110" s="13">
        <f>STDEV(M110:M118)</f>
        <v>136.72031467358624</v>
      </c>
      <c r="P110" s="16">
        <v>43286</v>
      </c>
      <c r="T110" s="16">
        <v>43288</v>
      </c>
      <c r="U110" s="13">
        <v>12396</v>
      </c>
      <c r="V110" s="13">
        <f>AVERAGE(U110:U118)</f>
        <v>12528.888888888889</v>
      </c>
      <c r="W110" s="13">
        <f>STDEV(U110:U118)</f>
        <v>846.89203037406787</v>
      </c>
      <c r="X110" s="16">
        <v>43290</v>
      </c>
      <c r="Y110" s="13">
        <v>34152</v>
      </c>
      <c r="Z110" s="13">
        <f>AVERAGE(Y110:Y118)</f>
        <v>33739.111111111109</v>
      </c>
      <c r="AA110" s="13">
        <f>STDEV(Y110:Y118)</f>
        <v>1399.7923457110026</v>
      </c>
      <c r="AB110" s="16">
        <v>43292</v>
      </c>
      <c r="AC110" s="13">
        <f>4735*20</f>
        <v>94700</v>
      </c>
      <c r="AD110" s="13">
        <f>AVERAGE(AC110:AC118)</f>
        <v>94273.333333333328</v>
      </c>
      <c r="AE110" s="13">
        <f>STDEV(AC110:AC118)</f>
        <v>4338.1678160255624</v>
      </c>
      <c r="AF110" s="16">
        <v>43294</v>
      </c>
      <c r="AG110" s="13">
        <f>9005*20</f>
        <v>180100</v>
      </c>
      <c r="AH110" s="13">
        <f>AVERAGE(AG110:AG118)</f>
        <v>183760</v>
      </c>
      <c r="AI110" s="13">
        <f>STDEV(AG110:AG118)</f>
        <v>10791.640283108032</v>
      </c>
      <c r="AJ110" s="16">
        <v>43296</v>
      </c>
      <c r="AK110" s="13">
        <f>15140*20</f>
        <v>302800</v>
      </c>
      <c r="AL110" s="13">
        <f>AVERAGE(AK110:AK118)</f>
        <v>326251.11111111112</v>
      </c>
      <c r="AM110" s="13">
        <f>STDEV(AK110:AK118)</f>
        <v>28920.40302470059</v>
      </c>
      <c r="AN110" s="16">
        <v>43298</v>
      </c>
      <c r="AO110" s="13">
        <f>27777*20</f>
        <v>555540</v>
      </c>
      <c r="AP110" s="13">
        <f>AVERAGE(AO110:AO118)</f>
        <v>602482.22222222225</v>
      </c>
      <c r="AQ110" s="13">
        <f>STDEV(AO110:AO118)</f>
        <v>40239.559446450759</v>
      </c>
      <c r="AR110" s="16">
        <v>43300</v>
      </c>
      <c r="AS110" s="13">
        <f>44413*20</f>
        <v>888260</v>
      </c>
      <c r="AT110" s="13">
        <f>AVERAGE(AS110:AS118)</f>
        <v>938262.22222222225</v>
      </c>
      <c r="AU110" s="13">
        <f>STDEV(AS110:AS118)</f>
        <v>35262.551587263857</v>
      </c>
      <c r="AV110" s="16">
        <v>43302</v>
      </c>
    </row>
    <row r="111" spans="1:64" s="13" customFormat="1" x14ac:dyDescent="0.2">
      <c r="A111" s="12" t="s">
        <v>114</v>
      </c>
      <c r="B111" s="13" t="s">
        <v>76</v>
      </c>
      <c r="C111" s="13">
        <v>10</v>
      </c>
      <c r="D111" s="13">
        <v>26</v>
      </c>
      <c r="E111" s="14">
        <f>([1]innoculation!$D$26*0.7)/1000</f>
        <v>1353.0509999999999</v>
      </c>
      <c r="H111" s="16">
        <v>43282</v>
      </c>
      <c r="I111" s="13">
        <v>1845</v>
      </c>
      <c r="L111" s="16">
        <v>43284</v>
      </c>
      <c r="M111" s="13">
        <v>2293</v>
      </c>
      <c r="P111" s="16">
        <v>43286</v>
      </c>
      <c r="T111" s="16">
        <v>43288</v>
      </c>
      <c r="U111" s="13">
        <v>11256</v>
      </c>
      <c r="X111" s="16">
        <v>43290</v>
      </c>
      <c r="Y111" s="13">
        <v>31910</v>
      </c>
      <c r="AB111" s="16">
        <v>43292</v>
      </c>
      <c r="AC111" s="13">
        <f>4495*20</f>
        <v>89900</v>
      </c>
      <c r="AF111" s="16">
        <v>43294</v>
      </c>
      <c r="AG111" s="13">
        <f>8458*20</f>
        <v>169160</v>
      </c>
      <c r="AJ111" s="16">
        <v>43296</v>
      </c>
      <c r="AK111" s="13">
        <f>14647*20</f>
        <v>292940</v>
      </c>
      <c r="AN111" s="16">
        <v>43298</v>
      </c>
      <c r="AO111" s="13">
        <f>27312*20</f>
        <v>546240</v>
      </c>
      <c r="AR111" s="16">
        <v>43300</v>
      </c>
      <c r="AS111" s="13">
        <f>45301*20</f>
        <v>906020</v>
      </c>
      <c r="AV111" s="16">
        <v>43302</v>
      </c>
    </row>
    <row r="112" spans="1:64" s="13" customFormat="1" x14ac:dyDescent="0.2">
      <c r="A112" s="12" t="s">
        <v>114</v>
      </c>
      <c r="B112" s="13" t="s">
        <v>76</v>
      </c>
      <c r="C112" s="13">
        <v>10</v>
      </c>
      <c r="D112" s="13">
        <v>26</v>
      </c>
      <c r="E112" s="14">
        <f>([1]innoculation!$D$26*0.7)/1000</f>
        <v>1353.0509999999999</v>
      </c>
      <c r="H112" s="16">
        <v>43282</v>
      </c>
      <c r="I112" s="13">
        <v>1801</v>
      </c>
      <c r="L112" s="16">
        <v>43284</v>
      </c>
      <c r="M112" s="13">
        <v>2113</v>
      </c>
      <c r="P112" s="16">
        <v>43286</v>
      </c>
      <c r="T112" s="16">
        <v>43288</v>
      </c>
      <c r="U112" s="13">
        <v>10970</v>
      </c>
      <c r="X112" s="16">
        <v>43290</v>
      </c>
      <c r="Y112" s="13">
        <v>31998</v>
      </c>
      <c r="AB112" s="16">
        <v>43292</v>
      </c>
      <c r="AC112" s="13">
        <f>4500*20</f>
        <v>90000</v>
      </c>
      <c r="AF112" s="16">
        <v>43294</v>
      </c>
      <c r="AG112" s="13">
        <f>8197*20</f>
        <v>163940</v>
      </c>
      <c r="AJ112" s="16">
        <v>43296</v>
      </c>
      <c r="AK112" s="13">
        <f>14731*20</f>
        <v>294620</v>
      </c>
      <c r="AN112" s="16">
        <v>43298</v>
      </c>
      <c r="AO112" s="13">
        <f>27630*20</f>
        <v>552600</v>
      </c>
      <c r="AR112" s="16">
        <v>43300</v>
      </c>
      <c r="AS112" s="13">
        <f>44273*20</f>
        <v>885460</v>
      </c>
      <c r="AV112" s="16">
        <v>43302</v>
      </c>
    </row>
    <row r="113" spans="1:56" s="13" customFormat="1" x14ac:dyDescent="0.2">
      <c r="A113" s="12" t="s">
        <v>115</v>
      </c>
      <c r="B113" s="13" t="s">
        <v>76</v>
      </c>
      <c r="C113" s="13">
        <v>10</v>
      </c>
      <c r="D113" s="13">
        <v>26</v>
      </c>
      <c r="E113" s="14">
        <f>([1]innoculation!$D$26*0.7)/1000</f>
        <v>1353.0509999999999</v>
      </c>
      <c r="H113" s="16">
        <v>43282</v>
      </c>
      <c r="I113" s="13">
        <v>1843</v>
      </c>
      <c r="L113" s="16">
        <v>43284</v>
      </c>
      <c r="M113" s="13">
        <v>2470</v>
      </c>
      <c r="P113" s="16">
        <v>43286</v>
      </c>
      <c r="T113" s="16">
        <v>43288</v>
      </c>
      <c r="U113" s="13">
        <v>13191</v>
      </c>
      <c r="X113" s="16">
        <v>43290</v>
      </c>
      <c r="Y113" s="13">
        <v>35989</v>
      </c>
      <c r="AB113" s="16">
        <v>43292</v>
      </c>
      <c r="AC113" s="13">
        <f>5130*20</f>
        <v>102600</v>
      </c>
      <c r="AF113" s="16">
        <v>43294</v>
      </c>
      <c r="AG113" s="13">
        <f>9601*20</f>
        <v>192020</v>
      </c>
      <c r="AJ113" s="16">
        <v>43296</v>
      </c>
      <c r="AK113" s="13">
        <f>17821*20</f>
        <v>356420</v>
      </c>
      <c r="AN113" s="16">
        <v>43298</v>
      </c>
      <c r="AO113" s="13">
        <f>31699*20</f>
        <v>633980</v>
      </c>
      <c r="AR113" s="16">
        <v>43300</v>
      </c>
      <c r="AS113" s="13">
        <f>48880*20</f>
        <v>977600</v>
      </c>
      <c r="AV113" s="16">
        <v>43302</v>
      </c>
    </row>
    <row r="114" spans="1:56" s="13" customFormat="1" x14ac:dyDescent="0.2">
      <c r="A114" s="12" t="s">
        <v>115</v>
      </c>
      <c r="B114" s="13" t="s">
        <v>76</v>
      </c>
      <c r="C114" s="13">
        <v>10</v>
      </c>
      <c r="D114" s="13">
        <v>26</v>
      </c>
      <c r="E114" s="14">
        <f>([1]innoculation!$D$26*0.7)/1000</f>
        <v>1353.0509999999999</v>
      </c>
      <c r="H114" s="16">
        <v>43282</v>
      </c>
      <c r="I114" s="13">
        <v>2028</v>
      </c>
      <c r="L114" s="16">
        <v>43284</v>
      </c>
      <c r="M114" s="13">
        <v>2568</v>
      </c>
      <c r="P114" s="16">
        <v>43286</v>
      </c>
      <c r="T114" s="16">
        <v>43288</v>
      </c>
      <c r="U114" s="13">
        <v>12730</v>
      </c>
      <c r="X114" s="16">
        <v>43290</v>
      </c>
      <c r="Y114" s="13">
        <v>34359</v>
      </c>
      <c r="AB114" s="16">
        <v>43292</v>
      </c>
      <c r="AC114" s="13">
        <f>4634*20</f>
        <v>92680</v>
      </c>
      <c r="AF114" s="16">
        <v>43294</v>
      </c>
      <c r="AG114" s="13">
        <f>9769*20</f>
        <v>195380</v>
      </c>
      <c r="AJ114" s="16">
        <v>43296</v>
      </c>
      <c r="AK114" s="13">
        <f>18190*20</f>
        <v>363800</v>
      </c>
      <c r="AN114" s="16">
        <v>43298</v>
      </c>
      <c r="AO114" s="13">
        <f>32352*20</f>
        <v>647040</v>
      </c>
      <c r="AR114" s="16">
        <v>43300</v>
      </c>
      <c r="AS114" s="13">
        <f>47593*20</f>
        <v>951860</v>
      </c>
      <c r="AV114" s="16">
        <v>43302</v>
      </c>
    </row>
    <row r="115" spans="1:56" s="13" customFormat="1" x14ac:dyDescent="0.2">
      <c r="A115" s="12" t="s">
        <v>115</v>
      </c>
      <c r="B115" s="13" t="s">
        <v>76</v>
      </c>
      <c r="C115" s="13">
        <v>10</v>
      </c>
      <c r="D115" s="13">
        <v>26</v>
      </c>
      <c r="E115" s="14">
        <f>([1]innoculation!$D$26*0.7)/1000</f>
        <v>1353.0509999999999</v>
      </c>
      <c r="H115" s="16">
        <v>43282</v>
      </c>
      <c r="I115" s="13">
        <v>1855</v>
      </c>
      <c r="L115" s="16">
        <v>43284</v>
      </c>
      <c r="M115" s="13">
        <v>2442</v>
      </c>
      <c r="P115" s="16">
        <v>43286</v>
      </c>
      <c r="T115" s="16">
        <v>43288</v>
      </c>
      <c r="U115" s="13">
        <v>12991</v>
      </c>
      <c r="X115" s="16">
        <v>43290</v>
      </c>
      <c r="Y115" s="13">
        <v>32912</v>
      </c>
      <c r="AB115" s="16">
        <v>43292</v>
      </c>
      <c r="AC115" s="13">
        <f>4913*20</f>
        <v>98260</v>
      </c>
      <c r="AF115" s="16">
        <v>43294</v>
      </c>
      <c r="AG115" s="13">
        <f>9549*20</f>
        <v>190980</v>
      </c>
      <c r="AJ115" s="16">
        <v>43296</v>
      </c>
      <c r="AK115" s="13">
        <f>18301*20</f>
        <v>366020</v>
      </c>
      <c r="AN115" s="16">
        <v>43298</v>
      </c>
      <c r="AO115" s="13">
        <f>32144*20</f>
        <v>642880</v>
      </c>
      <c r="AR115" s="16">
        <v>43300</v>
      </c>
      <c r="AS115" s="13">
        <f>48022*20</f>
        <v>960440</v>
      </c>
      <c r="AV115" s="16">
        <v>43302</v>
      </c>
    </row>
    <row r="116" spans="1:56" s="13" customFormat="1" x14ac:dyDescent="0.2">
      <c r="A116" s="12" t="s">
        <v>116</v>
      </c>
      <c r="B116" s="13" t="s">
        <v>76</v>
      </c>
      <c r="C116" s="13">
        <v>10</v>
      </c>
      <c r="D116" s="13">
        <v>26</v>
      </c>
      <c r="E116" s="14">
        <f>([1]innoculation!$D$26*0.7)/1000</f>
        <v>1353.0509999999999</v>
      </c>
      <c r="H116" s="16">
        <v>43282</v>
      </c>
      <c r="I116" s="13">
        <v>1825</v>
      </c>
      <c r="L116" s="16">
        <v>43284</v>
      </c>
      <c r="M116" s="13">
        <v>2521</v>
      </c>
      <c r="P116" s="16">
        <v>43286</v>
      </c>
      <c r="T116" s="16">
        <v>43288</v>
      </c>
      <c r="U116" s="13">
        <v>13174</v>
      </c>
      <c r="X116" s="16">
        <v>43290</v>
      </c>
      <c r="Y116" s="13">
        <v>35416</v>
      </c>
      <c r="AB116" s="16">
        <v>43292</v>
      </c>
      <c r="AC116" s="13">
        <f>4852*20</f>
        <v>97040</v>
      </c>
      <c r="AF116" s="16">
        <v>43294</v>
      </c>
      <c r="AG116" s="13">
        <f>9480*20</f>
        <v>189600</v>
      </c>
      <c r="AJ116" s="16">
        <v>43296</v>
      </c>
      <c r="AK116" s="13">
        <f>15993*20</f>
        <v>319860</v>
      </c>
      <c r="AN116" s="16">
        <v>43298</v>
      </c>
      <c r="AO116" s="13">
        <f>30946*20</f>
        <v>618920</v>
      </c>
      <c r="AR116" s="16">
        <v>43300</v>
      </c>
      <c r="AS116" s="13">
        <f>47500*20</f>
        <v>950000</v>
      </c>
      <c r="AV116" s="16">
        <v>43302</v>
      </c>
    </row>
    <row r="117" spans="1:56" s="13" customFormat="1" x14ac:dyDescent="0.2">
      <c r="A117" s="12" t="s">
        <v>116</v>
      </c>
      <c r="B117" s="13" t="s">
        <v>76</v>
      </c>
      <c r="C117" s="13">
        <v>10</v>
      </c>
      <c r="D117" s="13">
        <v>26</v>
      </c>
      <c r="E117" s="14">
        <f>([1]innoculation!$D$26*0.7)/1000</f>
        <v>1353.0509999999999</v>
      </c>
      <c r="H117" s="16">
        <v>43282</v>
      </c>
      <c r="I117" s="13">
        <v>1905</v>
      </c>
      <c r="L117" s="16">
        <v>43284</v>
      </c>
      <c r="M117" s="13">
        <v>2460</v>
      </c>
      <c r="P117" s="16">
        <v>43286</v>
      </c>
      <c r="T117" s="16">
        <v>43288</v>
      </c>
      <c r="U117" s="13">
        <v>12843</v>
      </c>
      <c r="X117" s="16">
        <v>43290</v>
      </c>
      <c r="Y117" s="13">
        <v>33575</v>
      </c>
      <c r="AB117" s="16">
        <v>43292</v>
      </c>
      <c r="AC117" s="13">
        <f>4650*20</f>
        <v>93000</v>
      </c>
      <c r="AF117" s="16">
        <v>43294</v>
      </c>
      <c r="AG117" s="13">
        <f>9207*20</f>
        <v>184140</v>
      </c>
      <c r="AJ117" s="16">
        <v>43296</v>
      </c>
      <c r="AK117" s="13">
        <f>16094*20</f>
        <v>321880</v>
      </c>
      <c r="AN117" s="16">
        <v>43298</v>
      </c>
      <c r="AO117" s="13">
        <f>30768*20</f>
        <v>615360</v>
      </c>
      <c r="AR117" s="16">
        <v>43300</v>
      </c>
      <c r="AS117" s="13">
        <f>47771*20</f>
        <v>955420</v>
      </c>
      <c r="AV117" s="16">
        <v>43302</v>
      </c>
    </row>
    <row r="118" spans="1:56" s="13" customFormat="1" x14ac:dyDescent="0.2">
      <c r="A118" s="12" t="s">
        <v>116</v>
      </c>
      <c r="B118" s="13" t="s">
        <v>76</v>
      </c>
      <c r="C118" s="13">
        <v>10</v>
      </c>
      <c r="D118" s="13">
        <v>26</v>
      </c>
      <c r="E118" s="14">
        <f>([1]innoculation!$D$26*0.7)/1000</f>
        <v>1353.0509999999999</v>
      </c>
      <c r="H118" s="16">
        <v>43282</v>
      </c>
      <c r="I118" s="13">
        <v>1872</v>
      </c>
      <c r="L118" s="16">
        <v>43284</v>
      </c>
      <c r="M118" s="13">
        <v>2383</v>
      </c>
      <c r="P118" s="16">
        <v>43286</v>
      </c>
      <c r="T118" s="16">
        <v>43288</v>
      </c>
      <c r="U118" s="13">
        <v>13209</v>
      </c>
      <c r="X118" s="16">
        <v>43290</v>
      </c>
      <c r="Y118" s="13">
        <v>33341</v>
      </c>
      <c r="AB118" s="16">
        <v>43292</v>
      </c>
      <c r="AC118" s="13">
        <f>4514*20</f>
        <v>90280</v>
      </c>
      <c r="AF118" s="16">
        <v>43294</v>
      </c>
      <c r="AG118" s="13">
        <f>9426*20</f>
        <v>188520</v>
      </c>
      <c r="AJ118" s="16">
        <v>43296</v>
      </c>
      <c r="AK118" s="13">
        <f>15896*20</f>
        <v>317920</v>
      </c>
      <c r="AN118" s="16">
        <v>43298</v>
      </c>
      <c r="AO118" s="13">
        <f>30489*20</f>
        <v>609780</v>
      </c>
      <c r="AR118" s="16">
        <v>43300</v>
      </c>
      <c r="AS118" s="13">
        <f>48465*20</f>
        <v>969300</v>
      </c>
      <c r="AV118" s="16">
        <v>43302</v>
      </c>
    </row>
    <row r="119" spans="1:56" s="11" customFormat="1" x14ac:dyDescent="0.2">
      <c r="A119" s="19" t="s">
        <v>117</v>
      </c>
      <c r="B119" s="11" t="s">
        <v>76</v>
      </c>
      <c r="C119" s="11">
        <v>10</v>
      </c>
      <c r="D119" s="11">
        <v>28</v>
      </c>
      <c r="E119" s="20">
        <f>([1]innoculation!$D$28*1)/1000</f>
        <v>1350.45</v>
      </c>
      <c r="F119" s="21">
        <f>AVERAGE(E119:E127)</f>
        <v>1350.45</v>
      </c>
      <c r="G119" s="11">
        <f>STDEV(E119:E127)</f>
        <v>0</v>
      </c>
      <c r="H119" s="9">
        <v>43282</v>
      </c>
      <c r="I119" s="11">
        <v>1917</v>
      </c>
      <c r="J119" s="11">
        <f>AVERAGE(I119:I127)</f>
        <v>1730.1111111111111</v>
      </c>
      <c r="K119" s="11">
        <f>STDEV(I119:I127)</f>
        <v>248.01383249954227</v>
      </c>
      <c r="L119" s="9">
        <v>43284</v>
      </c>
      <c r="M119" s="11">
        <v>1807</v>
      </c>
      <c r="N119" s="11">
        <f>AVERAGE(M119:M127)</f>
        <v>1864</v>
      </c>
      <c r="O119" s="11">
        <f>STDEV(M119:M127)</f>
        <v>93.924171542792962</v>
      </c>
      <c r="P119" s="9">
        <v>43286</v>
      </c>
      <c r="T119" s="9">
        <v>43288</v>
      </c>
      <c r="U119" s="11">
        <v>5111</v>
      </c>
      <c r="V119" s="11">
        <f>AVERAGE(U119:U127)</f>
        <v>4663.8888888888887</v>
      </c>
      <c r="W119" s="11">
        <f>STDEV(U119:U127)</f>
        <v>297.65938774228357</v>
      </c>
      <c r="X119" s="9">
        <v>43290</v>
      </c>
      <c r="Y119" s="11">
        <v>11305</v>
      </c>
      <c r="Z119" s="11">
        <f>AVERAGE(Y119:Y127)</f>
        <v>10359.555555555555</v>
      </c>
      <c r="AA119" s="11">
        <f>STDEV(Y119:Y127)</f>
        <v>477.48955776831156</v>
      </c>
      <c r="AB119" s="9">
        <v>43292</v>
      </c>
      <c r="AC119" s="11">
        <v>23476</v>
      </c>
      <c r="AD119" s="6">
        <f>AVERAGE(AC119:AC127)</f>
        <v>22745</v>
      </c>
      <c r="AE119" s="6">
        <f>STDEV(AC119:AC127)</f>
        <v>810.01450604294735</v>
      </c>
      <c r="AF119" s="9">
        <v>43294</v>
      </c>
      <c r="AG119" s="11">
        <v>49340</v>
      </c>
      <c r="AH119" s="6">
        <f>AVERAGE(AG119:AG127)</f>
        <v>45453.555555555555</v>
      </c>
      <c r="AI119" s="6">
        <f>STDEV(AG119:AG127)</f>
        <v>2139.015960150316</v>
      </c>
      <c r="AJ119" s="9">
        <v>43296</v>
      </c>
      <c r="AK119" s="11">
        <f>6884*20</f>
        <v>137680</v>
      </c>
      <c r="AL119" s="6">
        <f>AVERAGE(AK119:AK127)</f>
        <v>124164.44444444444</v>
      </c>
      <c r="AM119" s="6">
        <f>STDEV(AK119:AK127)</f>
        <v>12299.072232399392</v>
      </c>
      <c r="AN119" s="9">
        <v>43298</v>
      </c>
      <c r="AO119" s="11">
        <f>15025*20</f>
        <v>300500</v>
      </c>
      <c r="AP119" s="6">
        <f>AVERAGE(AO119:AO127)</f>
        <v>260740</v>
      </c>
      <c r="AQ119" s="6">
        <f>STDEV(AO119:AO127)</f>
        <v>30966.078214717472</v>
      </c>
      <c r="AR119" s="9">
        <v>43300</v>
      </c>
      <c r="AS119" s="11">
        <f>27835*20</f>
        <v>556700</v>
      </c>
      <c r="AT119" s="6">
        <f>AVERAGE(AS119:AS127)</f>
        <v>515793.33333333331</v>
      </c>
      <c r="AU119" s="6">
        <f>STDEV(AS119:AS127)</f>
        <v>38287.483594511665</v>
      </c>
      <c r="AV119" s="9">
        <v>43302</v>
      </c>
      <c r="AW119" s="11">
        <f>44530*20</f>
        <v>890600</v>
      </c>
      <c r="AX119" s="6">
        <f>AVERAGE(AW119:AW127)</f>
        <v>840795.5555555555</v>
      </c>
      <c r="AY119" s="6">
        <f>STDEV(AW119:AW127)</f>
        <v>41086.209094753169</v>
      </c>
      <c r="AZ119" s="9">
        <v>43304</v>
      </c>
    </row>
    <row r="120" spans="1:56" s="11" customFormat="1" x14ac:dyDescent="0.2">
      <c r="A120" s="19" t="s">
        <v>117</v>
      </c>
      <c r="B120" s="11" t="s">
        <v>76</v>
      </c>
      <c r="C120" s="11">
        <v>10</v>
      </c>
      <c r="D120" s="11">
        <v>28</v>
      </c>
      <c r="E120" s="20">
        <f>([1]innoculation!$D$28*1)/1000</f>
        <v>1350.45</v>
      </c>
      <c r="H120" s="9">
        <v>43282</v>
      </c>
      <c r="I120" s="11">
        <v>1901</v>
      </c>
      <c r="L120" s="9">
        <v>43284</v>
      </c>
      <c r="M120" s="11">
        <v>1777</v>
      </c>
      <c r="P120" s="9">
        <v>43286</v>
      </c>
      <c r="T120" s="9">
        <v>43288</v>
      </c>
      <c r="U120" s="11">
        <v>4891</v>
      </c>
      <c r="X120" s="9">
        <v>43290</v>
      </c>
      <c r="Y120" s="11">
        <v>10785</v>
      </c>
      <c r="AB120" s="9">
        <v>43292</v>
      </c>
      <c r="AC120" s="11">
        <v>23329</v>
      </c>
      <c r="AF120" s="9">
        <v>43294</v>
      </c>
      <c r="AG120" s="11">
        <v>47204</v>
      </c>
      <c r="AJ120" s="9">
        <v>43296</v>
      </c>
      <c r="AK120" s="11">
        <f>7005*20</f>
        <v>140100</v>
      </c>
      <c r="AN120" s="9">
        <v>43298</v>
      </c>
      <c r="AO120" s="11">
        <f>15208*20</f>
        <v>304160</v>
      </c>
      <c r="AR120" s="9">
        <v>43300</v>
      </c>
      <c r="AS120" s="11">
        <f>27884*20</f>
        <v>557680</v>
      </c>
      <c r="AV120" s="9">
        <v>43302</v>
      </c>
      <c r="AW120" s="11">
        <f>44782*20</f>
        <v>895640</v>
      </c>
      <c r="AZ120" s="9">
        <v>43304</v>
      </c>
    </row>
    <row r="121" spans="1:56" s="11" customFormat="1" x14ac:dyDescent="0.2">
      <c r="A121" s="19" t="s">
        <v>117</v>
      </c>
      <c r="B121" s="11" t="s">
        <v>76</v>
      </c>
      <c r="C121" s="11">
        <v>10</v>
      </c>
      <c r="D121" s="11">
        <v>28</v>
      </c>
      <c r="E121" s="20">
        <f>([1]innoculation!$D$28*1)/1000</f>
        <v>1350.45</v>
      </c>
      <c r="H121" s="9">
        <v>43282</v>
      </c>
      <c r="I121" s="11">
        <v>1949</v>
      </c>
      <c r="L121" s="9">
        <v>43284</v>
      </c>
      <c r="M121" s="11">
        <v>1717</v>
      </c>
      <c r="P121" s="9">
        <v>43286</v>
      </c>
      <c r="T121" s="9">
        <v>43288</v>
      </c>
      <c r="U121" s="11">
        <v>4730</v>
      </c>
      <c r="X121" s="9">
        <v>43290</v>
      </c>
      <c r="Y121" s="11">
        <v>10477</v>
      </c>
      <c r="AB121" s="9">
        <v>43292</v>
      </c>
      <c r="AC121" s="11">
        <v>23137</v>
      </c>
      <c r="AF121" s="9">
        <v>43294</v>
      </c>
      <c r="AG121" s="11">
        <v>45547</v>
      </c>
      <c r="AJ121" s="9">
        <v>43296</v>
      </c>
      <c r="AK121" s="11">
        <f>7167*20</f>
        <v>143340</v>
      </c>
      <c r="AN121" s="9">
        <v>43298</v>
      </c>
      <c r="AO121" s="11">
        <f>14851*20</f>
        <v>297020</v>
      </c>
      <c r="AR121" s="9">
        <v>43300</v>
      </c>
      <c r="AS121" s="11">
        <f>27881*20</f>
        <v>557620</v>
      </c>
      <c r="AV121" s="9">
        <v>43302</v>
      </c>
      <c r="AW121" s="11">
        <f>44648*20</f>
        <v>892960</v>
      </c>
      <c r="AZ121" s="9">
        <v>43304</v>
      </c>
    </row>
    <row r="122" spans="1:56" s="11" customFormat="1" x14ac:dyDescent="0.2">
      <c r="A122" s="19" t="s">
        <v>118</v>
      </c>
      <c r="B122" s="11" t="s">
        <v>76</v>
      </c>
      <c r="C122" s="11">
        <v>10</v>
      </c>
      <c r="D122" s="11">
        <v>28</v>
      </c>
      <c r="E122" s="20">
        <f>([1]innoculation!$D$28*1)/1000</f>
        <v>1350.45</v>
      </c>
      <c r="H122" s="9">
        <v>43282</v>
      </c>
      <c r="I122" s="11">
        <v>1845</v>
      </c>
      <c r="L122" s="9">
        <v>43284</v>
      </c>
      <c r="M122" s="11">
        <v>1903</v>
      </c>
      <c r="P122" s="9">
        <v>43286</v>
      </c>
      <c r="T122" s="9">
        <v>43288</v>
      </c>
      <c r="U122" s="11">
        <v>4764</v>
      </c>
      <c r="X122" s="9">
        <v>43290</v>
      </c>
      <c r="Y122" s="11">
        <v>10593</v>
      </c>
      <c r="AB122" s="9">
        <v>43292</v>
      </c>
      <c r="AC122" s="11">
        <v>22985</v>
      </c>
      <c r="AF122" s="9">
        <v>43294</v>
      </c>
      <c r="AG122" s="11">
        <v>45841</v>
      </c>
      <c r="AJ122" s="9">
        <v>43296</v>
      </c>
      <c r="AK122" s="11">
        <f>5898*20</f>
        <v>117960</v>
      </c>
      <c r="AN122" s="9">
        <v>43298</v>
      </c>
      <c r="AO122" s="11">
        <f>11421*20</f>
        <v>228420</v>
      </c>
      <c r="AR122" s="9">
        <v>43300</v>
      </c>
      <c r="AS122" s="11">
        <f>23399*20</f>
        <v>467980</v>
      </c>
      <c r="AV122" s="9">
        <v>43302</v>
      </c>
      <c r="AW122" s="11">
        <f>41303*20</f>
        <v>826060</v>
      </c>
      <c r="AZ122" s="9">
        <v>43304</v>
      </c>
    </row>
    <row r="123" spans="1:56" s="11" customFormat="1" x14ac:dyDescent="0.2">
      <c r="A123" s="19" t="s">
        <v>118</v>
      </c>
      <c r="B123" s="11" t="s">
        <v>76</v>
      </c>
      <c r="C123" s="11">
        <v>10</v>
      </c>
      <c r="D123" s="11">
        <v>28</v>
      </c>
      <c r="E123" s="20">
        <f>([1]innoculation!$D$28*1)/1000</f>
        <v>1350.45</v>
      </c>
      <c r="H123" s="9">
        <v>43282</v>
      </c>
      <c r="I123" s="11">
        <v>1873</v>
      </c>
      <c r="L123" s="9">
        <v>43284</v>
      </c>
      <c r="M123" s="11">
        <v>1810</v>
      </c>
      <c r="P123" s="9">
        <v>43286</v>
      </c>
      <c r="T123" s="9">
        <v>43288</v>
      </c>
      <c r="U123" s="11">
        <v>4168</v>
      </c>
      <c r="X123" s="9">
        <v>43290</v>
      </c>
      <c r="Y123" s="11">
        <v>9994</v>
      </c>
      <c r="AB123" s="9">
        <v>43292</v>
      </c>
      <c r="AC123" s="11">
        <v>22966</v>
      </c>
      <c r="AF123" s="9">
        <v>43294</v>
      </c>
      <c r="AG123" s="11">
        <v>42664</v>
      </c>
      <c r="AJ123" s="9">
        <v>43296</v>
      </c>
      <c r="AK123" s="11">
        <f>5810*20</f>
        <v>116200</v>
      </c>
      <c r="AN123" s="9">
        <v>43298</v>
      </c>
      <c r="AO123" s="11">
        <f>11800*20</f>
        <v>236000</v>
      </c>
      <c r="AR123" s="9">
        <v>43300</v>
      </c>
      <c r="AS123" s="11">
        <f>23696*20</f>
        <v>473920</v>
      </c>
      <c r="AV123" s="9">
        <v>43302</v>
      </c>
      <c r="AW123" s="11">
        <f>41516*20</f>
        <v>830320</v>
      </c>
      <c r="AZ123" s="9">
        <v>43304</v>
      </c>
    </row>
    <row r="124" spans="1:56" s="11" customFormat="1" x14ac:dyDescent="0.2">
      <c r="A124" s="19" t="s">
        <v>118</v>
      </c>
      <c r="B124" s="11" t="s">
        <v>76</v>
      </c>
      <c r="C124" s="11">
        <v>10</v>
      </c>
      <c r="D124" s="11">
        <v>28</v>
      </c>
      <c r="E124" s="20">
        <f>([1]innoculation!$D$28*1)/1000</f>
        <v>1350.45</v>
      </c>
      <c r="H124" s="9">
        <v>43282</v>
      </c>
      <c r="I124" s="11">
        <v>1861</v>
      </c>
      <c r="L124" s="9">
        <v>43284</v>
      </c>
      <c r="M124" s="11">
        <v>1902</v>
      </c>
      <c r="P124" s="9">
        <v>43286</v>
      </c>
      <c r="T124" s="9">
        <v>43288</v>
      </c>
      <c r="U124" s="11">
        <v>4265</v>
      </c>
      <c r="X124" s="9">
        <v>43290</v>
      </c>
      <c r="Y124" s="11">
        <v>9785</v>
      </c>
      <c r="AB124" s="9">
        <v>43292</v>
      </c>
      <c r="AC124" s="11">
        <v>23512</v>
      </c>
      <c r="AF124" s="9">
        <v>43294</v>
      </c>
      <c r="AG124" s="11">
        <v>42363</v>
      </c>
      <c r="AJ124" s="9">
        <v>43296</v>
      </c>
      <c r="AK124" s="11">
        <f>5867*20</f>
        <v>117340</v>
      </c>
      <c r="AN124" s="9">
        <v>43298</v>
      </c>
      <c r="AO124" s="11">
        <f>11563*20</f>
        <v>231260</v>
      </c>
      <c r="AR124" s="9">
        <v>43300</v>
      </c>
      <c r="AS124" s="11">
        <f>23334*20</f>
        <v>466680</v>
      </c>
      <c r="AV124" s="9">
        <v>43302</v>
      </c>
      <c r="AW124" s="11">
        <f>41424*20</f>
        <v>828480</v>
      </c>
      <c r="AZ124" s="9">
        <v>43304</v>
      </c>
    </row>
    <row r="125" spans="1:56" s="11" customFormat="1" x14ac:dyDescent="0.2">
      <c r="A125" s="19" t="s">
        <v>119</v>
      </c>
      <c r="B125" s="11" t="s">
        <v>76</v>
      </c>
      <c r="C125" s="11">
        <v>10</v>
      </c>
      <c r="D125" s="11">
        <v>28</v>
      </c>
      <c r="E125" s="20">
        <f>([1]innoculation!$D$28*1)/1000</f>
        <v>1350.45</v>
      </c>
      <c r="H125" s="9">
        <v>43282</v>
      </c>
      <c r="I125" s="11">
        <v>1414</v>
      </c>
      <c r="L125" s="9">
        <v>43284</v>
      </c>
      <c r="M125" s="11">
        <v>2017</v>
      </c>
      <c r="P125" s="9">
        <v>43286</v>
      </c>
      <c r="T125" s="9">
        <v>43288</v>
      </c>
      <c r="U125" s="11">
        <v>4829</v>
      </c>
      <c r="X125" s="9">
        <v>43290</v>
      </c>
      <c r="Y125" s="11">
        <v>10169</v>
      </c>
      <c r="AB125" s="9">
        <v>43292</v>
      </c>
      <c r="AC125" s="11">
        <v>22386</v>
      </c>
      <c r="AF125" s="9">
        <v>43294</v>
      </c>
      <c r="AG125" s="11">
        <v>45789</v>
      </c>
      <c r="AJ125" s="9">
        <v>43296</v>
      </c>
      <c r="AK125" s="11">
        <f>5808*20</f>
        <v>116160</v>
      </c>
      <c r="AN125" s="9">
        <v>43298</v>
      </c>
      <c r="AO125" s="11">
        <f>12434*20</f>
        <v>248680</v>
      </c>
      <c r="AR125" s="9">
        <v>43300</v>
      </c>
      <c r="AS125" s="11">
        <f>25905*20</f>
        <v>518100</v>
      </c>
      <c r="AV125" s="9">
        <v>43302</v>
      </c>
      <c r="AW125" s="11">
        <f>40145*20</f>
        <v>802900</v>
      </c>
      <c r="AZ125" s="9">
        <v>43304</v>
      </c>
    </row>
    <row r="126" spans="1:56" s="11" customFormat="1" x14ac:dyDescent="0.2">
      <c r="A126" s="19" t="s">
        <v>119</v>
      </c>
      <c r="B126" s="11" t="s">
        <v>76</v>
      </c>
      <c r="C126" s="11">
        <v>10</v>
      </c>
      <c r="D126" s="11">
        <v>28</v>
      </c>
      <c r="E126" s="20">
        <f>([1]innoculation!$D$28*1)/1000</f>
        <v>1350.45</v>
      </c>
      <c r="H126" s="9">
        <v>43282</v>
      </c>
      <c r="I126" s="11">
        <v>1309</v>
      </c>
      <c r="L126" s="9">
        <v>43284</v>
      </c>
      <c r="M126" s="11">
        <v>1955</v>
      </c>
      <c r="P126" s="9">
        <v>43286</v>
      </c>
      <c r="T126" s="9">
        <v>43288</v>
      </c>
      <c r="U126" s="11">
        <v>4656</v>
      </c>
      <c r="X126" s="9">
        <v>43290</v>
      </c>
      <c r="Y126" s="11">
        <v>10119</v>
      </c>
      <c r="AB126" s="9">
        <v>43292</v>
      </c>
      <c r="AC126" s="11">
        <v>21655</v>
      </c>
      <c r="AF126" s="9">
        <v>43294</v>
      </c>
      <c r="AG126" s="11">
        <v>45744</v>
      </c>
      <c r="AJ126" s="9">
        <v>43296</v>
      </c>
      <c r="AK126" s="11">
        <f>5745*20</f>
        <v>114900</v>
      </c>
      <c r="AN126" s="9">
        <v>43298</v>
      </c>
      <c r="AO126" s="11">
        <f>12524*20</f>
        <v>250480</v>
      </c>
      <c r="AR126" s="9">
        <v>43300</v>
      </c>
      <c r="AS126" s="11">
        <f>26255*20</f>
        <v>525100</v>
      </c>
      <c r="AV126" s="9">
        <v>43302</v>
      </c>
      <c r="AW126" s="11">
        <f>39713*20</f>
        <v>794260</v>
      </c>
      <c r="AZ126" s="9">
        <v>43304</v>
      </c>
    </row>
    <row r="127" spans="1:56" s="11" customFormat="1" x14ac:dyDescent="0.2">
      <c r="A127" s="19" t="s">
        <v>119</v>
      </c>
      <c r="B127" s="11" t="s">
        <v>76</v>
      </c>
      <c r="C127" s="11">
        <v>10</v>
      </c>
      <c r="D127" s="11">
        <v>28</v>
      </c>
      <c r="E127" s="20">
        <f>([1]innoculation!$D$28*1)/1000</f>
        <v>1350.45</v>
      </c>
      <c r="H127" s="9">
        <v>43282</v>
      </c>
      <c r="I127" s="11">
        <v>1502</v>
      </c>
      <c r="L127" s="9">
        <v>43284</v>
      </c>
      <c r="M127" s="11">
        <v>1888</v>
      </c>
      <c r="P127" s="9">
        <v>43286</v>
      </c>
      <c r="T127" s="9">
        <v>43288</v>
      </c>
      <c r="U127" s="11">
        <v>4561</v>
      </c>
      <c r="X127" s="9">
        <v>43290</v>
      </c>
      <c r="Y127" s="11">
        <v>10009</v>
      </c>
      <c r="AB127" s="9">
        <v>43292</v>
      </c>
      <c r="AC127" s="11">
        <v>21259</v>
      </c>
      <c r="AF127" s="9">
        <v>43294</v>
      </c>
      <c r="AG127" s="11">
        <v>44590</v>
      </c>
      <c r="AJ127" s="9">
        <v>43296</v>
      </c>
      <c r="AK127" s="11">
        <f>5690*20</f>
        <v>113800</v>
      </c>
      <c r="AN127" s="9">
        <v>43298</v>
      </c>
      <c r="AO127" s="11">
        <f>12507*20</f>
        <v>250140</v>
      </c>
      <c r="AR127" s="9">
        <v>43300</v>
      </c>
      <c r="AS127" s="11">
        <f>25918*20</f>
        <v>518360</v>
      </c>
      <c r="AV127" s="9">
        <v>43302</v>
      </c>
      <c r="AW127" s="11">
        <f>40297*20</f>
        <v>805940</v>
      </c>
      <c r="AZ127" s="9">
        <v>43304</v>
      </c>
    </row>
    <row r="128" spans="1:56" s="13" customFormat="1" x14ac:dyDescent="0.2">
      <c r="A128" s="23" t="s">
        <v>120</v>
      </c>
      <c r="B128" s="13" t="s">
        <v>76</v>
      </c>
      <c r="C128" s="13">
        <v>10</v>
      </c>
      <c r="D128" s="13">
        <v>30</v>
      </c>
      <c r="E128" s="14">
        <f>([1]innoculation!$D$29*1.5)/1000</f>
        <v>1331.6849999999999</v>
      </c>
      <c r="F128" s="15">
        <f>AVERAGE(E128:E136)</f>
        <v>1331.6849999999997</v>
      </c>
      <c r="G128" s="13">
        <f>STDEV(E128:E136)</f>
        <v>2.4116620165382783E-13</v>
      </c>
      <c r="H128" s="16">
        <v>43282</v>
      </c>
      <c r="I128" s="13">
        <v>1775</v>
      </c>
      <c r="J128" s="13">
        <f>AVERAGE(I128:I136)</f>
        <v>1644.8888888888889</v>
      </c>
      <c r="K128" s="13">
        <f>STDEV(I128:I136)</f>
        <v>92.574894604914945</v>
      </c>
      <c r="L128" s="16">
        <v>43284</v>
      </c>
      <c r="M128" s="13">
        <v>1307</v>
      </c>
      <c r="N128" s="13">
        <f>AVERAGE(M128:M136)</f>
        <v>1318.2222222222222</v>
      </c>
      <c r="O128" s="13">
        <f>STDEV(M128:M136)</f>
        <v>42.909141735117991</v>
      </c>
      <c r="P128" s="16">
        <v>43286</v>
      </c>
      <c r="T128" s="16">
        <v>43288</v>
      </c>
      <c r="U128" s="13">
        <v>1085</v>
      </c>
      <c r="V128" s="13">
        <f>AVERAGE(U128:U136)</f>
        <v>1320.5555555555557</v>
      </c>
      <c r="W128" s="13">
        <f>STDEV(U128:U136)</f>
        <v>240.07608747598698</v>
      </c>
      <c r="X128" s="16">
        <v>43290</v>
      </c>
      <c r="Y128" s="13">
        <v>1003</v>
      </c>
      <c r="Z128" s="13">
        <f>AVERAGE(Y128:Y136)</f>
        <v>1020.7777777777778</v>
      </c>
      <c r="AA128" s="13">
        <f>STDEV(Y128:Y136)</f>
        <v>71.461139400687173</v>
      </c>
      <c r="AB128" s="16">
        <v>43292</v>
      </c>
      <c r="AC128" s="13">
        <v>1678</v>
      </c>
      <c r="AD128" s="13">
        <f>AVERAGE(AC128:AC136)</f>
        <v>1612.1111111111111</v>
      </c>
      <c r="AE128" s="13">
        <f>STDEV(AC128:AC136)</f>
        <v>118.91009675848015</v>
      </c>
      <c r="AF128" s="16">
        <v>43294</v>
      </c>
      <c r="AJ128" s="16">
        <v>43296</v>
      </c>
      <c r="AK128" s="13">
        <v>1643</v>
      </c>
      <c r="AL128" s="13">
        <f>AVERAGE(AK128:AK136)</f>
        <v>1643.4444444444443</v>
      </c>
      <c r="AM128" s="13">
        <f>STDEV(AK128:AK136)</f>
        <v>92.435262631626557</v>
      </c>
      <c r="AN128" s="16">
        <v>43298</v>
      </c>
      <c r="AO128" s="13">
        <v>1767</v>
      </c>
      <c r="AP128" s="13">
        <f>AVERAGE(AO128:AO136)</f>
        <v>1554.4444444444443</v>
      </c>
      <c r="AQ128" s="13">
        <f>STDEV(AO128:AO136)</f>
        <v>146.42755129338801</v>
      </c>
      <c r="AR128" s="16">
        <v>43300</v>
      </c>
      <c r="AV128" s="16">
        <v>43302</v>
      </c>
      <c r="AW128" s="13">
        <v>1811</v>
      </c>
      <c r="AX128" s="13">
        <f>AVERAGE(AW128:AW136)</f>
        <v>2427.2222222222222</v>
      </c>
      <c r="AY128" s="13">
        <f>STDEV(AW128:AW136)</f>
        <v>527.50350183145133</v>
      </c>
      <c r="AZ128" s="16">
        <v>43304</v>
      </c>
      <c r="BA128" s="13">
        <v>1209</v>
      </c>
      <c r="BB128" s="13">
        <f>AVERAGE(BA128:BA136)</f>
        <v>1285.6666666666667</v>
      </c>
      <c r="BC128" s="13">
        <f>STDEV(BA128:BA136)</f>
        <v>80.068720484343942</v>
      </c>
      <c r="BD128" s="16">
        <v>43306</v>
      </c>
    </row>
    <row r="129" spans="1:56" s="13" customFormat="1" x14ac:dyDescent="0.2">
      <c r="A129" s="23" t="s">
        <v>120</v>
      </c>
      <c r="B129" s="13" t="s">
        <v>76</v>
      </c>
      <c r="C129" s="13">
        <v>10</v>
      </c>
      <c r="D129" s="13">
        <v>30</v>
      </c>
      <c r="E129" s="14">
        <f>([1]innoculation!$D$29*1.5)/1000</f>
        <v>1331.6849999999999</v>
      </c>
      <c r="H129" s="16">
        <v>43282</v>
      </c>
      <c r="I129" s="13">
        <v>1693</v>
      </c>
      <c r="L129" s="16">
        <v>43284</v>
      </c>
      <c r="M129" s="13">
        <v>1304</v>
      </c>
      <c r="P129" s="16">
        <v>43286</v>
      </c>
      <c r="T129" s="16">
        <v>43288</v>
      </c>
      <c r="U129" s="13">
        <v>1064</v>
      </c>
      <c r="X129" s="16">
        <v>43290</v>
      </c>
      <c r="Y129" s="13">
        <v>894</v>
      </c>
      <c r="AB129" s="16">
        <v>43292</v>
      </c>
      <c r="AC129" s="13">
        <v>1655</v>
      </c>
      <c r="AF129" s="16">
        <v>43294</v>
      </c>
      <c r="AJ129" s="16">
        <v>43296</v>
      </c>
      <c r="AK129" s="13">
        <v>1620</v>
      </c>
      <c r="AN129" s="16">
        <v>43298</v>
      </c>
      <c r="AO129" s="13">
        <v>1693</v>
      </c>
      <c r="AR129" s="16">
        <v>43300</v>
      </c>
      <c r="AV129" s="16">
        <v>43302</v>
      </c>
      <c r="AW129" s="13">
        <v>1795</v>
      </c>
      <c r="AZ129" s="16">
        <v>43304</v>
      </c>
      <c r="BA129" s="13">
        <v>1206</v>
      </c>
      <c r="BC129" s="16"/>
      <c r="BD129" s="16">
        <v>43306</v>
      </c>
    </row>
    <row r="130" spans="1:56" s="13" customFormat="1" x14ac:dyDescent="0.2">
      <c r="A130" s="23" t="s">
        <v>120</v>
      </c>
      <c r="B130" s="13" t="s">
        <v>76</v>
      </c>
      <c r="C130" s="13">
        <v>10</v>
      </c>
      <c r="D130" s="13">
        <v>30</v>
      </c>
      <c r="E130" s="14">
        <f>([1]innoculation!$D$29*1.5)/1000</f>
        <v>1331.6849999999999</v>
      </c>
      <c r="H130" s="16">
        <v>43282</v>
      </c>
      <c r="I130" s="13">
        <v>1795</v>
      </c>
      <c r="L130" s="16">
        <v>43284</v>
      </c>
      <c r="M130" s="13">
        <v>1266</v>
      </c>
      <c r="P130" s="16">
        <v>43286</v>
      </c>
      <c r="T130" s="16">
        <v>43288</v>
      </c>
      <c r="U130" s="13">
        <v>1016</v>
      </c>
      <c r="X130" s="16">
        <v>43290</v>
      </c>
      <c r="Y130" s="13">
        <v>966</v>
      </c>
      <c r="AB130" s="16">
        <v>43292</v>
      </c>
      <c r="AC130" s="13">
        <v>1569</v>
      </c>
      <c r="AF130" s="16">
        <v>43294</v>
      </c>
      <c r="AJ130" s="16">
        <v>43296</v>
      </c>
      <c r="AK130" s="13">
        <v>1622</v>
      </c>
      <c r="AN130" s="16">
        <v>43298</v>
      </c>
      <c r="AO130" s="13">
        <v>1687</v>
      </c>
      <c r="AR130" s="16">
        <v>43300</v>
      </c>
      <c r="AV130" s="16">
        <v>43302</v>
      </c>
      <c r="AW130" s="13">
        <v>1747</v>
      </c>
      <c r="AZ130" s="16">
        <v>43304</v>
      </c>
      <c r="BA130" s="13">
        <v>1157</v>
      </c>
      <c r="BC130" s="16"/>
      <c r="BD130" s="16">
        <v>43306</v>
      </c>
    </row>
    <row r="131" spans="1:56" s="13" customFormat="1" x14ac:dyDescent="0.2">
      <c r="A131" s="23" t="s">
        <v>121</v>
      </c>
      <c r="B131" s="13" t="s">
        <v>76</v>
      </c>
      <c r="C131" s="13">
        <v>10</v>
      </c>
      <c r="D131" s="13">
        <v>30</v>
      </c>
      <c r="E131" s="14">
        <f>([1]innoculation!$D$29*1.5)/1000</f>
        <v>1331.6849999999999</v>
      </c>
      <c r="H131" s="16">
        <v>43282</v>
      </c>
      <c r="I131" s="13">
        <v>1620</v>
      </c>
      <c r="L131" s="16">
        <v>43284</v>
      </c>
      <c r="M131" s="13">
        <v>1327</v>
      </c>
      <c r="P131" s="16">
        <v>43286</v>
      </c>
      <c r="T131" s="16">
        <v>43288</v>
      </c>
      <c r="U131" s="13">
        <v>1506</v>
      </c>
      <c r="X131" s="16">
        <v>43290</v>
      </c>
      <c r="Y131" s="13">
        <v>1022</v>
      </c>
      <c r="AB131" s="16">
        <v>43292</v>
      </c>
      <c r="AC131" s="13">
        <v>1792</v>
      </c>
      <c r="AF131" s="16">
        <v>43294</v>
      </c>
      <c r="AJ131" s="16">
        <v>43296</v>
      </c>
      <c r="AK131" s="13">
        <v>1560</v>
      </c>
      <c r="AN131" s="16">
        <v>43298</v>
      </c>
      <c r="AO131" s="13">
        <v>1376</v>
      </c>
      <c r="AR131" s="16">
        <v>43300</v>
      </c>
      <c r="AV131" s="16">
        <v>43302</v>
      </c>
      <c r="AW131" s="13">
        <v>2438</v>
      </c>
      <c r="AZ131" s="16">
        <v>43304</v>
      </c>
      <c r="BA131" s="13">
        <v>1296</v>
      </c>
      <c r="BC131" s="16"/>
      <c r="BD131" s="16">
        <v>43306</v>
      </c>
    </row>
    <row r="132" spans="1:56" s="13" customFormat="1" x14ac:dyDescent="0.2">
      <c r="A132" s="23" t="s">
        <v>121</v>
      </c>
      <c r="B132" s="13" t="s">
        <v>76</v>
      </c>
      <c r="C132" s="13">
        <v>10</v>
      </c>
      <c r="D132" s="13">
        <v>30</v>
      </c>
      <c r="E132" s="14">
        <f>([1]innoculation!$D$29*1.5)/1000</f>
        <v>1331.6849999999999</v>
      </c>
      <c r="H132" s="16">
        <v>43282</v>
      </c>
      <c r="I132" s="13">
        <v>1617</v>
      </c>
      <c r="L132" s="16">
        <v>43284</v>
      </c>
      <c r="M132" s="13">
        <v>1269</v>
      </c>
      <c r="P132" s="16">
        <v>43286</v>
      </c>
      <c r="T132" s="16">
        <v>43288</v>
      </c>
      <c r="U132" s="13">
        <v>1668</v>
      </c>
      <c r="X132" s="16">
        <v>43290</v>
      </c>
      <c r="Y132" s="13">
        <v>1086</v>
      </c>
      <c r="AB132" s="16">
        <v>43292</v>
      </c>
      <c r="AC132" s="13">
        <v>1674</v>
      </c>
      <c r="AF132" s="16">
        <v>43294</v>
      </c>
      <c r="AJ132" s="16">
        <v>43296</v>
      </c>
      <c r="AK132" s="13">
        <v>1533</v>
      </c>
      <c r="AN132" s="16">
        <v>43298</v>
      </c>
      <c r="AO132" s="13">
        <v>1409</v>
      </c>
      <c r="AR132" s="16">
        <v>43300</v>
      </c>
      <c r="AV132" s="16">
        <v>43302</v>
      </c>
      <c r="AW132" s="13">
        <v>2570</v>
      </c>
      <c r="AZ132" s="16">
        <v>43304</v>
      </c>
      <c r="BA132" s="13">
        <v>1275</v>
      </c>
      <c r="BC132" s="16"/>
      <c r="BD132" s="16">
        <v>43306</v>
      </c>
    </row>
    <row r="133" spans="1:56" s="13" customFormat="1" x14ac:dyDescent="0.2">
      <c r="A133" s="23" t="s">
        <v>121</v>
      </c>
      <c r="B133" s="13" t="s">
        <v>76</v>
      </c>
      <c r="C133" s="13">
        <v>10</v>
      </c>
      <c r="D133" s="13">
        <v>30</v>
      </c>
      <c r="E133" s="14">
        <f>([1]innoculation!$D$29*1.5)/1000</f>
        <v>1331.6849999999999</v>
      </c>
      <c r="H133" s="16">
        <v>43282</v>
      </c>
      <c r="I133" s="13">
        <v>1519</v>
      </c>
      <c r="L133" s="16">
        <v>43284</v>
      </c>
      <c r="M133" s="13">
        <v>1291</v>
      </c>
      <c r="P133" s="16">
        <v>43286</v>
      </c>
      <c r="T133" s="16">
        <v>43288</v>
      </c>
      <c r="U133" s="13">
        <v>1588</v>
      </c>
      <c r="X133" s="16">
        <v>43290</v>
      </c>
      <c r="Y133" s="13">
        <v>1001</v>
      </c>
      <c r="AB133" s="16">
        <v>43292</v>
      </c>
      <c r="AC133" s="13">
        <v>1712</v>
      </c>
      <c r="AF133" s="16">
        <v>43294</v>
      </c>
      <c r="AJ133" s="16">
        <v>43296</v>
      </c>
      <c r="AK133" s="13">
        <v>1547</v>
      </c>
      <c r="AN133" s="16">
        <v>43298</v>
      </c>
      <c r="AO133" s="13">
        <v>1365</v>
      </c>
      <c r="AR133" s="16">
        <v>43300</v>
      </c>
      <c r="AV133" s="16">
        <v>43302</v>
      </c>
      <c r="AW133" s="13">
        <v>2519</v>
      </c>
      <c r="AZ133" s="16">
        <v>43304</v>
      </c>
      <c r="BA133" s="13">
        <v>1360</v>
      </c>
      <c r="BC133" s="16"/>
      <c r="BD133" s="16">
        <v>43306</v>
      </c>
    </row>
    <row r="134" spans="1:56" s="13" customFormat="1" x14ac:dyDescent="0.2">
      <c r="A134" s="23" t="s">
        <v>122</v>
      </c>
      <c r="B134" s="13" t="s">
        <v>76</v>
      </c>
      <c r="C134" s="13">
        <v>10</v>
      </c>
      <c r="D134" s="13">
        <v>30</v>
      </c>
      <c r="E134" s="14">
        <f>([1]innoculation!$D$29*1.5)/1000</f>
        <v>1331.6849999999999</v>
      </c>
      <c r="H134" s="16">
        <v>43282</v>
      </c>
      <c r="I134" s="13">
        <v>1621</v>
      </c>
      <c r="L134" s="16">
        <v>43284</v>
      </c>
      <c r="M134" s="13">
        <v>1397</v>
      </c>
      <c r="P134" s="16">
        <v>43286</v>
      </c>
      <c r="T134" s="16">
        <v>43288</v>
      </c>
      <c r="U134" s="13">
        <v>1405</v>
      </c>
      <c r="X134" s="16">
        <v>43290</v>
      </c>
      <c r="Y134" s="13">
        <v>1146</v>
      </c>
      <c r="AB134" s="16">
        <v>43292</v>
      </c>
      <c r="AC134" s="13">
        <v>1457</v>
      </c>
      <c r="AF134" s="16">
        <v>43294</v>
      </c>
      <c r="AJ134" s="16">
        <v>43296</v>
      </c>
      <c r="AK134" s="13">
        <v>1785</v>
      </c>
      <c r="AN134" s="16">
        <v>43298</v>
      </c>
      <c r="AO134" s="13">
        <v>1572</v>
      </c>
      <c r="AR134" s="16">
        <v>43300</v>
      </c>
      <c r="AV134" s="16">
        <v>43302</v>
      </c>
      <c r="AW134" s="13">
        <v>3056</v>
      </c>
      <c r="AZ134" s="16">
        <v>43304</v>
      </c>
      <c r="BA134" s="13">
        <v>1367</v>
      </c>
      <c r="BC134" s="16"/>
      <c r="BD134" s="16">
        <v>43306</v>
      </c>
    </row>
    <row r="135" spans="1:56" s="13" customFormat="1" x14ac:dyDescent="0.2">
      <c r="A135" s="23" t="s">
        <v>122</v>
      </c>
      <c r="B135" s="13" t="s">
        <v>76</v>
      </c>
      <c r="C135" s="13">
        <v>10</v>
      </c>
      <c r="D135" s="13">
        <v>30</v>
      </c>
      <c r="E135" s="14">
        <f>([1]innoculation!$D$29*1.5)/1000</f>
        <v>1331.6849999999999</v>
      </c>
      <c r="H135" s="16">
        <v>43282</v>
      </c>
      <c r="I135" s="13">
        <v>1605</v>
      </c>
      <c r="L135" s="16">
        <v>43284</v>
      </c>
      <c r="M135" s="13">
        <v>1349</v>
      </c>
      <c r="P135" s="16">
        <v>43286</v>
      </c>
      <c r="T135" s="16">
        <v>43288</v>
      </c>
      <c r="U135" s="13">
        <v>1345</v>
      </c>
      <c r="X135" s="16">
        <v>43290</v>
      </c>
      <c r="Y135" s="13">
        <v>1054</v>
      </c>
      <c r="AB135" s="16">
        <v>43292</v>
      </c>
      <c r="AC135" s="13">
        <v>1447</v>
      </c>
      <c r="AF135" s="16">
        <v>43294</v>
      </c>
      <c r="AJ135" s="16">
        <v>43296</v>
      </c>
      <c r="AK135" s="13">
        <v>1739</v>
      </c>
      <c r="AN135" s="16">
        <v>43298</v>
      </c>
      <c r="AO135" s="13">
        <v>1573</v>
      </c>
      <c r="AR135" s="16">
        <v>43300</v>
      </c>
      <c r="AV135" s="16">
        <v>43302</v>
      </c>
      <c r="AW135" s="13">
        <v>2912</v>
      </c>
      <c r="AZ135" s="16">
        <v>43304</v>
      </c>
      <c r="BA135" s="13">
        <v>1380</v>
      </c>
      <c r="BC135" s="16"/>
      <c r="BD135" s="16">
        <v>43306</v>
      </c>
    </row>
    <row r="136" spans="1:56" s="13" customFormat="1" x14ac:dyDescent="0.2">
      <c r="A136" s="23" t="s">
        <v>122</v>
      </c>
      <c r="B136" s="13" t="s">
        <v>76</v>
      </c>
      <c r="C136" s="13">
        <v>10</v>
      </c>
      <c r="D136" s="13">
        <v>30</v>
      </c>
      <c r="E136" s="14">
        <f>([1]innoculation!$D$29*1.5)/1000</f>
        <v>1331.6849999999999</v>
      </c>
      <c r="H136" s="16">
        <v>43282</v>
      </c>
      <c r="I136" s="13">
        <v>1559</v>
      </c>
      <c r="L136" s="16">
        <v>43284</v>
      </c>
      <c r="M136" s="13">
        <v>1354</v>
      </c>
      <c r="P136" s="16">
        <v>43286</v>
      </c>
      <c r="T136" s="16">
        <v>43288</v>
      </c>
      <c r="U136" s="13">
        <v>1208</v>
      </c>
      <c r="X136" s="16">
        <v>43290</v>
      </c>
      <c r="Y136" s="13">
        <v>1015</v>
      </c>
      <c r="AB136" s="16">
        <v>43292</v>
      </c>
      <c r="AC136" s="13">
        <v>1525</v>
      </c>
      <c r="AF136" s="16">
        <v>43294</v>
      </c>
      <c r="AJ136" s="16">
        <v>43296</v>
      </c>
      <c r="AK136" s="13">
        <v>1742</v>
      </c>
      <c r="AN136" s="16">
        <v>43298</v>
      </c>
      <c r="AO136" s="13">
        <v>1548</v>
      </c>
      <c r="AR136" s="16">
        <v>43300</v>
      </c>
      <c r="AV136" s="16">
        <v>43302</v>
      </c>
      <c r="AW136" s="13">
        <v>2997</v>
      </c>
      <c r="AZ136" s="16">
        <v>43304</v>
      </c>
      <c r="BA136" s="13">
        <v>1321</v>
      </c>
      <c r="BC136" s="16"/>
      <c r="BD136" s="16">
        <v>43306</v>
      </c>
    </row>
    <row r="137" spans="1:56" s="11" customFormat="1" x14ac:dyDescent="0.2">
      <c r="A137" s="25" t="s">
        <v>123</v>
      </c>
      <c r="B137" s="11" t="s">
        <v>80</v>
      </c>
      <c r="C137" s="11">
        <v>10</v>
      </c>
      <c r="D137" s="11">
        <v>26</v>
      </c>
      <c r="E137" s="20">
        <f>([1]innoculation!$D$27*2)/1000</f>
        <v>1463.92</v>
      </c>
      <c r="F137" s="21">
        <f>AVERAGE(E137:E145)</f>
        <v>1463.92</v>
      </c>
      <c r="G137" s="11">
        <f>STDEV(E137:E145)</f>
        <v>0</v>
      </c>
      <c r="H137" s="9">
        <v>43282</v>
      </c>
      <c r="I137" s="11">
        <v>1586</v>
      </c>
      <c r="J137" s="11">
        <f>AVERAGE(I137:I145)</f>
        <v>1905.8888888888889</v>
      </c>
      <c r="K137" s="11">
        <f>STDEV(I137:I145)</f>
        <v>221.15517428066431</v>
      </c>
      <c r="L137" s="9">
        <v>43284</v>
      </c>
      <c r="M137" s="11">
        <v>2492</v>
      </c>
      <c r="N137" s="11">
        <f>AVERAGE(M137:M145)</f>
        <v>2959.5555555555557</v>
      </c>
      <c r="O137" s="11">
        <f>STDEV(M137:M145)</f>
        <v>330.77715727930484</v>
      </c>
      <c r="P137" s="9">
        <v>43286</v>
      </c>
      <c r="T137" s="9">
        <v>43288</v>
      </c>
      <c r="U137" s="11">
        <v>18169</v>
      </c>
      <c r="V137" s="11">
        <f>AVERAGE(U137:U145)</f>
        <v>23684.888888888891</v>
      </c>
      <c r="W137" s="11">
        <f>STDEV(U137:U145)</f>
        <v>4883.1883653112509</v>
      </c>
      <c r="X137" s="9">
        <v>43290</v>
      </c>
      <c r="Y137" s="11">
        <v>62370</v>
      </c>
      <c r="Z137" s="11">
        <f>AVERAGE(Y137:Y145)</f>
        <v>75234.777777777781</v>
      </c>
      <c r="AA137" s="11">
        <f>STDEV(Y137:Y145)</f>
        <v>11251.511818171131</v>
      </c>
      <c r="AB137" s="9">
        <v>43292</v>
      </c>
      <c r="AC137" s="11">
        <f>8939*20</f>
        <v>178780</v>
      </c>
      <c r="AD137" s="6">
        <f>AVERAGE(AC137:AC145)</f>
        <v>206628.88888888888</v>
      </c>
      <c r="AE137" s="6">
        <f>STDEV(AC137:AC145)</f>
        <v>24069.121527615305</v>
      </c>
      <c r="AF137" s="9">
        <v>43294</v>
      </c>
      <c r="AG137" s="11">
        <f>17928*20</f>
        <v>358560</v>
      </c>
      <c r="AH137" s="6">
        <f>AVERAGE(AG137:AG145)</f>
        <v>401146.66666666669</v>
      </c>
      <c r="AI137" s="6">
        <f>STDEV(AG137:AG145)</f>
        <v>40784.308256975499</v>
      </c>
      <c r="AJ137" s="9">
        <v>43296</v>
      </c>
      <c r="AK137" s="11">
        <f>23273*20</f>
        <v>465460</v>
      </c>
      <c r="AL137" s="6">
        <f>AVERAGE(AK137:AK145)</f>
        <v>526235.5555555555</v>
      </c>
      <c r="AM137" s="6">
        <f>STDEV(AK137:AK145)</f>
        <v>58495.521860889239</v>
      </c>
      <c r="AN137" s="9">
        <v>43298</v>
      </c>
      <c r="AV137" s="9"/>
    </row>
    <row r="138" spans="1:56" s="11" customFormat="1" x14ac:dyDescent="0.2">
      <c r="A138" s="25" t="s">
        <v>123</v>
      </c>
      <c r="B138" s="11" t="s">
        <v>80</v>
      </c>
      <c r="C138" s="11">
        <v>10</v>
      </c>
      <c r="D138" s="11">
        <v>26</v>
      </c>
      <c r="E138" s="20">
        <f>([1]innoculation!$D$27*2)/1000</f>
        <v>1463.92</v>
      </c>
      <c r="H138" s="9">
        <v>43282</v>
      </c>
      <c r="I138" s="11">
        <v>1665</v>
      </c>
      <c r="L138" s="9">
        <v>43284</v>
      </c>
      <c r="M138" s="11">
        <v>2550</v>
      </c>
      <c r="P138" s="9">
        <v>43286</v>
      </c>
      <c r="T138" s="9">
        <v>43288</v>
      </c>
      <c r="U138" s="11">
        <v>16683</v>
      </c>
      <c r="X138" s="9">
        <v>43290</v>
      </c>
      <c r="Y138" s="11">
        <v>60976</v>
      </c>
      <c r="AB138" s="9">
        <v>43292</v>
      </c>
      <c r="AC138" s="11">
        <f>8761*20</f>
        <v>175220</v>
      </c>
      <c r="AF138" s="9">
        <v>43294</v>
      </c>
      <c r="AG138" s="11">
        <f>17325*20</f>
        <v>346500</v>
      </c>
      <c r="AJ138" s="9">
        <v>43296</v>
      </c>
      <c r="AK138" s="11">
        <f>21585*20</f>
        <v>431700</v>
      </c>
      <c r="AN138" s="9">
        <v>43298</v>
      </c>
      <c r="AV138" s="9"/>
    </row>
    <row r="139" spans="1:56" s="11" customFormat="1" x14ac:dyDescent="0.2">
      <c r="A139" s="25" t="s">
        <v>123</v>
      </c>
      <c r="B139" s="11" t="s">
        <v>80</v>
      </c>
      <c r="C139" s="11">
        <v>10</v>
      </c>
      <c r="D139" s="11">
        <v>26</v>
      </c>
      <c r="E139" s="20">
        <f>([1]innoculation!$D$27*2)/1000</f>
        <v>1463.92</v>
      </c>
      <c r="H139" s="9">
        <v>43282</v>
      </c>
      <c r="I139" s="11">
        <v>1638</v>
      </c>
      <c r="L139" s="9">
        <v>43284</v>
      </c>
      <c r="M139" s="11">
        <v>2561</v>
      </c>
      <c r="P139" s="9">
        <v>43286</v>
      </c>
      <c r="T139" s="9">
        <v>43288</v>
      </c>
      <c r="U139" s="11">
        <v>17557</v>
      </c>
      <c r="X139" s="9">
        <v>43290</v>
      </c>
      <c r="Y139" s="11">
        <v>61141</v>
      </c>
      <c r="AB139" s="9">
        <v>43292</v>
      </c>
      <c r="AC139" s="11">
        <f>8838*20</f>
        <v>176760</v>
      </c>
      <c r="AF139" s="9">
        <v>43294</v>
      </c>
      <c r="AG139" s="11">
        <f>17025*20</f>
        <v>340500</v>
      </c>
      <c r="AJ139" s="9">
        <v>43296</v>
      </c>
      <c r="AK139" s="11">
        <f>22627*20</f>
        <v>452540</v>
      </c>
      <c r="AN139" s="9">
        <v>43298</v>
      </c>
      <c r="AV139" s="9"/>
    </row>
    <row r="140" spans="1:56" s="11" customFormat="1" x14ac:dyDescent="0.2">
      <c r="A140" s="25" t="s">
        <v>124</v>
      </c>
      <c r="B140" s="11" t="s">
        <v>80</v>
      </c>
      <c r="C140" s="11">
        <v>10</v>
      </c>
      <c r="D140" s="11">
        <v>26</v>
      </c>
      <c r="E140" s="20">
        <f>([1]innoculation!$D$27*2)/1000</f>
        <v>1463.92</v>
      </c>
      <c r="H140" s="9">
        <v>43282</v>
      </c>
      <c r="I140" s="11">
        <v>2121</v>
      </c>
      <c r="L140" s="9">
        <v>43284</v>
      </c>
      <c r="M140" s="11">
        <v>3363</v>
      </c>
      <c r="P140" s="9">
        <v>43286</v>
      </c>
      <c r="T140" s="9">
        <v>43288</v>
      </c>
      <c r="U140" s="11">
        <v>24121</v>
      </c>
      <c r="X140" s="9">
        <v>43290</v>
      </c>
      <c r="Y140" s="11">
        <v>78399</v>
      </c>
      <c r="AB140" s="9">
        <v>43292</v>
      </c>
      <c r="AC140" s="11">
        <f>10419*20</f>
        <v>208380</v>
      </c>
      <c r="AF140" s="9">
        <v>43294</v>
      </c>
      <c r="AG140" s="11">
        <f>20585*20</f>
        <v>411700</v>
      </c>
      <c r="AJ140" s="9">
        <v>43296</v>
      </c>
      <c r="AK140" s="11">
        <f>27142*20</f>
        <v>542840</v>
      </c>
      <c r="AN140" s="9">
        <v>43298</v>
      </c>
      <c r="AV140" s="9"/>
    </row>
    <row r="141" spans="1:56" s="11" customFormat="1" x14ac:dyDescent="0.2">
      <c r="A141" s="25" t="s">
        <v>124</v>
      </c>
      <c r="B141" s="11" t="s">
        <v>80</v>
      </c>
      <c r="C141" s="11">
        <v>10</v>
      </c>
      <c r="D141" s="11">
        <v>26</v>
      </c>
      <c r="E141" s="20">
        <f>([1]innoculation!$D$27*2)/1000</f>
        <v>1463.92</v>
      </c>
      <c r="H141" s="9">
        <v>43282</v>
      </c>
      <c r="I141" s="11">
        <v>2091</v>
      </c>
      <c r="L141" s="9">
        <v>43284</v>
      </c>
      <c r="M141" s="11">
        <v>3082</v>
      </c>
      <c r="P141" s="9">
        <v>43286</v>
      </c>
      <c r="T141" s="9">
        <v>43288</v>
      </c>
      <c r="U141" s="11">
        <v>27029</v>
      </c>
      <c r="X141" s="9">
        <v>43290</v>
      </c>
      <c r="Y141" s="11">
        <v>77236</v>
      </c>
      <c r="AB141" s="9">
        <v>43292</v>
      </c>
      <c r="AC141" s="11">
        <f>10593*20</f>
        <v>211860</v>
      </c>
      <c r="AF141" s="9">
        <v>43294</v>
      </c>
      <c r="AG141" s="11">
        <f>20728*20</f>
        <v>414560</v>
      </c>
      <c r="AJ141" s="9">
        <v>43296</v>
      </c>
      <c r="AK141" s="11">
        <f>28469*20</f>
        <v>569380</v>
      </c>
      <c r="AN141" s="9">
        <v>43298</v>
      </c>
      <c r="AV141" s="9"/>
    </row>
    <row r="142" spans="1:56" s="11" customFormat="1" x14ac:dyDescent="0.2">
      <c r="A142" s="25" t="s">
        <v>124</v>
      </c>
      <c r="B142" s="11" t="s">
        <v>80</v>
      </c>
      <c r="C142" s="11">
        <v>10</v>
      </c>
      <c r="D142" s="11">
        <v>26</v>
      </c>
      <c r="E142" s="20">
        <f>([1]innoculation!$D$27*2)/1000</f>
        <v>1463.92</v>
      </c>
      <c r="H142" s="9">
        <v>43282</v>
      </c>
      <c r="I142" s="11">
        <v>2160</v>
      </c>
      <c r="L142" s="9">
        <v>43284</v>
      </c>
      <c r="M142" s="11">
        <v>3207</v>
      </c>
      <c r="P142" s="9">
        <v>43286</v>
      </c>
      <c r="T142" s="9">
        <v>43288</v>
      </c>
      <c r="U142" s="11">
        <v>26553</v>
      </c>
      <c r="X142" s="9">
        <v>43290</v>
      </c>
      <c r="Y142" s="11">
        <v>75442</v>
      </c>
      <c r="AB142" s="9">
        <v>43292</v>
      </c>
      <c r="AC142" s="11">
        <f>10663*20</f>
        <v>213260</v>
      </c>
      <c r="AF142" s="9">
        <v>43294</v>
      </c>
      <c r="AG142" s="11">
        <f>21722*20</f>
        <v>434440</v>
      </c>
      <c r="AJ142" s="9">
        <v>43296</v>
      </c>
      <c r="AK142" s="11">
        <f>28441*20</f>
        <v>568820</v>
      </c>
      <c r="AN142" s="9">
        <v>43298</v>
      </c>
      <c r="AV142" s="9"/>
    </row>
    <row r="143" spans="1:56" s="11" customFormat="1" x14ac:dyDescent="0.2">
      <c r="A143" s="25" t="s">
        <v>125</v>
      </c>
      <c r="B143" s="11" t="s">
        <v>80</v>
      </c>
      <c r="C143" s="11">
        <v>10</v>
      </c>
      <c r="D143" s="11">
        <v>26</v>
      </c>
      <c r="E143" s="20">
        <f>([1]innoculation!$D$27*2)/1000</f>
        <v>1463.92</v>
      </c>
      <c r="H143" s="9">
        <v>43282</v>
      </c>
      <c r="I143" s="11">
        <v>1913</v>
      </c>
      <c r="L143" s="9">
        <v>43284</v>
      </c>
      <c r="M143" s="11">
        <v>3183</v>
      </c>
      <c r="P143" s="9">
        <v>43286</v>
      </c>
      <c r="T143" s="9">
        <v>43288</v>
      </c>
      <c r="U143" s="11">
        <v>29590</v>
      </c>
      <c r="X143" s="9">
        <v>43290</v>
      </c>
      <c r="Y143" s="11">
        <v>88591</v>
      </c>
      <c r="AB143" s="9">
        <v>43292</v>
      </c>
      <c r="AC143" s="11">
        <f>11497*20</f>
        <v>229940</v>
      </c>
      <c r="AF143" s="9">
        <v>43294</v>
      </c>
      <c r="AG143" s="11">
        <f>22016*20</f>
        <v>440320</v>
      </c>
      <c r="AJ143" s="9">
        <v>43296</v>
      </c>
      <c r="AK143" s="11">
        <f>28561*20</f>
        <v>571220</v>
      </c>
      <c r="AN143" s="9">
        <v>43298</v>
      </c>
      <c r="AV143" s="9"/>
    </row>
    <row r="144" spans="1:56" s="11" customFormat="1" x14ac:dyDescent="0.2">
      <c r="A144" s="25" t="s">
        <v>125</v>
      </c>
      <c r="B144" s="11" t="s">
        <v>80</v>
      </c>
      <c r="C144" s="11">
        <v>10</v>
      </c>
      <c r="D144" s="11">
        <v>26</v>
      </c>
      <c r="E144" s="20">
        <f>([1]innoculation!$D$27*2)/1000</f>
        <v>1463.92</v>
      </c>
      <c r="H144" s="9">
        <v>43282</v>
      </c>
      <c r="I144" s="11">
        <v>1992</v>
      </c>
      <c r="L144" s="9">
        <v>43284</v>
      </c>
      <c r="M144" s="11">
        <v>3133</v>
      </c>
      <c r="P144" s="9">
        <v>43286</v>
      </c>
      <c r="T144" s="9">
        <v>43288</v>
      </c>
      <c r="U144" s="11">
        <v>27337</v>
      </c>
      <c r="X144" s="9">
        <v>43290</v>
      </c>
      <c r="Y144" s="11">
        <v>86414</v>
      </c>
      <c r="AB144" s="9">
        <v>43292</v>
      </c>
      <c r="AC144" s="11">
        <f>11634*20</f>
        <v>232680</v>
      </c>
      <c r="AF144" s="9">
        <v>43294</v>
      </c>
      <c r="AG144" s="11">
        <f>21501*20</f>
        <v>430020</v>
      </c>
      <c r="AJ144" s="9">
        <v>43296</v>
      </c>
      <c r="AK144" s="11">
        <f>28396*20</f>
        <v>567920</v>
      </c>
      <c r="AN144" s="9">
        <v>43298</v>
      </c>
      <c r="AV144" s="9"/>
    </row>
    <row r="145" spans="1:56" s="11" customFormat="1" x14ac:dyDescent="0.2">
      <c r="A145" s="25" t="s">
        <v>125</v>
      </c>
      <c r="B145" s="11" t="s">
        <v>80</v>
      </c>
      <c r="C145" s="11">
        <v>10</v>
      </c>
      <c r="D145" s="11">
        <v>26</v>
      </c>
      <c r="E145" s="20">
        <f>([1]innoculation!$D$27*2)/1000</f>
        <v>1463.92</v>
      </c>
      <c r="H145" s="9">
        <v>43282</v>
      </c>
      <c r="I145" s="11">
        <v>1987</v>
      </c>
      <c r="L145" s="9">
        <v>43284</v>
      </c>
      <c r="M145" s="11">
        <v>3065</v>
      </c>
      <c r="P145" s="9">
        <v>43286</v>
      </c>
      <c r="T145" s="9">
        <v>43288</v>
      </c>
      <c r="U145" s="11">
        <v>26125</v>
      </c>
      <c r="X145" s="9">
        <v>43290</v>
      </c>
      <c r="Y145" s="11">
        <v>86544</v>
      </c>
      <c r="AB145" s="9">
        <v>43292</v>
      </c>
      <c r="AC145" s="11">
        <f>11639*20</f>
        <v>232780</v>
      </c>
      <c r="AF145" s="9">
        <v>43294</v>
      </c>
      <c r="AG145" s="11">
        <f>21686*20</f>
        <v>433720</v>
      </c>
      <c r="AJ145" s="9">
        <v>43296</v>
      </c>
      <c r="AK145" s="11">
        <f>28312*20</f>
        <v>566240</v>
      </c>
      <c r="AN145" s="9">
        <v>43298</v>
      </c>
      <c r="AV145" s="9"/>
    </row>
    <row r="146" spans="1:56" s="13" customFormat="1" x14ac:dyDescent="0.2">
      <c r="A146" s="22" t="s">
        <v>126</v>
      </c>
      <c r="B146" s="13" t="s">
        <v>80</v>
      </c>
      <c r="C146" s="13">
        <v>10</v>
      </c>
      <c r="D146" s="13">
        <v>26</v>
      </c>
      <c r="E146" s="14">
        <f>([1]innoculation!$D$31*2)/1000</f>
        <v>1153.7</v>
      </c>
      <c r="F146" s="15">
        <f>AVERAGE(E146:E154)</f>
        <v>1153.7</v>
      </c>
      <c r="G146" s="13">
        <f>STDEV(E146:E154)</f>
        <v>0</v>
      </c>
      <c r="H146" s="16">
        <v>43284</v>
      </c>
      <c r="I146" s="13">
        <v>1079</v>
      </c>
      <c r="J146" s="13">
        <f>AVERAGE(I146:I154)</f>
        <v>1275.2222222222222</v>
      </c>
      <c r="K146" s="13">
        <f>STDEV(I146:I154)</f>
        <v>149.61515446118582</v>
      </c>
      <c r="L146" s="16">
        <v>43286</v>
      </c>
      <c r="P146" s="16">
        <v>43288</v>
      </c>
      <c r="Q146" s="13">
        <v>3878</v>
      </c>
      <c r="R146" s="13">
        <f>AVERAGE(Q146:Q154)</f>
        <v>4254.4444444444443</v>
      </c>
      <c r="S146" s="13">
        <f>STDEV(Q146:Q154)</f>
        <v>330.13372711338928</v>
      </c>
      <c r="T146" s="16">
        <v>43290</v>
      </c>
      <c r="U146" s="13">
        <v>15216</v>
      </c>
      <c r="V146" s="13">
        <f>AVERAGE(U146:U154)</f>
        <v>13977.666666666666</v>
      </c>
      <c r="W146" s="13">
        <f>STDEV(U146:U154)</f>
        <v>1425.0398240049294</v>
      </c>
      <c r="X146" s="16">
        <v>43292</v>
      </c>
      <c r="Y146" s="13">
        <v>46490</v>
      </c>
      <c r="Z146" s="13">
        <f>AVERAGE(Y146:Y154)</f>
        <v>40901.777777777781</v>
      </c>
      <c r="AA146" s="13">
        <f>STDEV(Y146:Y154)</f>
        <v>4124.7446217244096</v>
      </c>
      <c r="AB146" s="16">
        <v>43294</v>
      </c>
      <c r="AC146" s="13">
        <f>5895*20</f>
        <v>117900</v>
      </c>
      <c r="AD146" s="13">
        <f>AVERAGE(AC146:AC154)</f>
        <v>115435.55555555556</v>
      </c>
      <c r="AE146" s="13">
        <f>STDEV(AC146:AC154)</f>
        <v>10500.717964871628</v>
      </c>
      <c r="AF146" s="16">
        <v>43296</v>
      </c>
      <c r="AG146" s="13">
        <f>15923*20</f>
        <v>318460</v>
      </c>
      <c r="AH146" s="13">
        <f>AVERAGE(AG146:AG154)</f>
        <v>307371.11111111112</v>
      </c>
      <c r="AI146" s="13">
        <f>STDEV(AG146:AG154)</f>
        <v>10718.862398179721</v>
      </c>
      <c r="AJ146" s="16">
        <v>43298</v>
      </c>
      <c r="AK146" s="13">
        <f>22588*20</f>
        <v>451760</v>
      </c>
      <c r="AL146" s="13">
        <f>AVERAGE(AK146:AK154)</f>
        <v>465080</v>
      </c>
      <c r="AM146" s="13">
        <f>STDEV(AK146:AK154)</f>
        <v>28081.219702854789</v>
      </c>
      <c r="AN146" s="16">
        <v>43300</v>
      </c>
    </row>
    <row r="147" spans="1:56" s="13" customFormat="1" x14ac:dyDescent="0.2">
      <c r="A147" s="22" t="s">
        <v>126</v>
      </c>
      <c r="B147" s="13" t="s">
        <v>80</v>
      </c>
      <c r="C147" s="13">
        <v>10</v>
      </c>
      <c r="D147" s="13">
        <v>26</v>
      </c>
      <c r="E147" s="14">
        <f>([1]innoculation!$D$31*2)/1000</f>
        <v>1153.7</v>
      </c>
      <c r="H147" s="16">
        <v>43284</v>
      </c>
      <c r="I147" s="13">
        <v>1124</v>
      </c>
      <c r="L147" s="16">
        <v>43286</v>
      </c>
      <c r="P147" s="16">
        <v>43288</v>
      </c>
      <c r="Q147" s="13">
        <v>3857</v>
      </c>
      <c r="T147" s="16">
        <v>43290</v>
      </c>
      <c r="U147" s="13">
        <v>14157</v>
      </c>
      <c r="X147" s="16">
        <v>43292</v>
      </c>
      <c r="Y147" s="13">
        <v>45709</v>
      </c>
      <c r="AB147" s="16">
        <v>43294</v>
      </c>
      <c r="AC147" s="13">
        <f>5993*20</f>
        <v>119860</v>
      </c>
      <c r="AF147" s="16">
        <v>43296</v>
      </c>
      <c r="AG147" s="13">
        <f>15281*20</f>
        <v>305620</v>
      </c>
      <c r="AJ147" s="16">
        <v>43298</v>
      </c>
      <c r="AK147" s="13">
        <f>21119*20</f>
        <v>422380</v>
      </c>
      <c r="AN147" s="16">
        <v>43300</v>
      </c>
    </row>
    <row r="148" spans="1:56" s="13" customFormat="1" x14ac:dyDescent="0.2">
      <c r="A148" s="22" t="s">
        <v>126</v>
      </c>
      <c r="B148" s="13" t="s">
        <v>80</v>
      </c>
      <c r="C148" s="13">
        <v>10</v>
      </c>
      <c r="D148" s="13">
        <v>26</v>
      </c>
      <c r="E148" s="14">
        <f>([1]innoculation!$D$31*2)/1000</f>
        <v>1153.7</v>
      </c>
      <c r="H148" s="16">
        <v>43284</v>
      </c>
      <c r="I148" s="13">
        <v>1107</v>
      </c>
      <c r="L148" s="16">
        <v>43286</v>
      </c>
      <c r="P148" s="16">
        <v>43288</v>
      </c>
      <c r="Q148" s="13">
        <v>4304</v>
      </c>
      <c r="T148" s="16">
        <v>43290</v>
      </c>
      <c r="U148" s="13">
        <v>14786</v>
      </c>
      <c r="X148" s="16">
        <v>43292</v>
      </c>
      <c r="Y148" s="13">
        <v>44147</v>
      </c>
      <c r="AB148" s="16">
        <v>43294</v>
      </c>
      <c r="AC148" s="13">
        <f>6205*20</f>
        <v>124100</v>
      </c>
      <c r="AF148" s="16">
        <v>43296</v>
      </c>
      <c r="AG148" s="13">
        <f>15218*20</f>
        <v>304360</v>
      </c>
      <c r="AJ148" s="16">
        <v>43298</v>
      </c>
      <c r="AK148" s="13">
        <f>21200*20</f>
        <v>424000</v>
      </c>
      <c r="AN148" s="16">
        <v>43300</v>
      </c>
    </row>
    <row r="149" spans="1:56" s="13" customFormat="1" x14ac:dyDescent="0.2">
      <c r="A149" s="22" t="s">
        <v>127</v>
      </c>
      <c r="B149" s="13" t="s">
        <v>80</v>
      </c>
      <c r="C149" s="13">
        <v>10</v>
      </c>
      <c r="D149" s="13">
        <v>26</v>
      </c>
      <c r="E149" s="14">
        <f>([1]innoculation!$D$31*2)/1000</f>
        <v>1153.7</v>
      </c>
      <c r="H149" s="16">
        <v>43284</v>
      </c>
      <c r="I149" s="13">
        <v>1400</v>
      </c>
      <c r="L149" s="16">
        <v>43286</v>
      </c>
      <c r="P149" s="16">
        <v>43288</v>
      </c>
      <c r="Q149" s="13">
        <v>4930</v>
      </c>
      <c r="T149" s="16">
        <v>43290</v>
      </c>
      <c r="U149" s="13">
        <v>14644</v>
      </c>
      <c r="X149" s="16">
        <v>43292</v>
      </c>
      <c r="Y149" s="13">
        <v>41875</v>
      </c>
      <c r="AB149" s="16">
        <v>43294</v>
      </c>
      <c r="AC149" s="13">
        <f>5218*20</f>
        <v>104360</v>
      </c>
      <c r="AF149" s="16">
        <v>43296</v>
      </c>
      <c r="AG149" s="13">
        <f>15667*20</f>
        <v>313340</v>
      </c>
      <c r="AJ149" s="16">
        <v>43298</v>
      </c>
      <c r="AK149" s="13">
        <f>23989*20</f>
        <v>479780</v>
      </c>
      <c r="AN149" s="16">
        <v>43300</v>
      </c>
    </row>
    <row r="150" spans="1:56" s="13" customFormat="1" x14ac:dyDescent="0.2">
      <c r="A150" s="22" t="s">
        <v>127</v>
      </c>
      <c r="B150" s="13" t="s">
        <v>80</v>
      </c>
      <c r="C150" s="13">
        <v>10</v>
      </c>
      <c r="D150" s="13">
        <v>26</v>
      </c>
      <c r="E150" s="14">
        <f>([1]innoculation!$D$31*2)/1000</f>
        <v>1153.7</v>
      </c>
      <c r="H150" s="16">
        <v>43284</v>
      </c>
      <c r="I150" s="13">
        <v>1470</v>
      </c>
      <c r="L150" s="16">
        <v>43286</v>
      </c>
      <c r="P150" s="16">
        <v>43288</v>
      </c>
      <c r="Q150" s="13">
        <v>4353</v>
      </c>
      <c r="T150" s="16">
        <v>43290</v>
      </c>
      <c r="U150" s="13">
        <v>14995</v>
      </c>
      <c r="X150" s="16">
        <v>43292</v>
      </c>
      <c r="Y150" s="13">
        <v>41212</v>
      </c>
      <c r="AB150" s="16">
        <v>43294</v>
      </c>
      <c r="AC150" s="13">
        <f>5041*20</f>
        <v>100820</v>
      </c>
      <c r="AF150" s="16">
        <v>43296</v>
      </c>
      <c r="AG150" s="13">
        <f>15719*20</f>
        <v>314380</v>
      </c>
      <c r="AJ150" s="16">
        <v>43298</v>
      </c>
      <c r="AK150" s="13">
        <f>25276*20</f>
        <v>505520</v>
      </c>
      <c r="AN150" s="16">
        <v>43300</v>
      </c>
    </row>
    <row r="151" spans="1:56" s="13" customFormat="1" x14ac:dyDescent="0.2">
      <c r="A151" s="22" t="s">
        <v>127</v>
      </c>
      <c r="B151" s="13" t="s">
        <v>80</v>
      </c>
      <c r="C151" s="13">
        <v>10</v>
      </c>
      <c r="D151" s="13">
        <v>26</v>
      </c>
      <c r="E151" s="14">
        <f>([1]innoculation!$D$31*2)/1000</f>
        <v>1153.7</v>
      </c>
      <c r="H151" s="16">
        <v>43284</v>
      </c>
      <c r="I151" s="13">
        <v>1428</v>
      </c>
      <c r="L151" s="16">
        <v>43286</v>
      </c>
      <c r="P151" s="16">
        <v>43288</v>
      </c>
      <c r="Q151" s="13">
        <v>4298</v>
      </c>
      <c r="T151" s="16">
        <v>43290</v>
      </c>
      <c r="U151" s="13">
        <v>14967</v>
      </c>
      <c r="X151" s="16">
        <v>43292</v>
      </c>
      <c r="Y151" s="13">
        <v>40373</v>
      </c>
      <c r="AB151" s="16">
        <v>43294</v>
      </c>
      <c r="AC151" s="13">
        <f>5016*20</f>
        <v>100320</v>
      </c>
      <c r="AF151" s="16">
        <v>43296</v>
      </c>
      <c r="AG151" s="13">
        <f>16141*20</f>
        <v>322820</v>
      </c>
      <c r="AJ151" s="16">
        <v>43298</v>
      </c>
      <c r="AK151" s="13">
        <f>24536*20</f>
        <v>490720</v>
      </c>
      <c r="AN151" s="16">
        <v>43300</v>
      </c>
    </row>
    <row r="152" spans="1:56" s="13" customFormat="1" x14ac:dyDescent="0.2">
      <c r="A152" s="22" t="s">
        <v>128</v>
      </c>
      <c r="B152" s="13" t="s">
        <v>80</v>
      </c>
      <c r="C152" s="13">
        <v>10</v>
      </c>
      <c r="D152" s="13">
        <v>26</v>
      </c>
      <c r="E152" s="14">
        <f>([1]innoculation!$D$31*2)/1000</f>
        <v>1153.7</v>
      </c>
      <c r="H152" s="16">
        <v>43284</v>
      </c>
      <c r="I152" s="13">
        <v>1360</v>
      </c>
      <c r="L152" s="16">
        <v>43286</v>
      </c>
      <c r="P152" s="16">
        <v>43288</v>
      </c>
      <c r="Q152" s="13">
        <v>4480</v>
      </c>
      <c r="T152" s="16">
        <v>43290</v>
      </c>
      <c r="U152" s="13">
        <v>13714</v>
      </c>
      <c r="X152" s="16">
        <v>43292</v>
      </c>
      <c r="Y152" s="13">
        <v>36838</v>
      </c>
      <c r="AB152" s="16">
        <v>43294</v>
      </c>
      <c r="AC152" s="13">
        <f>6111*20</f>
        <v>122220</v>
      </c>
      <c r="AF152" s="16">
        <v>43296</v>
      </c>
      <c r="AG152" s="13">
        <f>14540*20</f>
        <v>290800</v>
      </c>
      <c r="AJ152" s="16">
        <v>43298</v>
      </c>
      <c r="AK152" s="13">
        <f>23472*20</f>
        <v>469440</v>
      </c>
      <c r="AN152" s="16">
        <v>43300</v>
      </c>
    </row>
    <row r="153" spans="1:56" s="13" customFormat="1" x14ac:dyDescent="0.2">
      <c r="A153" s="22" t="s">
        <v>128</v>
      </c>
      <c r="B153" s="13" t="s">
        <v>80</v>
      </c>
      <c r="C153" s="13">
        <v>10</v>
      </c>
      <c r="D153" s="13">
        <v>26</v>
      </c>
      <c r="E153" s="14">
        <f>([1]innoculation!$D$31*2)/1000</f>
        <v>1153.7</v>
      </c>
      <c r="H153" s="16">
        <v>43284</v>
      </c>
      <c r="I153" s="13">
        <v>1302</v>
      </c>
      <c r="L153" s="16">
        <v>43286</v>
      </c>
      <c r="P153" s="16">
        <v>43288</v>
      </c>
      <c r="Q153" s="13">
        <v>4089</v>
      </c>
      <c r="T153" s="16">
        <v>43290</v>
      </c>
      <c r="U153" s="13">
        <v>12275</v>
      </c>
      <c r="X153" s="16">
        <v>43292</v>
      </c>
      <c r="Y153" s="13">
        <v>35611</v>
      </c>
      <c r="AB153" s="16">
        <v>43294</v>
      </c>
      <c r="AC153" s="13">
        <f>6242*20</f>
        <v>124840</v>
      </c>
      <c r="AF153" s="16">
        <v>43296</v>
      </c>
      <c r="AG153" s="13">
        <f>14753*20</f>
        <v>295060</v>
      </c>
      <c r="AJ153" s="16">
        <v>43298</v>
      </c>
      <c r="AK153" s="13">
        <f>23714*20</f>
        <v>474280</v>
      </c>
      <c r="AN153" s="16">
        <v>43300</v>
      </c>
    </row>
    <row r="154" spans="1:56" s="13" customFormat="1" x14ac:dyDescent="0.2">
      <c r="A154" s="22" t="s">
        <v>128</v>
      </c>
      <c r="B154" s="13" t="s">
        <v>80</v>
      </c>
      <c r="C154" s="13">
        <v>10</v>
      </c>
      <c r="D154" s="13">
        <v>26</v>
      </c>
      <c r="E154" s="14">
        <f>([1]innoculation!$D$31*2)/1000</f>
        <v>1153.7</v>
      </c>
      <c r="H154" s="16">
        <v>43284</v>
      </c>
      <c r="I154" s="13">
        <v>1207</v>
      </c>
      <c r="L154" s="16">
        <v>43286</v>
      </c>
      <c r="P154" s="16">
        <v>43288</v>
      </c>
      <c r="Q154" s="13">
        <v>4101</v>
      </c>
      <c r="T154" s="16">
        <v>43290</v>
      </c>
      <c r="U154" s="13">
        <v>11045</v>
      </c>
      <c r="X154" s="16">
        <v>43292</v>
      </c>
      <c r="Y154" s="13">
        <v>35861</v>
      </c>
      <c r="AB154" s="16">
        <v>43294</v>
      </c>
      <c r="AC154" s="13">
        <f>6225*20</f>
        <v>124500</v>
      </c>
      <c r="AF154" s="16">
        <v>43296</v>
      </c>
      <c r="AG154" s="13">
        <f>15075*20</f>
        <v>301500</v>
      </c>
      <c r="AJ154" s="16">
        <v>43298</v>
      </c>
      <c r="AK154" s="13">
        <f>23392*20</f>
        <v>467840</v>
      </c>
      <c r="AN154" s="16">
        <v>43300</v>
      </c>
    </row>
    <row r="155" spans="1:56" s="11" customFormat="1" x14ac:dyDescent="0.2">
      <c r="A155" s="24" t="s">
        <v>129</v>
      </c>
      <c r="B155" s="11" t="s">
        <v>80</v>
      </c>
      <c r="C155" s="11">
        <v>10</v>
      </c>
      <c r="D155" s="11">
        <v>30</v>
      </c>
      <c r="E155" s="20">
        <f>([1]innoculation!$D$30*4)/1000</f>
        <v>1354.84</v>
      </c>
      <c r="F155" s="21">
        <f>AVERAGE(E155:E163)</f>
        <v>1354.84</v>
      </c>
      <c r="G155" s="11">
        <f>STDEV(E155:E163)</f>
        <v>0</v>
      </c>
      <c r="H155" s="9">
        <v>43282</v>
      </c>
      <c r="I155" s="11">
        <v>1900</v>
      </c>
      <c r="J155" s="11">
        <f>AVERAGE(I155:I163)</f>
        <v>1697.6666666666667</v>
      </c>
      <c r="K155" s="11">
        <f>STDEV(I155:I163)</f>
        <v>148.62873208098088</v>
      </c>
      <c r="L155" s="9">
        <v>43284</v>
      </c>
      <c r="M155" s="11">
        <v>1187</v>
      </c>
      <c r="N155" s="11">
        <f>AVERAGE(M155:M163)</f>
        <v>1168.8888888888889</v>
      </c>
      <c r="O155" s="11">
        <f>STDEV(M155:M163)</f>
        <v>103.38573939916041</v>
      </c>
      <c r="P155" s="9">
        <v>43286</v>
      </c>
      <c r="T155" s="8">
        <v>43288</v>
      </c>
      <c r="U155" s="11">
        <v>1126</v>
      </c>
      <c r="V155" s="11">
        <f>AVERAGE(U155:U163)</f>
        <v>1070.8888888888889</v>
      </c>
      <c r="W155" s="11">
        <f>STDEV(U155:U163)</f>
        <v>85.041819777748827</v>
      </c>
      <c r="X155" s="9">
        <v>43290</v>
      </c>
      <c r="Y155" s="11">
        <v>734</v>
      </c>
      <c r="Z155" s="11">
        <f>AVERAGE(Y155:Y163)</f>
        <v>996.44444444444446</v>
      </c>
      <c r="AA155" s="11">
        <f>STDEV(Y155:Y163)</f>
        <v>301.00004614248445</v>
      </c>
      <c r="AB155" s="9">
        <v>43292</v>
      </c>
      <c r="AC155" s="11">
        <v>1399</v>
      </c>
      <c r="AD155" s="6">
        <f>AVERAGE(AC155:AC163)</f>
        <v>1260.8888888888889</v>
      </c>
      <c r="AE155" s="6">
        <f>STDEV(AC155:AC163)</f>
        <v>223.49297776688871</v>
      </c>
      <c r="AF155" s="9">
        <v>43294</v>
      </c>
      <c r="AJ155" s="9">
        <v>43296</v>
      </c>
      <c r="AK155" s="11">
        <v>2204</v>
      </c>
      <c r="AL155" s="6">
        <f>AVERAGE(AK155:AK163)</f>
        <v>2013.4444444444443</v>
      </c>
      <c r="AM155" s="6">
        <f>STDEV(AK155:AK163)</f>
        <v>90.836544285754158</v>
      </c>
      <c r="AN155" s="9">
        <v>43298</v>
      </c>
      <c r="AO155" s="11">
        <v>2147</v>
      </c>
      <c r="AP155" s="6">
        <f>AVERAGE(AO155:AO163)</f>
        <v>2040.1111111111111</v>
      </c>
      <c r="AQ155" s="6">
        <f>STDEV(AO155:AO163)</f>
        <v>99.594734354337788</v>
      </c>
      <c r="AR155" s="9">
        <v>43300</v>
      </c>
      <c r="AV155" s="9">
        <v>43302</v>
      </c>
      <c r="AW155" s="11">
        <v>1915</v>
      </c>
      <c r="AX155" s="6">
        <f>AVERAGE(AW155:AW163)</f>
        <v>1953</v>
      </c>
      <c r="AY155" s="6">
        <f>STDEV(AW155:AW163)</f>
        <v>117.60527199067225</v>
      </c>
      <c r="AZ155" s="9">
        <v>43304</v>
      </c>
      <c r="BA155" s="11">
        <v>1879</v>
      </c>
      <c r="BB155" s="6">
        <f>AVERAGE(BA155:BA163)</f>
        <v>2326.3333333333335</v>
      </c>
      <c r="BC155" s="6">
        <f>STDEV(BA155:BA163)</f>
        <v>397.37922693568169</v>
      </c>
      <c r="BD155" s="9">
        <v>43306</v>
      </c>
    </row>
    <row r="156" spans="1:56" s="11" customFormat="1" x14ac:dyDescent="0.2">
      <c r="A156" s="24" t="s">
        <v>129</v>
      </c>
      <c r="B156" s="11" t="s">
        <v>80</v>
      </c>
      <c r="C156" s="11">
        <v>10</v>
      </c>
      <c r="D156" s="11">
        <v>30</v>
      </c>
      <c r="E156" s="20">
        <f>([1]innoculation!$D$30*4)/1000</f>
        <v>1354.84</v>
      </c>
      <c r="H156" s="9">
        <v>43282</v>
      </c>
      <c r="I156" s="11">
        <v>1887</v>
      </c>
      <c r="L156" s="9">
        <v>43284</v>
      </c>
      <c r="M156" s="11">
        <v>996</v>
      </c>
      <c r="P156" s="9">
        <v>43286</v>
      </c>
      <c r="T156" s="8">
        <v>43288</v>
      </c>
      <c r="U156" s="11">
        <v>1123</v>
      </c>
      <c r="X156" s="9">
        <v>43290</v>
      </c>
      <c r="Y156" s="11">
        <v>650</v>
      </c>
      <c r="AB156" s="9">
        <v>43292</v>
      </c>
      <c r="AC156" s="11">
        <v>1175</v>
      </c>
      <c r="AF156" s="9">
        <v>43294</v>
      </c>
      <c r="AJ156" s="9">
        <v>43296</v>
      </c>
      <c r="AK156" s="11">
        <v>1980</v>
      </c>
      <c r="AN156" s="9">
        <v>43298</v>
      </c>
      <c r="AO156" s="11">
        <v>2054</v>
      </c>
      <c r="AR156" s="9">
        <v>43300</v>
      </c>
      <c r="AV156" s="9">
        <v>43302</v>
      </c>
      <c r="AW156" s="11">
        <v>1797</v>
      </c>
      <c r="AZ156" s="9">
        <v>43304</v>
      </c>
      <c r="BA156" s="11">
        <v>1781</v>
      </c>
      <c r="BD156" s="9">
        <v>43306</v>
      </c>
    </row>
    <row r="157" spans="1:56" s="11" customFormat="1" x14ac:dyDescent="0.2">
      <c r="A157" s="24" t="s">
        <v>129</v>
      </c>
      <c r="B157" s="11" t="s">
        <v>80</v>
      </c>
      <c r="C157" s="11">
        <v>10</v>
      </c>
      <c r="D157" s="11">
        <v>30</v>
      </c>
      <c r="E157" s="20">
        <f>([1]innoculation!$D$30*4)/1000</f>
        <v>1354.84</v>
      </c>
      <c r="H157" s="9">
        <v>43282</v>
      </c>
      <c r="I157" s="11">
        <v>1823</v>
      </c>
      <c r="L157" s="9">
        <v>43284</v>
      </c>
      <c r="M157" s="11">
        <v>1004</v>
      </c>
      <c r="P157" s="9">
        <v>43286</v>
      </c>
      <c r="T157" s="8">
        <v>43288</v>
      </c>
      <c r="U157" s="11">
        <v>1028</v>
      </c>
      <c r="X157" s="9">
        <v>43290</v>
      </c>
      <c r="Y157" s="11">
        <v>751</v>
      </c>
      <c r="AB157" s="9">
        <v>43292</v>
      </c>
      <c r="AC157" s="11">
        <v>1158</v>
      </c>
      <c r="AF157" s="9">
        <v>43294</v>
      </c>
      <c r="AJ157" s="9">
        <v>43296</v>
      </c>
      <c r="AK157" s="11">
        <v>1977</v>
      </c>
      <c r="AN157" s="9">
        <v>43298</v>
      </c>
      <c r="AO157" s="11">
        <v>2102</v>
      </c>
      <c r="AR157" s="9">
        <v>43300</v>
      </c>
      <c r="AV157" s="9">
        <v>43302</v>
      </c>
      <c r="AW157" s="11">
        <v>1778</v>
      </c>
      <c r="AZ157" s="9">
        <v>43304</v>
      </c>
      <c r="BA157" s="11">
        <v>1752</v>
      </c>
      <c r="BD157" s="9">
        <v>43306</v>
      </c>
    </row>
    <row r="158" spans="1:56" s="11" customFormat="1" x14ac:dyDescent="0.2">
      <c r="A158" s="24" t="s">
        <v>130</v>
      </c>
      <c r="B158" s="11" t="s">
        <v>80</v>
      </c>
      <c r="C158" s="11">
        <v>10</v>
      </c>
      <c r="D158" s="11">
        <v>30</v>
      </c>
      <c r="E158" s="20">
        <f>([1]innoculation!$D$30*4)/1000</f>
        <v>1354.84</v>
      </c>
      <c r="H158" s="9">
        <v>43282</v>
      </c>
      <c r="I158" s="11">
        <v>1520</v>
      </c>
      <c r="L158" s="9">
        <v>43284</v>
      </c>
      <c r="M158" s="11">
        <v>1236</v>
      </c>
      <c r="P158" s="9">
        <v>43286</v>
      </c>
      <c r="T158" s="8">
        <v>43288</v>
      </c>
      <c r="U158" s="11">
        <v>1038</v>
      </c>
      <c r="X158" s="9">
        <v>43290</v>
      </c>
      <c r="Y158" s="11">
        <v>973</v>
      </c>
      <c r="AB158" s="9">
        <v>43292</v>
      </c>
      <c r="AC158" s="11">
        <v>1020</v>
      </c>
      <c r="AF158" s="9">
        <v>43294</v>
      </c>
      <c r="AJ158" s="9">
        <v>43296</v>
      </c>
      <c r="AK158" s="11">
        <v>2119</v>
      </c>
      <c r="AN158" s="9">
        <v>43298</v>
      </c>
      <c r="AO158" s="11">
        <v>1899</v>
      </c>
      <c r="AR158" s="9">
        <v>43300</v>
      </c>
      <c r="AV158" s="9">
        <v>43302</v>
      </c>
      <c r="AW158" s="11">
        <v>1993</v>
      </c>
      <c r="AZ158" s="9">
        <v>43304</v>
      </c>
      <c r="BA158" s="11">
        <v>2585</v>
      </c>
      <c r="BD158" s="9">
        <v>43306</v>
      </c>
    </row>
    <row r="159" spans="1:56" s="11" customFormat="1" x14ac:dyDescent="0.2">
      <c r="A159" s="24" t="s">
        <v>130</v>
      </c>
      <c r="B159" s="11" t="s">
        <v>80</v>
      </c>
      <c r="C159" s="11">
        <v>10</v>
      </c>
      <c r="D159" s="11">
        <v>30</v>
      </c>
      <c r="E159" s="20">
        <f>([1]innoculation!$D$30*4)/1000</f>
        <v>1354.84</v>
      </c>
      <c r="H159" s="9">
        <v>43282</v>
      </c>
      <c r="I159" s="11">
        <v>1598</v>
      </c>
      <c r="L159" s="9">
        <v>43284</v>
      </c>
      <c r="M159" s="11">
        <v>1173</v>
      </c>
      <c r="P159" s="9">
        <v>43286</v>
      </c>
      <c r="T159" s="8">
        <v>43288</v>
      </c>
      <c r="U159" s="11">
        <v>948</v>
      </c>
      <c r="X159" s="9">
        <v>43290</v>
      </c>
      <c r="Y159" s="11">
        <v>869</v>
      </c>
      <c r="AB159" s="9">
        <v>43292</v>
      </c>
      <c r="AC159" s="11">
        <v>1084</v>
      </c>
      <c r="AF159" s="9">
        <v>43294</v>
      </c>
      <c r="AJ159" s="9">
        <v>43296</v>
      </c>
      <c r="AK159" s="11">
        <v>2001</v>
      </c>
      <c r="AN159" s="9">
        <v>43298</v>
      </c>
      <c r="AO159" s="11">
        <v>1945</v>
      </c>
      <c r="AR159" s="9">
        <v>43300</v>
      </c>
      <c r="AV159" s="9">
        <v>43302</v>
      </c>
      <c r="AW159" s="11">
        <v>1898</v>
      </c>
      <c r="AZ159" s="9">
        <v>43304</v>
      </c>
      <c r="BA159" s="11">
        <v>2649</v>
      </c>
      <c r="BD159" s="9">
        <v>43306</v>
      </c>
    </row>
    <row r="160" spans="1:56" s="11" customFormat="1" x14ac:dyDescent="0.2">
      <c r="A160" s="24" t="s">
        <v>130</v>
      </c>
      <c r="B160" s="11" t="s">
        <v>80</v>
      </c>
      <c r="C160" s="11">
        <v>10</v>
      </c>
      <c r="D160" s="11">
        <v>30</v>
      </c>
      <c r="E160" s="20">
        <f>([1]innoculation!$D$30*4)/1000</f>
        <v>1354.84</v>
      </c>
      <c r="H160" s="9">
        <v>43282</v>
      </c>
      <c r="I160" s="11">
        <v>1493</v>
      </c>
      <c r="L160" s="9">
        <v>43284</v>
      </c>
      <c r="M160" s="11">
        <v>1159</v>
      </c>
      <c r="P160" s="9">
        <v>43286</v>
      </c>
      <c r="T160" s="8">
        <v>43288</v>
      </c>
      <c r="U160" s="11">
        <v>939</v>
      </c>
      <c r="X160" s="9">
        <v>43290</v>
      </c>
      <c r="Y160" s="11">
        <v>855</v>
      </c>
      <c r="AB160" s="9">
        <v>43292</v>
      </c>
      <c r="AC160" s="11">
        <v>1023</v>
      </c>
      <c r="AF160" s="9">
        <v>43294</v>
      </c>
      <c r="AJ160" s="9">
        <v>43296</v>
      </c>
      <c r="AK160" s="11">
        <v>1993</v>
      </c>
      <c r="AN160" s="9">
        <v>43298</v>
      </c>
      <c r="AO160" s="11">
        <v>1929</v>
      </c>
      <c r="AR160" s="9">
        <v>43300</v>
      </c>
      <c r="AV160" s="9">
        <v>43302</v>
      </c>
      <c r="AW160" s="11">
        <v>1957</v>
      </c>
      <c r="AZ160" s="9">
        <v>43304</v>
      </c>
      <c r="BA160" s="11">
        <v>2662</v>
      </c>
      <c r="BD160" s="9">
        <v>43306</v>
      </c>
    </row>
    <row r="161" spans="1:61" s="11" customFormat="1" x14ac:dyDescent="0.2">
      <c r="A161" s="24" t="s">
        <v>131</v>
      </c>
      <c r="B161" s="11" t="s">
        <v>80</v>
      </c>
      <c r="C161" s="11">
        <v>10</v>
      </c>
      <c r="D161" s="11">
        <v>30</v>
      </c>
      <c r="E161" s="20">
        <f>([1]innoculation!$D$30*4)/1000</f>
        <v>1354.84</v>
      </c>
      <c r="H161" s="9">
        <v>43282</v>
      </c>
      <c r="I161" s="11">
        <v>1702</v>
      </c>
      <c r="L161" s="9">
        <v>43284</v>
      </c>
      <c r="M161" s="11">
        <v>1282</v>
      </c>
      <c r="P161" s="9">
        <v>43286</v>
      </c>
      <c r="T161" s="8">
        <v>43288</v>
      </c>
      <c r="U161" s="11">
        <v>1149</v>
      </c>
      <c r="X161" s="9">
        <v>43290</v>
      </c>
      <c r="Y161" s="11">
        <v>1390</v>
      </c>
      <c r="AB161" s="9">
        <v>43292</v>
      </c>
      <c r="AC161" s="11">
        <v>1426</v>
      </c>
      <c r="AF161" s="9">
        <v>43294</v>
      </c>
      <c r="AJ161" s="9">
        <v>43296</v>
      </c>
      <c r="AK161" s="11">
        <v>1994</v>
      </c>
      <c r="AN161" s="9">
        <v>43298</v>
      </c>
      <c r="AO161" s="11">
        <v>2190</v>
      </c>
      <c r="AR161" s="9">
        <v>43300</v>
      </c>
      <c r="AV161" s="9">
        <v>43302</v>
      </c>
      <c r="AW161" s="11">
        <v>2108</v>
      </c>
      <c r="AZ161" s="9">
        <v>43304</v>
      </c>
      <c r="BA161" s="11">
        <v>2613</v>
      </c>
      <c r="BD161" s="9">
        <v>43306</v>
      </c>
    </row>
    <row r="162" spans="1:61" s="11" customFormat="1" x14ac:dyDescent="0.2">
      <c r="A162" s="24" t="s">
        <v>131</v>
      </c>
      <c r="B162" s="11" t="s">
        <v>80</v>
      </c>
      <c r="C162" s="11">
        <v>10</v>
      </c>
      <c r="D162" s="11">
        <v>30</v>
      </c>
      <c r="E162" s="20">
        <f>([1]innoculation!$D$30*4)/1000</f>
        <v>1354.84</v>
      </c>
      <c r="H162" s="9">
        <v>43282</v>
      </c>
      <c r="I162" s="11">
        <v>1683</v>
      </c>
      <c r="L162" s="9">
        <v>43284</v>
      </c>
      <c r="M162" s="11">
        <v>1233</v>
      </c>
      <c r="P162" s="9">
        <v>43286</v>
      </c>
      <c r="T162" s="8">
        <v>43288</v>
      </c>
      <c r="U162" s="11">
        <v>1148</v>
      </c>
      <c r="X162" s="9">
        <v>43290</v>
      </c>
      <c r="Y162" s="11">
        <v>1387</v>
      </c>
      <c r="AB162" s="9">
        <v>43292</v>
      </c>
      <c r="AC162" s="11">
        <v>1678</v>
      </c>
      <c r="AF162" s="9">
        <v>43294</v>
      </c>
      <c r="AJ162" s="9">
        <v>43296</v>
      </c>
      <c r="AK162" s="11">
        <v>1922</v>
      </c>
      <c r="AN162" s="9">
        <v>43298</v>
      </c>
      <c r="AO162" s="11">
        <v>2044</v>
      </c>
      <c r="AR162" s="9">
        <v>43300</v>
      </c>
      <c r="AV162" s="9">
        <v>43302</v>
      </c>
      <c r="AW162" s="11">
        <v>2054</v>
      </c>
      <c r="AZ162" s="9">
        <v>43304</v>
      </c>
      <c r="BA162" s="11">
        <v>2553</v>
      </c>
      <c r="BD162" s="9">
        <v>43306</v>
      </c>
    </row>
    <row r="163" spans="1:61" s="11" customFormat="1" x14ac:dyDescent="0.2">
      <c r="A163" s="24" t="s">
        <v>131</v>
      </c>
      <c r="B163" s="11" t="s">
        <v>80</v>
      </c>
      <c r="C163" s="11">
        <v>10</v>
      </c>
      <c r="D163" s="11">
        <v>30</v>
      </c>
      <c r="E163" s="20">
        <f>([1]innoculation!$D$30*4)/1000</f>
        <v>1354.84</v>
      </c>
      <c r="H163" s="9">
        <v>43282</v>
      </c>
      <c r="I163" s="11">
        <v>1673</v>
      </c>
      <c r="L163" s="9">
        <v>43284</v>
      </c>
      <c r="M163" s="11">
        <v>1250</v>
      </c>
      <c r="P163" s="9">
        <v>43286</v>
      </c>
      <c r="T163" s="8">
        <v>43288</v>
      </c>
      <c r="U163" s="11">
        <v>1139</v>
      </c>
      <c r="X163" s="9">
        <v>43290</v>
      </c>
      <c r="Y163" s="11">
        <v>1359</v>
      </c>
      <c r="AB163" s="9">
        <v>43292</v>
      </c>
      <c r="AC163" s="11">
        <v>1385</v>
      </c>
      <c r="AF163" s="9">
        <v>43294</v>
      </c>
      <c r="AJ163" s="9">
        <v>43296</v>
      </c>
      <c r="AK163" s="11">
        <v>1931</v>
      </c>
      <c r="AN163" s="9">
        <v>43298</v>
      </c>
      <c r="AO163" s="11">
        <v>2051</v>
      </c>
      <c r="AR163" s="9">
        <v>43300</v>
      </c>
      <c r="AV163" s="9">
        <v>43302</v>
      </c>
      <c r="AW163" s="11">
        <v>2077</v>
      </c>
      <c r="AZ163" s="9">
        <v>43304</v>
      </c>
      <c r="BA163" s="11">
        <v>2463</v>
      </c>
      <c r="BD163" s="9">
        <v>43306</v>
      </c>
    </row>
    <row r="164" spans="1:61" s="19" customFormat="1" x14ac:dyDescent="0.2">
      <c r="B164" s="11"/>
      <c r="C164" s="11"/>
      <c r="D164" s="11"/>
      <c r="E164" s="20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W164" s="11"/>
      <c r="BA164" s="11"/>
      <c r="BE164" s="11"/>
      <c r="BI164" s="11"/>
    </row>
    <row r="165" spans="1:61" s="19" customFormat="1" x14ac:dyDescent="0.2">
      <c r="B165" s="11"/>
      <c r="C165" s="11"/>
      <c r="D165" s="11"/>
      <c r="E165" s="20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W165" s="11"/>
      <c r="BA165" s="11"/>
      <c r="BE165" s="11"/>
      <c r="BI165" s="11"/>
    </row>
    <row r="166" spans="1:61" s="19" customFormat="1" x14ac:dyDescent="0.2">
      <c r="B166" s="11"/>
      <c r="C166" s="11"/>
      <c r="D166" s="11"/>
      <c r="E166" s="20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W166" s="11"/>
      <c r="BA166" s="11"/>
      <c r="BE166" s="11"/>
      <c r="BI166" s="11"/>
    </row>
    <row r="167" spans="1:61" s="19" customFormat="1" x14ac:dyDescent="0.2">
      <c r="B167" s="11"/>
      <c r="C167" s="11"/>
      <c r="D167" s="11"/>
      <c r="E167" s="20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W167" s="11"/>
      <c r="BA167" s="11"/>
      <c r="BE167" s="11"/>
      <c r="BI167" s="11"/>
    </row>
    <row r="168" spans="1:61" s="19" customFormat="1" x14ac:dyDescent="0.2">
      <c r="B168" s="11"/>
      <c r="C168" s="11"/>
      <c r="D168" s="11"/>
      <c r="E168" s="20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W168" s="11"/>
      <c r="BA168" s="11"/>
      <c r="BE168" s="11"/>
      <c r="BI168" s="11"/>
    </row>
    <row r="169" spans="1:61" s="19" customFormat="1" x14ac:dyDescent="0.2">
      <c r="B169" s="11"/>
      <c r="C169" s="11"/>
      <c r="D169" s="11"/>
      <c r="E169" s="20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W169" s="11"/>
      <c r="BA169" s="11"/>
      <c r="BE169" s="11"/>
      <c r="BI169" s="11"/>
    </row>
    <row r="170" spans="1:61" s="19" customFormat="1" x14ac:dyDescent="0.2">
      <c r="B170" s="11"/>
      <c r="C170" s="11"/>
      <c r="D170" s="11"/>
      <c r="E170" s="20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W170" s="11"/>
      <c r="BA170" s="11"/>
      <c r="BE170" s="11"/>
      <c r="BI170" s="11"/>
    </row>
    <row r="171" spans="1:61" s="19" customFormat="1" x14ac:dyDescent="0.2">
      <c r="B171" s="11"/>
      <c r="C171" s="11"/>
      <c r="D171" s="11"/>
      <c r="E171" s="20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W171" s="11"/>
      <c r="BA171" s="11"/>
      <c r="BE171" s="11"/>
      <c r="BI171" s="11"/>
    </row>
    <row r="172" spans="1:61" x14ac:dyDescent="0.2">
      <c r="B172" s="11"/>
      <c r="C172" s="11"/>
      <c r="D172" s="11"/>
      <c r="E172" s="20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L172" s="11"/>
      <c r="AM172" s="11"/>
      <c r="AN172" s="11"/>
      <c r="AO172" s="11"/>
      <c r="AP172" s="11"/>
      <c r="AQ172" s="11"/>
    </row>
    <row r="173" spans="1:61" x14ac:dyDescent="0.2">
      <c r="B173" s="11"/>
      <c r="C173" s="11"/>
      <c r="D173" s="11"/>
      <c r="E173" s="20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L173" s="11"/>
      <c r="AM173" s="11"/>
      <c r="AN173" s="11"/>
      <c r="AO173" s="11"/>
      <c r="AP173" s="11"/>
      <c r="AQ173" s="11"/>
    </row>
    <row r="174" spans="1:61" x14ac:dyDescent="0.2">
      <c r="B174" s="11"/>
      <c r="C174" s="11"/>
      <c r="D174" s="11"/>
      <c r="E174" s="20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L174" s="11"/>
      <c r="AM174" s="11"/>
      <c r="AN174" s="11"/>
      <c r="AO174" s="11"/>
      <c r="AP174" s="11"/>
      <c r="AQ174" s="11"/>
    </row>
    <row r="175" spans="1:61" x14ac:dyDescent="0.2">
      <c r="B175" s="11"/>
      <c r="C175" s="11"/>
      <c r="D175" s="11"/>
      <c r="E175" s="20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L175" s="11"/>
      <c r="AM175" s="11"/>
      <c r="AN175" s="11"/>
      <c r="AO175" s="11"/>
      <c r="AP175" s="11"/>
      <c r="AQ175" s="11"/>
    </row>
    <row r="176" spans="1:61" x14ac:dyDescent="0.2">
      <c r="B176" s="11"/>
      <c r="C176" s="11"/>
      <c r="D176" s="11"/>
      <c r="E176" s="20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L176" s="11"/>
      <c r="AM176" s="11"/>
      <c r="AN176" s="11"/>
      <c r="AO176" s="11"/>
      <c r="AP176" s="11"/>
      <c r="AQ176" s="11"/>
    </row>
    <row r="177" spans="2:61" x14ac:dyDescent="0.2">
      <c r="B177" s="11"/>
      <c r="C177" s="11"/>
      <c r="D177" s="11"/>
      <c r="E177" s="20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L177" s="11"/>
      <c r="AM177" s="11"/>
      <c r="AN177" s="11"/>
      <c r="AO177" s="11"/>
      <c r="AP177" s="11"/>
      <c r="AQ177" s="11"/>
    </row>
    <row r="178" spans="2:61" x14ac:dyDescent="0.2">
      <c r="B178" s="11"/>
      <c r="C178" s="11"/>
      <c r="D178" s="11"/>
      <c r="E178" s="20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L178" s="11"/>
      <c r="AM178" s="11"/>
      <c r="AN178" s="11"/>
      <c r="AO178" s="11"/>
      <c r="AP178" s="11"/>
      <c r="AQ178" s="11"/>
    </row>
    <row r="179" spans="2:61" x14ac:dyDescent="0.2">
      <c r="B179" s="11"/>
      <c r="C179" s="11"/>
      <c r="D179" s="11"/>
      <c r="E179" s="20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L179" s="11"/>
      <c r="AM179" s="11"/>
      <c r="AN179" s="11"/>
      <c r="AO179" s="11"/>
      <c r="AP179" s="11"/>
      <c r="AQ179" s="11"/>
    </row>
    <row r="180" spans="2:61" x14ac:dyDescent="0.2">
      <c r="B180" s="11"/>
      <c r="C180" s="11"/>
      <c r="D180" s="11"/>
      <c r="E180" s="20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L180" s="11"/>
      <c r="AM180" s="11"/>
      <c r="AN180" s="11"/>
      <c r="AO180" s="11"/>
      <c r="AP180" s="11"/>
      <c r="AQ180" s="11"/>
    </row>
    <row r="181" spans="2:61" x14ac:dyDescent="0.2">
      <c r="B181" s="11"/>
      <c r="C181" s="11"/>
      <c r="D181" s="11"/>
      <c r="E181" s="20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L181" s="11"/>
      <c r="AM181" s="11"/>
      <c r="AN181" s="11"/>
      <c r="AO181" s="11"/>
      <c r="AP181" s="11"/>
      <c r="AQ181" s="11"/>
    </row>
    <row r="182" spans="2:61" x14ac:dyDescent="0.2">
      <c r="B182" s="11"/>
      <c r="C182" s="11"/>
      <c r="D182" s="11"/>
      <c r="E182" s="20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L182" s="11"/>
      <c r="AM182" s="11"/>
      <c r="AN182" s="11"/>
      <c r="AO182" s="11"/>
      <c r="AP182" s="11"/>
      <c r="AQ182" s="11"/>
    </row>
    <row r="183" spans="2:61" x14ac:dyDescent="0.2">
      <c r="B183" s="11"/>
      <c r="C183" s="11"/>
      <c r="D183" s="11"/>
      <c r="E183" s="20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L183" s="11"/>
      <c r="AM183" s="11"/>
      <c r="AN183" s="11"/>
      <c r="AO183" s="11"/>
      <c r="AP183" s="11"/>
      <c r="AQ183" s="11"/>
    </row>
    <row r="184" spans="2:61" x14ac:dyDescent="0.2">
      <c r="B184" s="11"/>
      <c r="C184" s="11"/>
      <c r="D184" s="11"/>
      <c r="E184" s="20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L184" s="11"/>
      <c r="AM184" s="11"/>
      <c r="AN184" s="11"/>
      <c r="AO184" s="11"/>
      <c r="AP184" s="11"/>
      <c r="AQ184" s="11"/>
    </row>
    <row r="185" spans="2:61" x14ac:dyDescent="0.2">
      <c r="B185" s="11"/>
      <c r="C185" s="11"/>
      <c r="D185" s="11"/>
      <c r="E185" s="20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L185" s="11"/>
      <c r="AM185" s="11"/>
      <c r="AN185" s="11"/>
      <c r="AO185" s="11"/>
      <c r="AP185" s="11"/>
      <c r="AQ185" s="11"/>
    </row>
    <row r="186" spans="2:61" x14ac:dyDescent="0.2">
      <c r="B186" s="11"/>
      <c r="C186" s="11"/>
      <c r="D186" s="11"/>
      <c r="E186" s="20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L186" s="11"/>
      <c r="AM186" s="11"/>
      <c r="AN186" s="11"/>
      <c r="AO186" s="11"/>
      <c r="AP186" s="11"/>
      <c r="AQ186" s="11"/>
    </row>
    <row r="187" spans="2:61" x14ac:dyDescent="0.2">
      <c r="B187" s="11"/>
      <c r="C187" s="11"/>
      <c r="D187" s="11"/>
      <c r="E187" s="20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L187" s="11"/>
      <c r="AM187" s="11"/>
      <c r="AN187" s="11"/>
      <c r="AO187" s="11"/>
      <c r="AP187" s="11"/>
      <c r="AQ187" s="11"/>
      <c r="AR187"/>
      <c r="AS187"/>
      <c r="AT187"/>
      <c r="AU187"/>
      <c r="AW187"/>
      <c r="BA187"/>
      <c r="BE187"/>
      <c r="BI187"/>
    </row>
    <row r="188" spans="2:61" x14ac:dyDescent="0.2">
      <c r="B188" s="11"/>
      <c r="C188" s="11"/>
      <c r="D188" s="11"/>
      <c r="E188" s="20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L188" s="11"/>
      <c r="AM188" s="11"/>
      <c r="AN188" s="11"/>
      <c r="AO188" s="11"/>
      <c r="AP188" s="11"/>
      <c r="AQ188" s="11"/>
      <c r="AR188"/>
      <c r="AS188"/>
      <c r="AT188"/>
      <c r="AU188"/>
      <c r="AW188"/>
      <c r="BA188"/>
      <c r="BE188"/>
      <c r="BI188"/>
    </row>
    <row r="189" spans="2:61" x14ac:dyDescent="0.2">
      <c r="B189" s="11"/>
      <c r="C189" s="11"/>
      <c r="D189" s="11"/>
      <c r="E189" s="20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L189" s="11"/>
      <c r="AM189" s="11"/>
      <c r="AN189" s="11"/>
      <c r="AO189" s="11"/>
      <c r="AP189" s="11"/>
      <c r="AQ189" s="11"/>
      <c r="AR189"/>
      <c r="AS189"/>
      <c r="AT189"/>
      <c r="AU189"/>
      <c r="AW189"/>
      <c r="BA189"/>
      <c r="BE189"/>
      <c r="BI189"/>
    </row>
    <row r="190" spans="2:61" x14ac:dyDescent="0.2">
      <c r="B190" s="11"/>
      <c r="C190" s="11"/>
      <c r="D190" s="11"/>
      <c r="E190" s="20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L190" s="11"/>
      <c r="AM190" s="11"/>
      <c r="AN190" s="11"/>
      <c r="AO190" s="11"/>
      <c r="AP190" s="11"/>
      <c r="AQ190" s="11"/>
      <c r="AR190"/>
      <c r="AS190"/>
      <c r="AT190"/>
      <c r="AU190"/>
      <c r="AW190"/>
      <c r="BA190"/>
      <c r="BE190"/>
      <c r="BI190"/>
    </row>
    <row r="191" spans="2:61" x14ac:dyDescent="0.2">
      <c r="B191" s="11"/>
      <c r="C191" s="11"/>
      <c r="D191" s="11"/>
      <c r="E191" s="20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L191" s="11"/>
      <c r="AM191" s="11"/>
      <c r="AN191" s="11"/>
      <c r="AO191" s="11"/>
      <c r="AP191" s="11"/>
      <c r="AQ191" s="11"/>
      <c r="AR191"/>
      <c r="AS191"/>
      <c r="AT191"/>
      <c r="AU191"/>
      <c r="AW191"/>
      <c r="BA191"/>
      <c r="BE191"/>
      <c r="BI191"/>
    </row>
    <row r="192" spans="2:61" x14ac:dyDescent="0.2">
      <c r="B192" s="11"/>
      <c r="C192" s="11"/>
      <c r="D192" s="11"/>
      <c r="E192" s="20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L192" s="11"/>
      <c r="AM192" s="11"/>
      <c r="AN192" s="11"/>
      <c r="AO192" s="11"/>
      <c r="AP192" s="11"/>
      <c r="AQ192" s="11"/>
      <c r="AR192"/>
      <c r="AS192"/>
      <c r="AT192"/>
      <c r="AU192"/>
      <c r="AW192"/>
      <c r="BA192"/>
      <c r="BE192"/>
      <c r="BI192"/>
    </row>
    <row r="193" spans="2:61" x14ac:dyDescent="0.2">
      <c r="B193" s="11"/>
      <c r="C193" s="11"/>
      <c r="D193" s="11"/>
      <c r="E193" s="20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L193" s="11"/>
      <c r="AM193" s="11"/>
      <c r="AN193" s="11"/>
      <c r="AO193" s="11"/>
      <c r="AP193" s="11"/>
      <c r="AQ193" s="11"/>
      <c r="AR193"/>
      <c r="AS193"/>
      <c r="AT193"/>
      <c r="AU193"/>
      <c r="AW193"/>
      <c r="BA193"/>
      <c r="BE193"/>
      <c r="BI193"/>
    </row>
    <row r="194" spans="2:61" x14ac:dyDescent="0.2">
      <c r="B194" s="11"/>
      <c r="C194" s="11"/>
      <c r="D194" s="11"/>
      <c r="E194" s="20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L194" s="11"/>
      <c r="AM194" s="11"/>
      <c r="AN194" s="11"/>
      <c r="AO194" s="11"/>
      <c r="AP194" s="11"/>
      <c r="AQ194" s="11"/>
      <c r="AR194"/>
      <c r="AS194"/>
      <c r="AT194"/>
      <c r="AU194"/>
      <c r="AW194"/>
      <c r="BA194"/>
      <c r="BE194"/>
      <c r="BI194"/>
    </row>
    <row r="195" spans="2:61" x14ac:dyDescent="0.2">
      <c r="B195" s="11"/>
      <c r="C195" s="11"/>
      <c r="D195" s="11"/>
      <c r="E195" s="20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L195" s="11"/>
      <c r="AM195" s="11"/>
      <c r="AN195" s="11"/>
      <c r="AO195" s="11"/>
      <c r="AP195" s="11"/>
      <c r="AQ195" s="11"/>
      <c r="AR195"/>
      <c r="AS195"/>
      <c r="AT195"/>
      <c r="AU195"/>
      <c r="AW195"/>
      <c r="BA195"/>
      <c r="BE195"/>
      <c r="BI195"/>
    </row>
    <row r="196" spans="2:61" x14ac:dyDescent="0.2">
      <c r="B196" s="11"/>
      <c r="C196" s="11"/>
      <c r="D196" s="11"/>
      <c r="E196" s="20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L196" s="11"/>
      <c r="AM196" s="11"/>
      <c r="AN196" s="11"/>
      <c r="AO196" s="11"/>
      <c r="AP196" s="11"/>
      <c r="AQ196" s="11"/>
      <c r="AR196"/>
      <c r="AS196"/>
      <c r="AT196"/>
      <c r="AU196"/>
      <c r="AW196"/>
      <c r="BA196"/>
      <c r="BE196"/>
      <c r="BI196"/>
    </row>
    <row r="197" spans="2:61" x14ac:dyDescent="0.2">
      <c r="B197" s="11"/>
      <c r="C197" s="11"/>
      <c r="D197" s="11"/>
      <c r="E197" s="20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L197" s="11"/>
      <c r="AM197" s="11"/>
      <c r="AN197" s="11"/>
      <c r="AO197" s="11"/>
      <c r="AP197" s="11"/>
      <c r="AQ197" s="11"/>
      <c r="AR197"/>
      <c r="AS197"/>
      <c r="AT197"/>
      <c r="AU197"/>
      <c r="AW197"/>
      <c r="BA197"/>
      <c r="BE197"/>
      <c r="BI197"/>
    </row>
    <row r="198" spans="2:61" x14ac:dyDescent="0.2">
      <c r="B198" s="11"/>
      <c r="C198" s="11"/>
      <c r="D198" s="11"/>
      <c r="E198" s="20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L198" s="11"/>
      <c r="AM198" s="11"/>
      <c r="AN198" s="11"/>
      <c r="AO198" s="11"/>
      <c r="AP198" s="11"/>
      <c r="AQ198" s="11"/>
      <c r="AR198"/>
      <c r="AS198"/>
      <c r="AT198"/>
      <c r="AU198"/>
      <c r="AW198"/>
      <c r="BA198"/>
      <c r="BE198"/>
      <c r="BI198"/>
    </row>
    <row r="199" spans="2:61" x14ac:dyDescent="0.2">
      <c r="B199" s="11"/>
      <c r="C199" s="11"/>
      <c r="D199" s="11"/>
      <c r="E199" s="20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L199" s="11"/>
      <c r="AM199" s="11"/>
      <c r="AN199" s="11"/>
      <c r="AO199" s="11"/>
      <c r="AP199" s="11"/>
      <c r="AQ199" s="11"/>
      <c r="AR199"/>
      <c r="AS199"/>
      <c r="AT199"/>
      <c r="AU199"/>
      <c r="AW199"/>
      <c r="BA199"/>
      <c r="BE199"/>
      <c r="BI199"/>
    </row>
    <row r="200" spans="2:61" x14ac:dyDescent="0.2">
      <c r="B200" s="11"/>
      <c r="C200" s="11"/>
      <c r="D200" s="11"/>
      <c r="E200" s="20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L200" s="11"/>
      <c r="AM200" s="11"/>
      <c r="AN200" s="11"/>
      <c r="AO200" s="11"/>
      <c r="AP200" s="11"/>
      <c r="AQ200" s="11"/>
      <c r="AR200"/>
      <c r="AS200"/>
      <c r="AT200"/>
      <c r="AU200"/>
      <c r="AW200"/>
      <c r="BA200"/>
      <c r="BE200"/>
      <c r="BI200"/>
    </row>
    <row r="201" spans="2:61" x14ac:dyDescent="0.2">
      <c r="B201" s="11"/>
      <c r="C201" s="11"/>
      <c r="D201" s="11"/>
      <c r="E201" s="20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L201" s="11"/>
      <c r="AM201" s="11"/>
      <c r="AN201" s="11"/>
      <c r="AO201" s="11"/>
      <c r="AP201" s="11"/>
      <c r="AQ201" s="11"/>
      <c r="AR201"/>
      <c r="AS201"/>
      <c r="AT201"/>
      <c r="AU201"/>
      <c r="AW201"/>
      <c r="BA201"/>
      <c r="BE201"/>
      <c r="BI201"/>
    </row>
    <row r="202" spans="2:61" x14ac:dyDescent="0.2">
      <c r="B202" s="11"/>
      <c r="C202" s="11"/>
      <c r="D202" s="11"/>
      <c r="E202" s="20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L202" s="11"/>
      <c r="AM202" s="11"/>
      <c r="AN202" s="11"/>
      <c r="AO202" s="11"/>
      <c r="AP202" s="11"/>
      <c r="AQ202" s="11"/>
      <c r="AR202"/>
      <c r="AS202"/>
      <c r="AT202"/>
      <c r="AU202"/>
      <c r="AW202"/>
      <c r="BA202"/>
      <c r="BE202"/>
      <c r="BI202"/>
    </row>
    <row r="203" spans="2:61" x14ac:dyDescent="0.2">
      <c r="B203" s="11"/>
      <c r="C203" s="11"/>
      <c r="D203" s="11"/>
      <c r="E203" s="20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L203" s="11"/>
      <c r="AM203" s="11"/>
      <c r="AN203" s="11"/>
      <c r="AO203" s="11"/>
      <c r="AP203" s="11"/>
      <c r="AQ203" s="11"/>
      <c r="AR203"/>
      <c r="AS203"/>
      <c r="AT203"/>
      <c r="AU203"/>
      <c r="AW203"/>
      <c r="BA203"/>
      <c r="BE203"/>
      <c r="BI203"/>
    </row>
    <row r="204" spans="2:61" x14ac:dyDescent="0.2">
      <c r="B204" s="11"/>
      <c r="C204" s="11"/>
      <c r="D204" s="11"/>
      <c r="E204" s="20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L204" s="11"/>
      <c r="AM204" s="11"/>
      <c r="AN204" s="11"/>
      <c r="AO204" s="11"/>
      <c r="AP204" s="11"/>
      <c r="AQ204" s="11"/>
      <c r="AR204"/>
      <c r="AS204"/>
      <c r="AT204"/>
      <c r="AU204"/>
      <c r="AW204"/>
      <c r="BA204"/>
      <c r="BE204"/>
      <c r="BI204"/>
    </row>
    <row r="205" spans="2:61" x14ac:dyDescent="0.2">
      <c r="B205" s="11"/>
      <c r="C205" s="11"/>
      <c r="D205" s="11"/>
      <c r="E205" s="20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L205" s="11"/>
      <c r="AM205" s="11"/>
      <c r="AN205" s="11"/>
      <c r="AO205" s="11"/>
      <c r="AP205" s="11"/>
      <c r="AQ205" s="11"/>
      <c r="AR205"/>
      <c r="AS205"/>
      <c r="AT205"/>
      <c r="AU205"/>
      <c r="AW205"/>
      <c r="BA205"/>
      <c r="BE205"/>
      <c r="BI205"/>
    </row>
    <row r="206" spans="2:61" x14ac:dyDescent="0.2">
      <c r="B206" s="11"/>
      <c r="C206" s="11"/>
      <c r="D206" s="11"/>
      <c r="E206" s="20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L206" s="11"/>
      <c r="AM206" s="11"/>
      <c r="AN206" s="11"/>
      <c r="AO206" s="11"/>
      <c r="AP206" s="11"/>
      <c r="AQ206" s="11"/>
      <c r="AR206"/>
      <c r="AS206"/>
      <c r="AT206"/>
      <c r="AU206"/>
      <c r="AW206"/>
      <c r="BA206"/>
      <c r="BE206"/>
      <c r="BI206"/>
    </row>
    <row r="207" spans="2:61" x14ac:dyDescent="0.2">
      <c r="B207" s="11"/>
      <c r="C207" s="11"/>
      <c r="D207" s="11"/>
      <c r="E207" s="20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L207" s="11"/>
      <c r="AM207" s="11"/>
      <c r="AN207" s="11"/>
      <c r="AO207" s="11"/>
      <c r="AP207" s="11"/>
      <c r="AQ207" s="11"/>
      <c r="AR207"/>
      <c r="AS207"/>
      <c r="AT207"/>
      <c r="AU207"/>
      <c r="AW207"/>
      <c r="BA207"/>
      <c r="BE207"/>
      <c r="BI207"/>
    </row>
    <row r="208" spans="2:61" x14ac:dyDescent="0.2">
      <c r="B208" s="11"/>
      <c r="C208" s="11"/>
      <c r="D208" s="11"/>
      <c r="E208" s="20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L208" s="11"/>
      <c r="AM208" s="11"/>
      <c r="AN208" s="11"/>
      <c r="AO208" s="11"/>
      <c r="AP208" s="11"/>
      <c r="AQ208" s="11"/>
      <c r="AR208"/>
      <c r="AS208"/>
      <c r="AT208"/>
      <c r="AU208"/>
      <c r="AW208"/>
      <c r="BA208"/>
      <c r="BE208"/>
      <c r="BI208"/>
    </row>
    <row r="209" spans="2:61" x14ac:dyDescent="0.2">
      <c r="B209" s="11"/>
      <c r="C209" s="11"/>
      <c r="D209" s="11"/>
      <c r="E209" s="20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L209" s="11"/>
      <c r="AM209" s="11"/>
      <c r="AN209" s="11"/>
      <c r="AO209" s="11"/>
      <c r="AP209" s="11"/>
      <c r="AQ209" s="11"/>
      <c r="AR209"/>
      <c r="AS209"/>
      <c r="AT209"/>
      <c r="AU209"/>
      <c r="AW209"/>
      <c r="BA209"/>
      <c r="BE209"/>
      <c r="BI209"/>
    </row>
    <row r="210" spans="2:61" x14ac:dyDescent="0.2">
      <c r="B210" s="11"/>
      <c r="C210" s="11"/>
      <c r="D210" s="11"/>
      <c r="E210" s="20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L210" s="11"/>
      <c r="AM210" s="11"/>
      <c r="AN210" s="11"/>
      <c r="AO210" s="11"/>
      <c r="AP210" s="11"/>
      <c r="AQ210" s="11"/>
      <c r="AR210"/>
      <c r="AS210"/>
      <c r="AT210"/>
      <c r="AU210"/>
      <c r="AW210"/>
      <c r="BA210"/>
      <c r="BE210"/>
      <c r="BI210"/>
    </row>
    <row r="211" spans="2:61" x14ac:dyDescent="0.2">
      <c r="B211" s="11"/>
      <c r="C211" s="11"/>
      <c r="D211" s="11"/>
      <c r="E211" s="20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L211" s="11"/>
      <c r="AM211" s="11"/>
      <c r="AN211" s="11"/>
      <c r="AO211" s="11"/>
      <c r="AP211" s="11"/>
      <c r="AQ211" s="11"/>
      <c r="AR211"/>
      <c r="AS211"/>
      <c r="AT211"/>
      <c r="AU211"/>
      <c r="AW211"/>
      <c r="BA211"/>
      <c r="BE211"/>
      <c r="BI211"/>
    </row>
    <row r="212" spans="2:61" x14ac:dyDescent="0.2">
      <c r="B212" s="11"/>
      <c r="C212" s="11"/>
      <c r="D212" s="11"/>
      <c r="E212" s="20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L212" s="11"/>
      <c r="AM212" s="11"/>
      <c r="AN212" s="11"/>
      <c r="AO212" s="11"/>
      <c r="AP212" s="11"/>
      <c r="AQ212" s="11"/>
      <c r="AR212"/>
      <c r="AS212"/>
      <c r="AT212"/>
      <c r="AU212"/>
      <c r="AW212"/>
      <c r="BA212"/>
      <c r="BE212"/>
      <c r="BI212"/>
    </row>
    <row r="213" spans="2:61" x14ac:dyDescent="0.2">
      <c r="B213" s="11"/>
      <c r="C213" s="11"/>
      <c r="D213" s="11"/>
      <c r="E213" s="20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L213" s="11"/>
      <c r="AM213" s="11"/>
      <c r="AN213" s="11"/>
      <c r="AO213" s="11"/>
      <c r="AP213" s="11"/>
      <c r="AQ213" s="11"/>
      <c r="AR213"/>
      <c r="AS213"/>
      <c r="AT213"/>
      <c r="AU213"/>
      <c r="AW213"/>
      <c r="BA213"/>
      <c r="BE213"/>
      <c r="BI213"/>
    </row>
    <row r="214" spans="2:61" x14ac:dyDescent="0.2">
      <c r="B214" s="11"/>
      <c r="C214" s="11"/>
      <c r="D214" s="11"/>
      <c r="E214" s="20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L214" s="11"/>
      <c r="AM214" s="11"/>
      <c r="AN214" s="11"/>
      <c r="AO214" s="11"/>
      <c r="AP214" s="11"/>
      <c r="AQ214" s="11"/>
      <c r="AR214"/>
      <c r="AS214"/>
      <c r="AT214"/>
      <c r="AU214"/>
      <c r="AW214"/>
      <c r="BA214"/>
      <c r="BE214"/>
      <c r="BI214"/>
    </row>
    <row r="215" spans="2:61" x14ac:dyDescent="0.2">
      <c r="B215" s="11"/>
      <c r="C215" s="11"/>
      <c r="D215" s="11"/>
      <c r="E215" s="20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L215" s="11"/>
      <c r="AM215" s="11"/>
      <c r="AN215" s="11"/>
      <c r="AO215" s="11"/>
      <c r="AP215" s="11"/>
      <c r="AQ215" s="11"/>
      <c r="AR215"/>
      <c r="AS215"/>
      <c r="AT215"/>
      <c r="AU215"/>
      <c r="AW215"/>
      <c r="BA215"/>
      <c r="BE215"/>
      <c r="BI215"/>
    </row>
    <row r="216" spans="2:61" x14ac:dyDescent="0.2">
      <c r="B216" s="11"/>
      <c r="C216" s="11"/>
      <c r="D216" s="11"/>
      <c r="E216" s="20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L216" s="11"/>
      <c r="AM216" s="11"/>
      <c r="AN216" s="11"/>
      <c r="AO216" s="11"/>
      <c r="AP216" s="11"/>
      <c r="AQ216" s="11"/>
      <c r="AR216"/>
      <c r="AS216"/>
      <c r="AT216"/>
      <c r="AU216"/>
      <c r="AW216"/>
      <c r="BA216"/>
      <c r="BE216"/>
      <c r="BI216"/>
    </row>
    <row r="217" spans="2:61" x14ac:dyDescent="0.2">
      <c r="B217" s="11"/>
      <c r="C217" s="11"/>
      <c r="D217" s="11"/>
      <c r="E217" s="20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L217" s="11"/>
      <c r="AM217" s="11"/>
      <c r="AN217" s="11"/>
      <c r="AO217" s="11"/>
      <c r="AP217" s="11"/>
      <c r="AQ217" s="11"/>
      <c r="AR217"/>
      <c r="AS217"/>
      <c r="AT217"/>
      <c r="AU217"/>
      <c r="AW217"/>
      <c r="BA217"/>
      <c r="BE217"/>
      <c r="BI217"/>
    </row>
    <row r="218" spans="2:61" x14ac:dyDescent="0.2">
      <c r="B218" s="11"/>
      <c r="C218" s="11"/>
      <c r="D218" s="11"/>
      <c r="E218" s="20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L218" s="11"/>
      <c r="AM218" s="11"/>
      <c r="AN218" s="11"/>
      <c r="AO218" s="11"/>
      <c r="AP218" s="11"/>
      <c r="AQ218" s="11"/>
      <c r="AR218"/>
      <c r="AS218"/>
      <c r="AT218"/>
      <c r="AU218"/>
      <c r="AW218"/>
      <c r="BA218"/>
      <c r="BE218"/>
      <c r="BI218"/>
    </row>
    <row r="219" spans="2:61" x14ac:dyDescent="0.2">
      <c r="B219" s="11"/>
      <c r="C219" s="11"/>
      <c r="D219" s="11"/>
      <c r="E219" s="20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L219" s="11"/>
      <c r="AM219" s="11"/>
      <c r="AN219" s="11"/>
      <c r="AO219" s="11"/>
      <c r="AP219" s="11"/>
      <c r="AQ219" s="11"/>
      <c r="AR219"/>
      <c r="AS219"/>
      <c r="AT219"/>
      <c r="AU219"/>
      <c r="AW219"/>
      <c r="BA219"/>
      <c r="BE219"/>
      <c r="BI219"/>
    </row>
    <row r="220" spans="2:61" x14ac:dyDescent="0.2">
      <c r="B220" s="11"/>
      <c r="C220" s="11"/>
      <c r="D220" s="11"/>
      <c r="E220" s="20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L220" s="11"/>
      <c r="AM220" s="11"/>
      <c r="AN220" s="11"/>
      <c r="AO220" s="11"/>
      <c r="AP220" s="11"/>
      <c r="AQ220" s="11"/>
      <c r="AR220"/>
      <c r="AS220"/>
      <c r="AT220"/>
      <c r="AU220"/>
      <c r="AW220"/>
      <c r="BA220"/>
      <c r="BE220"/>
      <c r="BI220"/>
    </row>
    <row r="221" spans="2:61" x14ac:dyDescent="0.2">
      <c r="B221" s="11"/>
      <c r="C221" s="11"/>
      <c r="D221" s="11"/>
      <c r="E221" s="20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L221" s="11"/>
      <c r="AM221" s="11"/>
      <c r="AN221" s="11"/>
      <c r="AO221" s="11"/>
      <c r="AP221" s="11"/>
      <c r="AQ221" s="11"/>
      <c r="AR221"/>
      <c r="AS221"/>
      <c r="AT221"/>
      <c r="AU221"/>
      <c r="AW221"/>
      <c r="BA221"/>
      <c r="BE221"/>
      <c r="BI221"/>
    </row>
    <row r="222" spans="2:61" x14ac:dyDescent="0.2">
      <c r="B222" s="11"/>
      <c r="C222" s="11"/>
      <c r="D222" s="11"/>
      <c r="E222" s="20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L222" s="11"/>
      <c r="AM222" s="11"/>
      <c r="AN222" s="11"/>
      <c r="AO222" s="11"/>
      <c r="AP222" s="11"/>
      <c r="AQ222" s="11"/>
      <c r="AR222"/>
      <c r="AS222"/>
      <c r="AT222"/>
      <c r="AU222"/>
      <c r="AW222"/>
      <c r="BA222"/>
      <c r="BE222"/>
      <c r="BI222"/>
    </row>
    <row r="223" spans="2:61" x14ac:dyDescent="0.2">
      <c r="B223" s="11"/>
      <c r="C223" s="11"/>
      <c r="D223" s="11"/>
      <c r="E223" s="20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L223" s="11"/>
      <c r="AM223" s="11"/>
      <c r="AN223" s="11"/>
      <c r="AO223" s="11"/>
      <c r="AP223" s="11"/>
      <c r="AQ223" s="11"/>
      <c r="AR223"/>
      <c r="AS223"/>
      <c r="AT223"/>
      <c r="AU223"/>
      <c r="AW223"/>
      <c r="BA223"/>
      <c r="BE223"/>
      <c r="BI223"/>
    </row>
    <row r="224" spans="2:61" x14ac:dyDescent="0.2">
      <c r="B224" s="11"/>
      <c r="C224" s="11"/>
      <c r="D224" s="11"/>
      <c r="E224" s="20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L224" s="11"/>
      <c r="AM224" s="11"/>
      <c r="AN224" s="11"/>
      <c r="AO224" s="11"/>
      <c r="AP224" s="11"/>
      <c r="AQ224" s="11"/>
      <c r="AR224"/>
      <c r="AS224"/>
      <c r="AT224"/>
      <c r="AU224"/>
      <c r="AW224"/>
      <c r="BA224"/>
      <c r="BE224"/>
      <c r="BI224"/>
    </row>
    <row r="225" spans="2:61" x14ac:dyDescent="0.2">
      <c r="B225" s="11"/>
      <c r="C225" s="11"/>
      <c r="D225" s="11"/>
      <c r="E225" s="20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L225" s="11"/>
      <c r="AM225" s="11"/>
      <c r="AN225" s="11"/>
      <c r="AO225" s="11"/>
      <c r="AP225" s="11"/>
      <c r="AQ225" s="11"/>
      <c r="AR225"/>
      <c r="AS225"/>
      <c r="AT225"/>
      <c r="AU225"/>
      <c r="AW225"/>
      <c r="BA225"/>
      <c r="BE225"/>
      <c r="BI225"/>
    </row>
    <row r="226" spans="2:61" x14ac:dyDescent="0.2">
      <c r="B226" s="11"/>
      <c r="C226" s="11"/>
      <c r="D226" s="11"/>
      <c r="E226" s="20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L226" s="11"/>
      <c r="AM226" s="11"/>
      <c r="AN226" s="11"/>
      <c r="AO226" s="11"/>
      <c r="AP226" s="11"/>
      <c r="AQ226" s="11"/>
      <c r="AR226"/>
      <c r="AS226"/>
      <c r="AT226"/>
      <c r="AU226"/>
      <c r="AW226"/>
      <c r="BA226"/>
      <c r="BE226"/>
      <c r="BI226"/>
    </row>
    <row r="227" spans="2:61" x14ac:dyDescent="0.2">
      <c r="B227" s="11"/>
      <c r="C227" s="11"/>
      <c r="D227" s="11"/>
      <c r="E227" s="20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L227" s="11"/>
      <c r="AM227" s="11"/>
      <c r="AN227" s="11"/>
      <c r="AO227" s="11"/>
      <c r="AP227" s="11"/>
      <c r="AQ227" s="11"/>
      <c r="AR227"/>
      <c r="AS227"/>
      <c r="AT227"/>
      <c r="AU227"/>
      <c r="AW227"/>
      <c r="BA227"/>
      <c r="BE227"/>
      <c r="BI227"/>
    </row>
    <row r="228" spans="2:61" x14ac:dyDescent="0.2">
      <c r="B228" s="11"/>
      <c r="C228" s="11"/>
      <c r="D228" s="11"/>
      <c r="E228" s="20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L228" s="11"/>
      <c r="AM228" s="11"/>
      <c r="AN228" s="11"/>
      <c r="AO228" s="11"/>
      <c r="AP228" s="11"/>
      <c r="AQ228" s="11"/>
      <c r="AR228"/>
      <c r="AS228"/>
      <c r="AT228"/>
      <c r="AU228"/>
      <c r="AW228"/>
      <c r="BA228"/>
      <c r="BE228"/>
      <c r="BI228"/>
    </row>
    <row r="229" spans="2:61" x14ac:dyDescent="0.2">
      <c r="B229" s="11"/>
      <c r="C229" s="11"/>
      <c r="D229" s="11"/>
      <c r="E229" s="20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L229" s="11"/>
      <c r="AM229" s="11"/>
      <c r="AN229" s="11"/>
      <c r="AO229" s="11"/>
      <c r="AP229" s="11"/>
      <c r="AQ229" s="11"/>
      <c r="AR229"/>
      <c r="AS229"/>
      <c r="AT229"/>
      <c r="AU229"/>
      <c r="AW229"/>
      <c r="BA229"/>
      <c r="BE229"/>
      <c r="BI229"/>
    </row>
    <row r="230" spans="2:61" x14ac:dyDescent="0.2">
      <c r="B230" s="11"/>
      <c r="C230" s="11"/>
      <c r="D230" s="11"/>
      <c r="E230" s="20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L230" s="11"/>
      <c r="AM230" s="11"/>
      <c r="AN230" s="11"/>
      <c r="AO230" s="11"/>
      <c r="AP230" s="11"/>
      <c r="AQ230" s="11"/>
      <c r="AR230"/>
      <c r="AS230"/>
      <c r="AT230"/>
      <c r="AU230"/>
      <c r="AW230"/>
      <c r="BA230"/>
      <c r="BE230"/>
      <c r="BI230"/>
    </row>
    <row r="231" spans="2:61" x14ac:dyDescent="0.2">
      <c r="B231" s="11"/>
      <c r="C231" s="11"/>
      <c r="D231" s="11"/>
      <c r="E231" s="20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L231" s="11"/>
      <c r="AM231" s="11"/>
      <c r="AN231" s="11"/>
      <c r="AO231" s="11"/>
      <c r="AP231" s="11"/>
      <c r="AQ231" s="11"/>
      <c r="AR231"/>
      <c r="AS231"/>
      <c r="AT231"/>
      <c r="AU231"/>
      <c r="AW231"/>
      <c r="BA231"/>
      <c r="BE231"/>
      <c r="BI231"/>
    </row>
    <row r="232" spans="2:61" x14ac:dyDescent="0.2">
      <c r="B232" s="11"/>
      <c r="C232" s="11"/>
      <c r="D232" s="11"/>
      <c r="E232" s="20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L232" s="11"/>
      <c r="AM232" s="11"/>
      <c r="AN232" s="11"/>
      <c r="AO232" s="11"/>
      <c r="AP232" s="11"/>
      <c r="AQ232" s="11"/>
      <c r="AR232"/>
      <c r="AS232"/>
      <c r="AT232"/>
      <c r="AU232"/>
      <c r="AW232"/>
      <c r="BA232"/>
      <c r="BE232"/>
      <c r="BI232"/>
    </row>
    <row r="233" spans="2:61" x14ac:dyDescent="0.2">
      <c r="B233" s="11"/>
      <c r="C233" s="11"/>
      <c r="D233" s="11"/>
      <c r="E233" s="20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L233" s="11"/>
      <c r="AM233" s="11"/>
      <c r="AN233" s="11"/>
      <c r="AO233" s="11"/>
      <c r="AP233" s="11"/>
      <c r="AQ233" s="11"/>
      <c r="AR233"/>
      <c r="AS233"/>
      <c r="AT233"/>
      <c r="AU233"/>
      <c r="AW233"/>
      <c r="BA233"/>
      <c r="BE233"/>
      <c r="BI233"/>
    </row>
    <row r="234" spans="2:61" x14ac:dyDescent="0.2">
      <c r="B234" s="11"/>
      <c r="C234" s="11"/>
      <c r="D234" s="11"/>
      <c r="E234" s="20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L234" s="11"/>
      <c r="AM234" s="11"/>
      <c r="AN234" s="11"/>
      <c r="AO234" s="11"/>
      <c r="AP234" s="11"/>
      <c r="AQ234" s="11"/>
      <c r="AR234"/>
      <c r="AS234"/>
      <c r="AT234"/>
      <c r="AU234"/>
      <c r="AW234"/>
      <c r="BA234"/>
      <c r="BE234"/>
      <c r="BI234"/>
    </row>
    <row r="235" spans="2:61" x14ac:dyDescent="0.2">
      <c r="B235" s="11"/>
      <c r="C235" s="11"/>
      <c r="D235" s="11"/>
      <c r="E235" s="20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L235" s="11"/>
      <c r="AM235" s="11"/>
      <c r="AN235" s="11"/>
      <c r="AO235" s="11"/>
      <c r="AP235" s="11"/>
      <c r="AQ235" s="11"/>
      <c r="AR235"/>
      <c r="AS235"/>
      <c r="AT235"/>
      <c r="AU235"/>
      <c r="AW235"/>
      <c r="BA235"/>
      <c r="BE235"/>
      <c r="BI235"/>
    </row>
    <row r="236" spans="2:61" x14ac:dyDescent="0.2">
      <c r="B236" s="11"/>
      <c r="C236" s="11"/>
      <c r="D236" s="11"/>
      <c r="E236" s="20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L236" s="11"/>
      <c r="AM236" s="11"/>
      <c r="AN236" s="11"/>
      <c r="AO236" s="11"/>
      <c r="AP236" s="11"/>
      <c r="AQ236" s="11"/>
      <c r="AR236"/>
      <c r="AS236"/>
      <c r="AT236"/>
      <c r="AU236"/>
      <c r="AW236"/>
      <c r="BA236"/>
      <c r="BE236"/>
      <c r="BI236"/>
    </row>
    <row r="237" spans="2:61" x14ac:dyDescent="0.2">
      <c r="B237" s="11"/>
      <c r="C237" s="11"/>
      <c r="D237" s="11"/>
      <c r="E237" s="20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L237" s="11"/>
      <c r="AM237" s="11"/>
      <c r="AN237" s="11"/>
      <c r="AO237" s="11"/>
      <c r="AP237" s="11"/>
      <c r="AQ237" s="11"/>
      <c r="AR237"/>
      <c r="AS237"/>
      <c r="AT237"/>
      <c r="AU237"/>
      <c r="AW237"/>
      <c r="BA237"/>
      <c r="BE237"/>
      <c r="BI237"/>
    </row>
    <row r="238" spans="2:61" x14ac:dyDescent="0.2">
      <c r="B238" s="11"/>
      <c r="C238" s="11"/>
      <c r="D238" s="11"/>
      <c r="E238" s="20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L238" s="11"/>
      <c r="AM238" s="11"/>
      <c r="AN238" s="11"/>
      <c r="AO238" s="11"/>
      <c r="AP238" s="11"/>
      <c r="AQ238" s="11"/>
      <c r="AR238"/>
      <c r="AS238"/>
      <c r="AT238"/>
      <c r="AU238"/>
      <c r="AW238"/>
      <c r="BA238"/>
      <c r="BE238"/>
      <c r="BI238"/>
    </row>
    <row r="239" spans="2:61" x14ac:dyDescent="0.2">
      <c r="B239" s="11"/>
      <c r="C239" s="11"/>
      <c r="D239" s="11"/>
      <c r="E239" s="20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L239" s="11"/>
      <c r="AM239" s="11"/>
      <c r="AN239" s="11"/>
      <c r="AO239" s="11"/>
      <c r="AP239" s="11"/>
      <c r="AQ239" s="11"/>
      <c r="AR239"/>
      <c r="AS239"/>
      <c r="AT239"/>
      <c r="AU239"/>
      <c r="AW239"/>
      <c r="BA239"/>
      <c r="BE239"/>
      <c r="BI2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K24" sqref="K24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27" t="s">
        <v>133</v>
      </c>
      <c r="G1" s="28" t="s">
        <v>134</v>
      </c>
      <c r="H1" s="28" t="s">
        <v>135</v>
      </c>
      <c r="I1" s="28" t="s">
        <v>136</v>
      </c>
    </row>
    <row r="2" spans="1:9" x14ac:dyDescent="0.2">
      <c r="A2" s="5" t="s">
        <v>77</v>
      </c>
      <c r="B2" s="5" t="s">
        <v>138</v>
      </c>
      <c r="C2" s="6" t="s">
        <v>76</v>
      </c>
      <c r="D2" s="6">
        <v>50</v>
      </c>
      <c r="E2" s="6" t="s">
        <v>137</v>
      </c>
      <c r="F2" s="35">
        <v>4</v>
      </c>
      <c r="G2" s="34">
        <v>22</v>
      </c>
      <c r="H2" s="34">
        <v>0.37140000000000001</v>
      </c>
      <c r="I2" s="34">
        <v>0.99016999999999999</v>
      </c>
    </row>
    <row r="3" spans="1:9" x14ac:dyDescent="0.2">
      <c r="A3" s="5" t="s">
        <v>78</v>
      </c>
      <c r="B3" s="5" t="s">
        <v>138</v>
      </c>
      <c r="C3" s="6" t="s">
        <v>76</v>
      </c>
      <c r="D3" s="6">
        <v>50</v>
      </c>
      <c r="E3" s="6" t="s">
        <v>137</v>
      </c>
      <c r="F3" s="35">
        <v>4</v>
      </c>
      <c r="G3" s="34">
        <v>22</v>
      </c>
      <c r="H3" s="34">
        <v>0.36770000000000003</v>
      </c>
      <c r="I3" s="34">
        <v>0.99253000000000002</v>
      </c>
    </row>
    <row r="4" spans="1:9" x14ac:dyDescent="0.2">
      <c r="A4" s="5" t="s">
        <v>79</v>
      </c>
      <c r="B4" s="5" t="s">
        <v>138</v>
      </c>
      <c r="C4" s="6" t="s">
        <v>76</v>
      </c>
      <c r="D4" s="6">
        <v>50</v>
      </c>
      <c r="E4" s="6" t="s">
        <v>137</v>
      </c>
      <c r="F4" s="35">
        <v>4</v>
      </c>
      <c r="G4" s="34">
        <v>22</v>
      </c>
      <c r="H4" s="34">
        <v>0.37540000000000001</v>
      </c>
      <c r="I4" s="34">
        <v>0.98660000000000003</v>
      </c>
    </row>
    <row r="5" spans="1:9" x14ac:dyDescent="0.2">
      <c r="A5" s="30" t="s">
        <v>81</v>
      </c>
      <c r="B5" s="30" t="s">
        <v>139</v>
      </c>
      <c r="C5" s="31" t="s">
        <v>76</v>
      </c>
      <c r="D5" s="31">
        <v>100</v>
      </c>
      <c r="E5" s="31" t="s">
        <v>137</v>
      </c>
      <c r="F5" s="32">
        <v>4</v>
      </c>
      <c r="G5" s="33">
        <v>20</v>
      </c>
      <c r="H5" s="33">
        <v>0.4012</v>
      </c>
      <c r="I5" s="33">
        <v>0.99533000000000005</v>
      </c>
    </row>
    <row r="6" spans="1:9" x14ac:dyDescent="0.2">
      <c r="A6" s="30" t="s">
        <v>82</v>
      </c>
      <c r="B6" s="30" t="s">
        <v>139</v>
      </c>
      <c r="C6" s="31" t="s">
        <v>76</v>
      </c>
      <c r="D6" s="31">
        <v>100</v>
      </c>
      <c r="E6" s="31" t="s">
        <v>137</v>
      </c>
      <c r="F6" s="32">
        <v>4</v>
      </c>
      <c r="G6" s="33">
        <v>20</v>
      </c>
      <c r="H6" s="33">
        <v>0.4012</v>
      </c>
      <c r="I6" s="33">
        <v>0.99546999999999997</v>
      </c>
    </row>
    <row r="7" spans="1:9" x14ac:dyDescent="0.2">
      <c r="A7" s="30" t="s">
        <v>83</v>
      </c>
      <c r="B7" s="30" t="s">
        <v>139</v>
      </c>
      <c r="C7" s="31" t="s">
        <v>76</v>
      </c>
      <c r="D7" s="31">
        <v>100</v>
      </c>
      <c r="E7" s="31" t="s">
        <v>137</v>
      </c>
      <c r="F7" s="32">
        <v>4</v>
      </c>
      <c r="G7" s="33">
        <v>20</v>
      </c>
      <c r="H7" s="33">
        <v>0.40160000000000001</v>
      </c>
      <c r="I7" s="33">
        <v>0.99451000000000001</v>
      </c>
    </row>
    <row r="8" spans="1:9" x14ac:dyDescent="0.2">
      <c r="A8" s="5" t="s">
        <v>84</v>
      </c>
      <c r="B8" s="5" t="s">
        <v>140</v>
      </c>
      <c r="C8" s="6" t="s">
        <v>80</v>
      </c>
      <c r="D8" s="6">
        <v>100</v>
      </c>
      <c r="E8" s="6" t="s">
        <v>137</v>
      </c>
      <c r="F8" s="35">
        <v>4</v>
      </c>
      <c r="G8" s="34">
        <v>16</v>
      </c>
      <c r="H8" s="34">
        <v>0.46839999999999998</v>
      </c>
      <c r="I8" s="34">
        <v>0.99380999999999997</v>
      </c>
    </row>
    <row r="9" spans="1:9" x14ac:dyDescent="0.2">
      <c r="A9" s="5" t="s">
        <v>85</v>
      </c>
      <c r="B9" s="5" t="s">
        <v>140</v>
      </c>
      <c r="C9" s="6" t="s">
        <v>80</v>
      </c>
      <c r="D9" s="6">
        <v>100</v>
      </c>
      <c r="E9" s="6" t="s">
        <v>137</v>
      </c>
      <c r="F9" s="35">
        <v>4</v>
      </c>
      <c r="G9" s="34">
        <v>16</v>
      </c>
      <c r="H9" s="34">
        <v>0.4602</v>
      </c>
      <c r="I9" s="34">
        <v>0.99356</v>
      </c>
    </row>
    <row r="10" spans="1:9" x14ac:dyDescent="0.2">
      <c r="A10" s="5" t="s">
        <v>86</v>
      </c>
      <c r="B10" s="5" t="s">
        <v>140</v>
      </c>
      <c r="C10" s="6" t="s">
        <v>80</v>
      </c>
      <c r="D10" s="6">
        <v>100</v>
      </c>
      <c r="E10" s="6" t="s">
        <v>137</v>
      </c>
      <c r="F10" s="35">
        <v>4</v>
      </c>
      <c r="G10" s="34">
        <v>16</v>
      </c>
      <c r="H10" s="34">
        <v>0.502</v>
      </c>
      <c r="I10" s="34">
        <v>0.99134</v>
      </c>
    </row>
    <row r="11" spans="1:9" x14ac:dyDescent="0.2">
      <c r="A11" s="30" t="s">
        <v>87</v>
      </c>
      <c r="B11" s="30" t="s">
        <v>141</v>
      </c>
      <c r="C11" s="31" t="s">
        <v>80</v>
      </c>
      <c r="D11" s="31">
        <v>50</v>
      </c>
      <c r="E11" s="31" t="s">
        <v>137</v>
      </c>
      <c r="F11" s="32">
        <v>2</v>
      </c>
      <c r="G11" s="33">
        <v>14</v>
      </c>
      <c r="H11" s="33">
        <v>0.46110000000000001</v>
      </c>
      <c r="I11" s="33">
        <v>0.99511000000000005</v>
      </c>
    </row>
    <row r="12" spans="1:9" x14ac:dyDescent="0.2">
      <c r="A12" s="30" t="s">
        <v>88</v>
      </c>
      <c r="B12" s="30" t="s">
        <v>141</v>
      </c>
      <c r="C12" s="31" t="s">
        <v>80</v>
      </c>
      <c r="D12" s="31">
        <v>50</v>
      </c>
      <c r="E12" s="31" t="s">
        <v>137</v>
      </c>
      <c r="F12" s="32">
        <v>2</v>
      </c>
      <c r="G12" s="33">
        <v>14</v>
      </c>
      <c r="H12" s="33">
        <v>0.45579999999999998</v>
      </c>
      <c r="I12" s="33">
        <v>0.99634999999999996</v>
      </c>
    </row>
    <row r="13" spans="1:9" x14ac:dyDescent="0.2">
      <c r="A13" s="30" t="s">
        <v>89</v>
      </c>
      <c r="B13" s="30" t="s">
        <v>141</v>
      </c>
      <c r="C13" s="31" t="s">
        <v>80</v>
      </c>
      <c r="D13" s="31">
        <v>50</v>
      </c>
      <c r="E13" s="31" t="s">
        <v>137</v>
      </c>
      <c r="F13" s="32">
        <v>2</v>
      </c>
      <c r="G13" s="33">
        <v>14</v>
      </c>
      <c r="H13" s="33">
        <v>0.4501</v>
      </c>
      <c r="I13" s="33">
        <v>0.99060999999999999</v>
      </c>
    </row>
    <row r="14" spans="1:9" x14ac:dyDescent="0.2">
      <c r="A14" s="19" t="s">
        <v>90</v>
      </c>
      <c r="B14" s="19" t="s">
        <v>142</v>
      </c>
      <c r="C14" s="11" t="s">
        <v>76</v>
      </c>
      <c r="D14" s="11">
        <v>50</v>
      </c>
      <c r="E14" s="11" t="s">
        <v>143</v>
      </c>
      <c r="F14" s="29">
        <v>2</v>
      </c>
      <c r="G14" s="34">
        <v>18</v>
      </c>
      <c r="H14" s="34">
        <v>0.39050000000000001</v>
      </c>
      <c r="I14" s="34">
        <v>0.98917999999999995</v>
      </c>
    </row>
    <row r="15" spans="1:9" x14ac:dyDescent="0.2">
      <c r="A15" s="19" t="s">
        <v>91</v>
      </c>
      <c r="B15" s="19" t="s">
        <v>142</v>
      </c>
      <c r="C15" s="11" t="s">
        <v>76</v>
      </c>
      <c r="D15" s="11">
        <v>50</v>
      </c>
      <c r="E15" s="11" t="s">
        <v>143</v>
      </c>
      <c r="F15" s="29">
        <v>2</v>
      </c>
      <c r="G15" s="34">
        <v>18</v>
      </c>
      <c r="H15" s="34">
        <v>0.40799999999999997</v>
      </c>
      <c r="I15" s="34">
        <v>0.98887999999999998</v>
      </c>
    </row>
    <row r="16" spans="1:9" x14ac:dyDescent="0.2">
      <c r="A16" s="19" t="s">
        <v>92</v>
      </c>
      <c r="B16" s="19" t="s">
        <v>142</v>
      </c>
      <c r="C16" s="11" t="s">
        <v>76</v>
      </c>
      <c r="D16" s="11">
        <v>50</v>
      </c>
      <c r="E16" s="11" t="s">
        <v>143</v>
      </c>
      <c r="F16" s="29">
        <v>2</v>
      </c>
      <c r="G16" s="34">
        <v>18</v>
      </c>
      <c r="H16" s="34">
        <v>0.40579999999999999</v>
      </c>
      <c r="I16" s="34">
        <v>0.98545000000000005</v>
      </c>
    </row>
    <row r="17" spans="1:9" x14ac:dyDescent="0.2">
      <c r="A17" s="36" t="s">
        <v>93</v>
      </c>
      <c r="B17" s="36" t="s">
        <v>144</v>
      </c>
      <c r="C17" s="31" t="s">
        <v>76</v>
      </c>
      <c r="D17" s="31">
        <v>100</v>
      </c>
      <c r="E17" s="31" t="s">
        <v>143</v>
      </c>
      <c r="F17" s="32">
        <v>2</v>
      </c>
      <c r="G17" s="33">
        <v>16</v>
      </c>
      <c r="H17" s="33">
        <v>0.42009999999999997</v>
      </c>
      <c r="I17" s="33">
        <v>0.99241999999999997</v>
      </c>
    </row>
    <row r="18" spans="1:9" x14ac:dyDescent="0.2">
      <c r="A18" s="36" t="s">
        <v>94</v>
      </c>
      <c r="B18" s="36" t="s">
        <v>144</v>
      </c>
      <c r="C18" s="31" t="s">
        <v>76</v>
      </c>
      <c r="D18" s="31">
        <v>100</v>
      </c>
      <c r="E18" s="31" t="s">
        <v>143</v>
      </c>
      <c r="F18" s="32">
        <v>2</v>
      </c>
      <c r="G18" s="33">
        <v>16</v>
      </c>
      <c r="H18" s="33">
        <v>0.43440000000000001</v>
      </c>
      <c r="I18" s="33">
        <v>0.99434999999999996</v>
      </c>
    </row>
    <row r="19" spans="1:9" x14ac:dyDescent="0.2">
      <c r="A19" s="36" t="s">
        <v>95</v>
      </c>
      <c r="B19" s="36" t="s">
        <v>144</v>
      </c>
      <c r="C19" s="31" t="s">
        <v>76</v>
      </c>
      <c r="D19" s="31">
        <v>100</v>
      </c>
      <c r="E19" s="31" t="s">
        <v>143</v>
      </c>
      <c r="F19" s="32">
        <v>2</v>
      </c>
      <c r="G19" s="33">
        <v>16</v>
      </c>
      <c r="H19" s="33">
        <v>0.43380000000000002</v>
      </c>
      <c r="I19" s="33">
        <v>0.99324000000000001</v>
      </c>
    </row>
    <row r="20" spans="1:9" x14ac:dyDescent="0.2">
      <c r="A20" s="36" t="s">
        <v>96</v>
      </c>
      <c r="B20" s="36" t="s">
        <v>145</v>
      </c>
      <c r="C20" s="31" t="s">
        <v>80</v>
      </c>
      <c r="D20" s="31">
        <v>50</v>
      </c>
      <c r="E20" s="31" t="s">
        <v>143</v>
      </c>
      <c r="F20" s="32">
        <v>4</v>
      </c>
      <c r="G20" s="33">
        <v>14</v>
      </c>
      <c r="H20" s="33">
        <v>0.47749999999999998</v>
      </c>
      <c r="I20" s="33">
        <v>0.99136999999999997</v>
      </c>
    </row>
    <row r="21" spans="1:9" x14ac:dyDescent="0.2">
      <c r="A21" s="36" t="s">
        <v>97</v>
      </c>
      <c r="B21" s="36" t="s">
        <v>145</v>
      </c>
      <c r="C21" s="31" t="s">
        <v>80</v>
      </c>
      <c r="D21" s="31">
        <v>50</v>
      </c>
      <c r="E21" s="31" t="s">
        <v>143</v>
      </c>
      <c r="F21" s="32">
        <v>4</v>
      </c>
      <c r="G21" s="33">
        <v>14</v>
      </c>
      <c r="H21" s="33">
        <v>0.44069999999999998</v>
      </c>
      <c r="I21" s="33">
        <v>0.99368000000000001</v>
      </c>
    </row>
    <row r="22" spans="1:9" x14ac:dyDescent="0.2">
      <c r="A22" s="36" t="s">
        <v>98</v>
      </c>
      <c r="B22" s="36" t="s">
        <v>145</v>
      </c>
      <c r="C22" s="31" t="s">
        <v>80</v>
      </c>
      <c r="D22" s="31">
        <v>50</v>
      </c>
      <c r="E22" s="31" t="s">
        <v>143</v>
      </c>
      <c r="F22" s="32">
        <v>4</v>
      </c>
      <c r="G22" s="33">
        <v>14</v>
      </c>
      <c r="H22" s="33">
        <v>0.48170000000000002</v>
      </c>
      <c r="I22" s="33">
        <v>0.99453000000000003</v>
      </c>
    </row>
    <row r="23" spans="1:9" x14ac:dyDescent="0.2">
      <c r="A23" s="19" t="s">
        <v>99</v>
      </c>
      <c r="B23" s="19" t="s">
        <v>146</v>
      </c>
      <c r="C23" s="11" t="s">
        <v>80</v>
      </c>
      <c r="D23" s="11">
        <v>100</v>
      </c>
      <c r="E23" s="11" t="s">
        <v>143</v>
      </c>
      <c r="F23" s="35">
        <v>4</v>
      </c>
      <c r="G23" s="34">
        <v>14</v>
      </c>
      <c r="H23" s="34">
        <v>0.4909</v>
      </c>
      <c r="I23" s="34">
        <v>0.99212999999999996</v>
      </c>
    </row>
    <row r="24" spans="1:9" x14ac:dyDescent="0.2">
      <c r="A24" s="19" t="s">
        <v>100</v>
      </c>
      <c r="B24" s="19" t="s">
        <v>146</v>
      </c>
      <c r="C24" s="11" t="s">
        <v>80</v>
      </c>
      <c r="D24" s="11">
        <v>100</v>
      </c>
      <c r="E24" s="11" t="s">
        <v>143</v>
      </c>
      <c r="F24" s="35">
        <v>4</v>
      </c>
      <c r="G24" s="34">
        <v>14</v>
      </c>
      <c r="H24" s="34">
        <v>0.49719999999999998</v>
      </c>
      <c r="I24" s="34">
        <v>0.99233000000000005</v>
      </c>
    </row>
    <row r="25" spans="1:9" x14ac:dyDescent="0.2">
      <c r="A25" s="19" t="s">
        <v>101</v>
      </c>
      <c r="B25" s="19" t="s">
        <v>146</v>
      </c>
      <c r="C25" s="11" t="s">
        <v>80</v>
      </c>
      <c r="D25" s="11">
        <v>100</v>
      </c>
      <c r="E25" s="11" t="s">
        <v>143</v>
      </c>
      <c r="F25" s="35">
        <v>4</v>
      </c>
      <c r="G25" s="34">
        <v>14</v>
      </c>
      <c r="H25" s="34">
        <v>0.50219999999999998</v>
      </c>
      <c r="I25" s="34">
        <v>0.99253000000000002</v>
      </c>
    </row>
    <row r="26" spans="1:9" x14ac:dyDescent="0.2">
      <c r="A26" s="37" t="s">
        <v>102</v>
      </c>
      <c r="B26" s="37" t="s">
        <v>147</v>
      </c>
      <c r="C26" s="31" t="s">
        <v>76</v>
      </c>
      <c r="D26" s="31">
        <v>50</v>
      </c>
      <c r="E26" s="31" t="s">
        <v>148</v>
      </c>
      <c r="F26" s="32">
        <v>10</v>
      </c>
      <c r="G26" s="33">
        <v>20</v>
      </c>
      <c r="H26" s="33">
        <v>0.39460000000000001</v>
      </c>
      <c r="I26" s="33">
        <v>0.99050000000000005</v>
      </c>
    </row>
    <row r="27" spans="1:9" x14ac:dyDescent="0.2">
      <c r="A27" s="37" t="s">
        <v>103</v>
      </c>
      <c r="B27" s="37" t="s">
        <v>147</v>
      </c>
      <c r="C27" s="31" t="s">
        <v>76</v>
      </c>
      <c r="D27" s="31">
        <v>50</v>
      </c>
      <c r="E27" s="31" t="s">
        <v>148</v>
      </c>
      <c r="F27" s="32">
        <v>14</v>
      </c>
      <c r="G27" s="33">
        <v>26</v>
      </c>
      <c r="H27" s="33">
        <v>0.25600000000000001</v>
      </c>
      <c r="I27" s="33">
        <v>0.99546999999999997</v>
      </c>
    </row>
    <row r="28" spans="1:9" x14ac:dyDescent="0.2">
      <c r="A28" s="37" t="s">
        <v>104</v>
      </c>
      <c r="B28" s="37" t="s">
        <v>147</v>
      </c>
      <c r="C28" s="31" t="s">
        <v>76</v>
      </c>
      <c r="D28" s="31">
        <v>50</v>
      </c>
      <c r="E28" s="31" t="s">
        <v>148</v>
      </c>
      <c r="F28" s="32">
        <v>14</v>
      </c>
      <c r="G28" s="33">
        <v>26</v>
      </c>
      <c r="H28" s="33">
        <v>0.28249999999999997</v>
      </c>
      <c r="I28" s="33">
        <v>0.99473999999999996</v>
      </c>
    </row>
    <row r="29" spans="1:9" x14ac:dyDescent="0.2">
      <c r="A29" s="24" t="s">
        <v>105</v>
      </c>
      <c r="B29" s="24" t="s">
        <v>149</v>
      </c>
      <c r="C29" s="11" t="s">
        <v>76</v>
      </c>
      <c r="D29" s="11">
        <v>100</v>
      </c>
      <c r="E29" s="11" t="s">
        <v>148</v>
      </c>
      <c r="F29" s="35">
        <v>14</v>
      </c>
      <c r="G29" s="34">
        <v>18</v>
      </c>
      <c r="H29" s="34">
        <v>0.26379999999999998</v>
      </c>
      <c r="I29" s="34">
        <v>0.99104999999999999</v>
      </c>
    </row>
    <row r="30" spans="1:9" x14ac:dyDescent="0.2">
      <c r="A30" s="24" t="s">
        <v>106</v>
      </c>
      <c r="B30" s="24" t="s">
        <v>149</v>
      </c>
      <c r="C30" s="11" t="s">
        <v>76</v>
      </c>
      <c r="D30" s="11">
        <v>100</v>
      </c>
      <c r="E30" s="11" t="s">
        <v>148</v>
      </c>
      <c r="F30" s="35">
        <v>22</v>
      </c>
      <c r="G30" s="34">
        <v>31</v>
      </c>
      <c r="H30" s="34">
        <v>0.25850000000000001</v>
      </c>
      <c r="I30" s="34">
        <v>0.99868999999999997</v>
      </c>
    </row>
    <row r="31" spans="1:9" x14ac:dyDescent="0.2">
      <c r="A31" s="24" t="s">
        <v>107</v>
      </c>
      <c r="B31" s="24" t="s">
        <v>149</v>
      </c>
      <c r="C31" s="11" t="s">
        <v>76</v>
      </c>
      <c r="D31" s="11">
        <v>100</v>
      </c>
      <c r="E31" s="11" t="s">
        <v>148</v>
      </c>
      <c r="F31" s="35">
        <v>22</v>
      </c>
      <c r="G31" s="34">
        <v>31</v>
      </c>
      <c r="H31" s="34">
        <v>0.18779999999999999</v>
      </c>
      <c r="I31" s="34">
        <v>0.99831999999999999</v>
      </c>
    </row>
    <row r="32" spans="1:9" x14ac:dyDescent="0.2">
      <c r="A32" s="37" t="s">
        <v>108</v>
      </c>
      <c r="B32" s="37" t="s">
        <v>150</v>
      </c>
      <c r="C32" s="31" t="s">
        <v>80</v>
      </c>
      <c r="D32" s="31">
        <v>50</v>
      </c>
      <c r="E32" s="31" t="s">
        <v>148</v>
      </c>
      <c r="F32" s="32">
        <v>14</v>
      </c>
      <c r="G32" s="33">
        <v>26</v>
      </c>
      <c r="H32" s="33">
        <v>0.4</v>
      </c>
      <c r="I32" s="33">
        <v>0.99567000000000005</v>
      </c>
    </row>
    <row r="33" spans="1:9" x14ac:dyDescent="0.2">
      <c r="A33" s="37" t="s">
        <v>109</v>
      </c>
      <c r="B33" s="37" t="s">
        <v>150</v>
      </c>
      <c r="C33" s="31" t="s">
        <v>80</v>
      </c>
      <c r="D33" s="31">
        <v>50</v>
      </c>
      <c r="E33" s="31" t="s">
        <v>148</v>
      </c>
      <c r="F33" s="32">
        <v>10</v>
      </c>
      <c r="G33" s="33">
        <v>24</v>
      </c>
      <c r="H33" s="33">
        <v>0.39639999999999997</v>
      </c>
      <c r="I33" s="33">
        <v>0.96852000000000005</v>
      </c>
    </row>
    <row r="34" spans="1:9" x14ac:dyDescent="0.2">
      <c r="A34" s="37" t="s">
        <v>110</v>
      </c>
      <c r="B34" s="37" t="s">
        <v>150</v>
      </c>
      <c r="C34" s="31" t="s">
        <v>80</v>
      </c>
      <c r="D34" s="31">
        <v>50</v>
      </c>
      <c r="E34" s="31" t="s">
        <v>148</v>
      </c>
      <c r="F34" s="32">
        <v>14</v>
      </c>
      <c r="G34" s="33">
        <v>26</v>
      </c>
      <c r="H34" s="33">
        <v>0.41289999999999999</v>
      </c>
      <c r="I34" s="33">
        <v>0.98782000000000003</v>
      </c>
    </row>
    <row r="35" spans="1:9" x14ac:dyDescent="0.2">
      <c r="A35" s="38" t="s">
        <v>111</v>
      </c>
      <c r="B35" s="38" t="s">
        <v>151</v>
      </c>
      <c r="C35" s="6" t="s">
        <v>80</v>
      </c>
      <c r="D35" s="6">
        <v>100</v>
      </c>
      <c r="E35" s="6" t="s">
        <v>148</v>
      </c>
      <c r="F35" s="29">
        <v>14</v>
      </c>
      <c r="G35" s="34">
        <v>24</v>
      </c>
      <c r="H35" s="34">
        <v>0.38290000000000002</v>
      </c>
      <c r="I35" s="34">
        <v>0.99950000000000006</v>
      </c>
    </row>
    <row r="36" spans="1:9" x14ac:dyDescent="0.2">
      <c r="A36" s="38" t="s">
        <v>112</v>
      </c>
      <c r="B36" s="38" t="s">
        <v>151</v>
      </c>
      <c r="C36" s="6" t="s">
        <v>80</v>
      </c>
      <c r="D36" s="6">
        <v>100</v>
      </c>
      <c r="E36" s="6" t="s">
        <v>148</v>
      </c>
      <c r="F36" s="35">
        <v>14</v>
      </c>
      <c r="G36" s="34">
        <v>24</v>
      </c>
      <c r="H36" s="34">
        <v>0.37380000000000002</v>
      </c>
      <c r="I36" s="34">
        <v>0.99819999999999998</v>
      </c>
    </row>
    <row r="37" spans="1:9" x14ac:dyDescent="0.2">
      <c r="A37" s="38" t="s">
        <v>113</v>
      </c>
      <c r="B37" s="38" t="s">
        <v>151</v>
      </c>
      <c r="C37" s="6" t="s">
        <v>80</v>
      </c>
      <c r="D37" s="6">
        <v>100</v>
      </c>
      <c r="E37" s="6" t="s">
        <v>148</v>
      </c>
      <c r="F37" s="29">
        <v>14</v>
      </c>
      <c r="G37" s="34">
        <v>24</v>
      </c>
      <c r="H37" s="34">
        <v>0.32950000000000002</v>
      </c>
      <c r="I37" s="34">
        <v>0.99814999999999998</v>
      </c>
    </row>
    <row r="38" spans="1:9" x14ac:dyDescent="0.2">
      <c r="A38" s="30" t="s">
        <v>114</v>
      </c>
      <c r="B38" s="30" t="s">
        <v>152</v>
      </c>
      <c r="C38" s="31" t="s">
        <v>76</v>
      </c>
      <c r="D38" s="31">
        <v>10</v>
      </c>
      <c r="E38" s="31" t="s">
        <v>137</v>
      </c>
      <c r="F38" s="32">
        <v>4</v>
      </c>
      <c r="G38" s="33">
        <v>16</v>
      </c>
      <c r="H38" s="33">
        <v>0.42070000000000002</v>
      </c>
      <c r="I38" s="33">
        <v>0.99058000000000002</v>
      </c>
    </row>
    <row r="39" spans="1:9" x14ac:dyDescent="0.2">
      <c r="A39" s="30" t="s">
        <v>115</v>
      </c>
      <c r="B39" s="30" t="s">
        <v>152</v>
      </c>
      <c r="C39" s="31" t="s">
        <v>76</v>
      </c>
      <c r="D39" s="31">
        <v>10</v>
      </c>
      <c r="E39" s="31" t="s">
        <v>137</v>
      </c>
      <c r="F39" s="32">
        <v>4</v>
      </c>
      <c r="G39" s="33">
        <v>16</v>
      </c>
      <c r="H39" s="33">
        <v>0.42630000000000001</v>
      </c>
      <c r="I39" s="33">
        <v>0.99453999999999998</v>
      </c>
    </row>
    <row r="40" spans="1:9" x14ac:dyDescent="0.2">
      <c r="A40" s="30" t="s">
        <v>116</v>
      </c>
      <c r="B40" s="30" t="s">
        <v>152</v>
      </c>
      <c r="C40" s="31" t="s">
        <v>76</v>
      </c>
      <c r="D40" s="31">
        <v>10</v>
      </c>
      <c r="E40" s="31" t="s">
        <v>137</v>
      </c>
      <c r="F40" s="32">
        <v>4</v>
      </c>
      <c r="G40" s="33">
        <v>16</v>
      </c>
      <c r="H40" s="33">
        <v>0.41849999999999998</v>
      </c>
      <c r="I40" s="33">
        <v>0.99287999999999998</v>
      </c>
    </row>
    <row r="41" spans="1:9" x14ac:dyDescent="0.2">
      <c r="A41" s="19" t="s">
        <v>117</v>
      </c>
      <c r="B41" s="19" t="s">
        <v>153</v>
      </c>
      <c r="C41" s="11" t="s">
        <v>76</v>
      </c>
      <c r="D41" s="11">
        <v>10</v>
      </c>
      <c r="E41" s="11" t="s">
        <v>143</v>
      </c>
      <c r="F41" s="29">
        <v>4</v>
      </c>
      <c r="G41" s="34">
        <v>22</v>
      </c>
      <c r="H41" s="34">
        <v>0.36940000000000001</v>
      </c>
      <c r="I41" s="34">
        <v>0.99236999999999997</v>
      </c>
    </row>
    <row r="42" spans="1:9" x14ac:dyDescent="0.2">
      <c r="A42" s="19" t="s">
        <v>118</v>
      </c>
      <c r="B42" s="19" t="s">
        <v>153</v>
      </c>
      <c r="C42" s="11" t="s">
        <v>76</v>
      </c>
      <c r="D42" s="11">
        <v>10</v>
      </c>
      <c r="E42" s="11" t="s">
        <v>143</v>
      </c>
      <c r="F42" s="29">
        <v>4</v>
      </c>
      <c r="G42" s="34">
        <v>22</v>
      </c>
      <c r="H42" s="34">
        <v>0.35899999999999999</v>
      </c>
      <c r="I42" s="34">
        <v>0.99287000000000003</v>
      </c>
    </row>
    <row r="43" spans="1:9" x14ac:dyDescent="0.2">
      <c r="A43" s="19" t="s">
        <v>119</v>
      </c>
      <c r="B43" s="19" t="s">
        <v>153</v>
      </c>
      <c r="C43" s="11" t="s">
        <v>76</v>
      </c>
      <c r="D43" s="11">
        <v>10</v>
      </c>
      <c r="E43" s="11" t="s">
        <v>143</v>
      </c>
      <c r="F43" s="29">
        <v>4</v>
      </c>
      <c r="G43" s="34">
        <v>22</v>
      </c>
      <c r="H43" s="34">
        <v>0.35899999999999999</v>
      </c>
      <c r="I43" s="34">
        <v>0.99156999999999995</v>
      </c>
    </row>
    <row r="44" spans="1:9" x14ac:dyDescent="0.2">
      <c r="A44" s="30" t="s">
        <v>123</v>
      </c>
      <c r="B44" s="30" t="s">
        <v>154</v>
      </c>
      <c r="C44" s="31" t="s">
        <v>80</v>
      </c>
      <c r="D44" s="31">
        <v>10</v>
      </c>
      <c r="E44" s="31" t="s">
        <v>137</v>
      </c>
      <c r="F44" s="32">
        <v>2</v>
      </c>
      <c r="G44" s="33">
        <v>14</v>
      </c>
      <c r="H44" s="33">
        <v>0.47460000000000002</v>
      </c>
      <c r="I44" s="33">
        <v>0.99060000000000004</v>
      </c>
    </row>
    <row r="45" spans="1:9" x14ac:dyDescent="0.2">
      <c r="A45" s="30" t="s">
        <v>124</v>
      </c>
      <c r="B45" s="30" t="s">
        <v>154</v>
      </c>
      <c r="C45" s="31" t="s">
        <v>80</v>
      </c>
      <c r="D45" s="31">
        <v>10</v>
      </c>
      <c r="E45" s="31" t="s">
        <v>137</v>
      </c>
      <c r="F45" s="32">
        <v>2</v>
      </c>
      <c r="G45" s="33">
        <v>14</v>
      </c>
      <c r="H45" s="33">
        <v>0.46750000000000003</v>
      </c>
      <c r="I45" s="33">
        <v>0.99233000000000005</v>
      </c>
    </row>
    <row r="46" spans="1:9" x14ac:dyDescent="0.2">
      <c r="A46" s="30" t="s">
        <v>125</v>
      </c>
      <c r="B46" s="30" t="s">
        <v>154</v>
      </c>
      <c r="C46" s="31" t="s">
        <v>80</v>
      </c>
      <c r="D46" s="31">
        <v>10</v>
      </c>
      <c r="E46" s="31" t="s">
        <v>137</v>
      </c>
      <c r="F46" s="32">
        <v>2</v>
      </c>
      <c r="G46" s="33">
        <v>14</v>
      </c>
      <c r="H46" s="33">
        <v>0.48</v>
      </c>
      <c r="I46" s="33">
        <v>0.99173</v>
      </c>
    </row>
    <row r="47" spans="1:9" x14ac:dyDescent="0.2">
      <c r="A47" s="39" t="s">
        <v>126</v>
      </c>
      <c r="B47" s="39" t="s">
        <v>155</v>
      </c>
      <c r="C47" s="6" t="s">
        <v>80</v>
      </c>
      <c r="D47" s="6">
        <v>10</v>
      </c>
      <c r="E47" s="6" t="s">
        <v>143</v>
      </c>
      <c r="F47" s="35">
        <v>2</v>
      </c>
      <c r="G47" s="34">
        <v>14</v>
      </c>
      <c r="H47" s="34">
        <v>0.48749999999999999</v>
      </c>
      <c r="I47" s="34">
        <v>0.98899999999999999</v>
      </c>
    </row>
    <row r="48" spans="1:9" x14ac:dyDescent="0.2">
      <c r="A48" s="39" t="s">
        <v>127</v>
      </c>
      <c r="B48" s="39" t="s">
        <v>155</v>
      </c>
      <c r="C48" s="6" t="s">
        <v>80</v>
      </c>
      <c r="D48" s="6">
        <v>10</v>
      </c>
      <c r="E48" s="6" t="s">
        <v>143</v>
      </c>
      <c r="F48" s="35">
        <v>2</v>
      </c>
      <c r="G48" s="34">
        <v>14</v>
      </c>
      <c r="H48" s="34">
        <v>0.4592</v>
      </c>
      <c r="I48" s="34">
        <v>0.98555000000000004</v>
      </c>
    </row>
    <row r="49" spans="1:9" x14ac:dyDescent="0.2">
      <c r="A49" s="39" t="s">
        <v>128</v>
      </c>
      <c r="B49" s="39" t="s">
        <v>155</v>
      </c>
      <c r="C49" s="6" t="s">
        <v>80</v>
      </c>
      <c r="D49" s="6">
        <v>10</v>
      </c>
      <c r="E49" s="6" t="s">
        <v>143</v>
      </c>
      <c r="F49" s="35">
        <v>2</v>
      </c>
      <c r="G49" s="34">
        <v>14</v>
      </c>
      <c r="H49" s="34">
        <v>0.47120000000000001</v>
      </c>
      <c r="I49" s="34">
        <v>0.98304000000000002</v>
      </c>
    </row>
    <row r="50" spans="1:9" x14ac:dyDescent="0.2">
      <c r="A50" s="39" t="s">
        <v>120</v>
      </c>
      <c r="B50" s="39" t="s">
        <v>156</v>
      </c>
      <c r="C50" s="6" t="s">
        <v>76</v>
      </c>
      <c r="D50" s="6">
        <v>10</v>
      </c>
      <c r="E50" s="6" t="s">
        <v>148</v>
      </c>
      <c r="F50" s="29">
        <v>4</v>
      </c>
      <c r="G50" s="34">
        <v>22</v>
      </c>
      <c r="H50" s="34">
        <v>2.9399999999999999E-2</v>
      </c>
      <c r="I50" s="34">
        <v>0.52431000000000005</v>
      </c>
    </row>
    <row r="51" spans="1:9" x14ac:dyDescent="0.2">
      <c r="A51" s="39" t="s">
        <v>121</v>
      </c>
      <c r="B51" s="39" t="s">
        <v>156</v>
      </c>
      <c r="C51" s="6" t="s">
        <v>76</v>
      </c>
      <c r="D51" s="6">
        <v>10</v>
      </c>
      <c r="E51" s="6" t="s">
        <v>148</v>
      </c>
      <c r="F51" s="29">
        <v>4</v>
      </c>
      <c r="G51" s="34">
        <v>22</v>
      </c>
      <c r="H51" s="34">
        <v>2.75E-2</v>
      </c>
      <c r="I51" s="34">
        <v>0.38693</v>
      </c>
    </row>
    <row r="52" spans="1:9" x14ac:dyDescent="0.2">
      <c r="A52" s="40" t="s">
        <v>122</v>
      </c>
      <c r="B52" s="40" t="s">
        <v>156</v>
      </c>
      <c r="C52" s="41" t="s">
        <v>76</v>
      </c>
      <c r="D52" s="41">
        <v>10</v>
      </c>
      <c r="E52" s="41" t="s">
        <v>148</v>
      </c>
      <c r="F52" s="29">
        <v>4</v>
      </c>
      <c r="G52" s="34">
        <v>22</v>
      </c>
      <c r="H52" s="34">
        <v>4.0899999999999999E-2</v>
      </c>
      <c r="I52" s="34">
        <v>0.61600999999999995</v>
      </c>
    </row>
    <row r="53" spans="1:9" x14ac:dyDescent="0.2">
      <c r="A53" s="36" t="s">
        <v>129</v>
      </c>
      <c r="B53" s="36" t="s">
        <v>157</v>
      </c>
      <c r="C53" s="31" t="s">
        <v>80</v>
      </c>
      <c r="D53" s="31">
        <v>10</v>
      </c>
      <c r="E53" s="31" t="s">
        <v>148</v>
      </c>
      <c r="F53" s="32">
        <v>10</v>
      </c>
      <c r="G53" s="33">
        <v>22</v>
      </c>
      <c r="H53" s="33">
        <v>7.7399999999999997E-2</v>
      </c>
      <c r="I53" s="33">
        <v>0.64885999999999999</v>
      </c>
    </row>
    <row r="54" spans="1:9" x14ac:dyDescent="0.2">
      <c r="A54" s="36" t="s">
        <v>130</v>
      </c>
      <c r="B54" s="36" t="s">
        <v>157</v>
      </c>
      <c r="C54" s="31" t="s">
        <v>80</v>
      </c>
      <c r="D54" s="31">
        <v>10</v>
      </c>
      <c r="E54" s="31" t="s">
        <v>148</v>
      </c>
      <c r="F54" s="32">
        <v>10</v>
      </c>
      <c r="G54" s="33">
        <v>22</v>
      </c>
      <c r="H54" s="33">
        <v>7.2099999999999997E-2</v>
      </c>
      <c r="I54" s="33">
        <v>0.76637</v>
      </c>
    </row>
    <row r="55" spans="1:9" x14ac:dyDescent="0.2">
      <c r="A55" s="36" t="s">
        <v>131</v>
      </c>
      <c r="B55" s="36" t="s">
        <v>157</v>
      </c>
      <c r="C55" s="31" t="s">
        <v>80</v>
      </c>
      <c r="D55" s="31">
        <v>10</v>
      </c>
      <c r="E55" s="31" t="s">
        <v>148</v>
      </c>
      <c r="F55" s="32">
        <v>10</v>
      </c>
      <c r="G55" s="33">
        <v>22</v>
      </c>
      <c r="H55" s="33">
        <v>3.8100000000000002E-2</v>
      </c>
      <c r="I55" s="33">
        <v>0.85990999999999995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opLeftCell="A155" workbookViewId="0">
      <selection activeCell="N185" sqref="N185"/>
    </sheetView>
  </sheetViews>
  <sheetFormatPr baseColWidth="10" defaultRowHeight="16" x14ac:dyDescent="0.2"/>
  <cols>
    <col min="9" max="9" width="14.33203125" customWidth="1"/>
  </cols>
  <sheetData>
    <row r="1" spans="1:10" x14ac:dyDescent="0.2">
      <c r="A1" s="4" t="s">
        <v>160</v>
      </c>
      <c r="B1" s="4" t="s">
        <v>161</v>
      </c>
      <c r="C1" s="4" t="s">
        <v>1</v>
      </c>
      <c r="D1" s="4" t="s">
        <v>162</v>
      </c>
      <c r="E1" s="4" t="s">
        <v>3</v>
      </c>
      <c r="F1" s="4" t="s">
        <v>163</v>
      </c>
      <c r="G1" s="4" t="s">
        <v>0</v>
      </c>
      <c r="H1" s="4" t="s">
        <v>164</v>
      </c>
      <c r="I1" s="4" t="s">
        <v>132</v>
      </c>
      <c r="J1" s="4" t="s">
        <v>165</v>
      </c>
    </row>
    <row r="2" spans="1:10" x14ac:dyDescent="0.2">
      <c r="A2" s="98" t="s">
        <v>166</v>
      </c>
      <c r="B2" s="98" t="s">
        <v>177</v>
      </c>
      <c r="C2" s="98" t="s">
        <v>177</v>
      </c>
      <c r="D2" s="98" t="s">
        <v>177</v>
      </c>
      <c r="E2" s="98" t="s">
        <v>177</v>
      </c>
      <c r="F2" s="98" t="s">
        <v>177</v>
      </c>
      <c r="G2" s="98" t="s">
        <v>177</v>
      </c>
      <c r="H2" s="98">
        <v>8.02</v>
      </c>
      <c r="I2" s="98" t="s">
        <v>177</v>
      </c>
      <c r="J2" s="98" t="s">
        <v>178</v>
      </c>
    </row>
    <row r="3" spans="1:10" x14ac:dyDescent="0.2">
      <c r="A3" s="98" t="s">
        <v>179</v>
      </c>
      <c r="B3" s="98" t="s">
        <v>177</v>
      </c>
      <c r="C3" s="98" t="s">
        <v>177</v>
      </c>
      <c r="D3" s="98" t="s">
        <v>177</v>
      </c>
      <c r="E3" s="98" t="s">
        <v>177</v>
      </c>
      <c r="F3" s="98" t="s">
        <v>177</v>
      </c>
      <c r="G3" s="98" t="s">
        <v>177</v>
      </c>
      <c r="H3" s="98">
        <v>7.99</v>
      </c>
      <c r="I3" s="98" t="s">
        <v>177</v>
      </c>
      <c r="J3" s="98" t="s">
        <v>178</v>
      </c>
    </row>
    <row r="4" spans="1:10" x14ac:dyDescent="0.2">
      <c r="A4" s="98" t="s">
        <v>180</v>
      </c>
      <c r="B4" s="98" t="s">
        <v>177</v>
      </c>
      <c r="C4" s="98" t="s">
        <v>177</v>
      </c>
      <c r="D4" s="98" t="s">
        <v>177</v>
      </c>
      <c r="E4" s="98" t="s">
        <v>177</v>
      </c>
      <c r="F4" s="98" t="s">
        <v>177</v>
      </c>
      <c r="G4" s="98" t="s">
        <v>177</v>
      </c>
      <c r="H4" s="98">
        <v>8.01</v>
      </c>
      <c r="I4" s="98" t="s">
        <v>177</v>
      </c>
      <c r="J4" s="98" t="s">
        <v>178</v>
      </c>
    </row>
    <row r="5" spans="1:10" x14ac:dyDescent="0.2">
      <c r="A5" s="98" t="s">
        <v>181</v>
      </c>
      <c r="B5" s="98" t="s">
        <v>177</v>
      </c>
      <c r="C5" s="98" t="s">
        <v>177</v>
      </c>
      <c r="D5" s="98" t="s">
        <v>177</v>
      </c>
      <c r="E5" s="98" t="s">
        <v>177</v>
      </c>
      <c r="F5" s="98" t="s">
        <v>177</v>
      </c>
      <c r="G5" s="98" t="s">
        <v>177</v>
      </c>
      <c r="H5" s="98">
        <v>7.99</v>
      </c>
      <c r="I5" s="98" t="s">
        <v>177</v>
      </c>
      <c r="J5" s="98" t="s">
        <v>178</v>
      </c>
    </row>
    <row r="6" spans="1:10" x14ac:dyDescent="0.2">
      <c r="A6" s="98" t="s">
        <v>182</v>
      </c>
      <c r="B6" s="98" t="s">
        <v>177</v>
      </c>
      <c r="C6" s="98" t="s">
        <v>177</v>
      </c>
      <c r="D6" s="98" t="s">
        <v>177</v>
      </c>
      <c r="E6" s="98" t="s">
        <v>177</v>
      </c>
      <c r="F6" s="98" t="s">
        <v>177</v>
      </c>
      <c r="G6" s="98" t="s">
        <v>177</v>
      </c>
      <c r="H6" s="98">
        <v>7.94</v>
      </c>
      <c r="I6" s="98" t="s">
        <v>177</v>
      </c>
      <c r="J6" s="98" t="s">
        <v>178</v>
      </c>
    </row>
    <row r="7" spans="1:10" x14ac:dyDescent="0.2">
      <c r="A7" s="98" t="s">
        <v>183</v>
      </c>
      <c r="B7" s="98" t="s">
        <v>177</v>
      </c>
      <c r="C7" s="98" t="s">
        <v>177</v>
      </c>
      <c r="D7" s="98" t="s">
        <v>177</v>
      </c>
      <c r="E7" s="98" t="s">
        <v>177</v>
      </c>
      <c r="F7" s="98" t="s">
        <v>177</v>
      </c>
      <c r="G7" s="98" t="s">
        <v>177</v>
      </c>
      <c r="H7" s="98">
        <v>7.94</v>
      </c>
      <c r="I7" s="98" t="s">
        <v>177</v>
      </c>
      <c r="J7" s="98" t="s">
        <v>178</v>
      </c>
    </row>
    <row r="8" spans="1:10" x14ac:dyDescent="0.2">
      <c r="A8" s="98" t="s">
        <v>184</v>
      </c>
      <c r="B8" s="98" t="s">
        <v>177</v>
      </c>
      <c r="C8" s="98" t="s">
        <v>177</v>
      </c>
      <c r="D8" s="98" t="s">
        <v>177</v>
      </c>
      <c r="E8" s="98" t="s">
        <v>177</v>
      </c>
      <c r="F8" s="98" t="s">
        <v>177</v>
      </c>
      <c r="G8" s="98" t="s">
        <v>177</v>
      </c>
      <c r="H8" s="98">
        <v>7.97</v>
      </c>
      <c r="I8" s="98" t="s">
        <v>177</v>
      </c>
      <c r="J8" s="98" t="s">
        <v>178</v>
      </c>
    </row>
    <row r="9" spans="1:10" x14ac:dyDescent="0.2">
      <c r="A9" s="98" t="s">
        <v>172</v>
      </c>
      <c r="B9" s="98" t="s">
        <v>177</v>
      </c>
      <c r="C9" s="98" t="s">
        <v>177</v>
      </c>
      <c r="D9" s="98" t="s">
        <v>177</v>
      </c>
      <c r="E9" s="98" t="s">
        <v>177</v>
      </c>
      <c r="F9" s="98" t="s">
        <v>177</v>
      </c>
      <c r="G9" s="98" t="s">
        <v>177</v>
      </c>
      <c r="H9" s="98">
        <v>8.01</v>
      </c>
      <c r="I9" s="98" t="s">
        <v>177</v>
      </c>
      <c r="J9" s="98" t="s">
        <v>178</v>
      </c>
    </row>
    <row r="10" spans="1:10" x14ac:dyDescent="0.2">
      <c r="A10" s="98" t="s">
        <v>185</v>
      </c>
      <c r="B10" s="98" t="s">
        <v>177</v>
      </c>
      <c r="C10" s="98" t="s">
        <v>177</v>
      </c>
      <c r="D10" s="98" t="s">
        <v>177</v>
      </c>
      <c r="E10" s="98" t="s">
        <v>177</v>
      </c>
      <c r="F10" s="98" t="s">
        <v>177</v>
      </c>
      <c r="G10" s="98" t="s">
        <v>177</v>
      </c>
      <c r="H10" s="98">
        <v>7.89</v>
      </c>
      <c r="I10" s="98" t="s">
        <v>177</v>
      </c>
      <c r="J10" s="98" t="s">
        <v>178</v>
      </c>
    </row>
    <row r="11" spans="1:10" x14ac:dyDescent="0.2">
      <c r="A11" s="98" t="s">
        <v>186</v>
      </c>
      <c r="B11" s="98" t="s">
        <v>177</v>
      </c>
      <c r="C11" s="98" t="s">
        <v>177</v>
      </c>
      <c r="D11" s="98" t="s">
        <v>177</v>
      </c>
      <c r="E11" s="98" t="s">
        <v>177</v>
      </c>
      <c r="F11" s="98" t="s">
        <v>177</v>
      </c>
      <c r="G11" s="98" t="s">
        <v>177</v>
      </c>
      <c r="H11" s="98">
        <v>7.98</v>
      </c>
      <c r="I11" s="98" t="s">
        <v>177</v>
      </c>
      <c r="J11" s="98" t="s">
        <v>178</v>
      </c>
    </row>
    <row r="12" spans="1:10" x14ac:dyDescent="0.2">
      <c r="A12" s="98" t="s">
        <v>168</v>
      </c>
      <c r="B12" s="98" t="s">
        <v>177</v>
      </c>
      <c r="C12" s="98" t="s">
        <v>177</v>
      </c>
      <c r="D12" s="98" t="s">
        <v>177</v>
      </c>
      <c r="E12" s="98" t="s">
        <v>177</v>
      </c>
      <c r="F12" s="98" t="s">
        <v>177</v>
      </c>
      <c r="G12" s="98" t="s">
        <v>177</v>
      </c>
      <c r="H12" s="98">
        <v>7.84</v>
      </c>
      <c r="I12" s="98" t="s">
        <v>177</v>
      </c>
      <c r="J12" s="98" t="s">
        <v>178</v>
      </c>
    </row>
    <row r="13" spans="1:10" x14ac:dyDescent="0.2">
      <c r="A13" s="98" t="s">
        <v>187</v>
      </c>
      <c r="B13" s="98" t="s">
        <v>177</v>
      </c>
      <c r="C13" s="98" t="s">
        <v>177</v>
      </c>
      <c r="D13" s="98" t="s">
        <v>177</v>
      </c>
      <c r="E13" s="98" t="s">
        <v>177</v>
      </c>
      <c r="F13" s="98" t="s">
        <v>177</v>
      </c>
      <c r="G13" s="98" t="s">
        <v>177</v>
      </c>
      <c r="H13" s="98">
        <v>8</v>
      </c>
      <c r="I13" s="98" t="s">
        <v>177</v>
      </c>
      <c r="J13" s="98" t="s">
        <v>178</v>
      </c>
    </row>
    <row r="14" spans="1:10" x14ac:dyDescent="0.2">
      <c r="A14" s="98" t="s">
        <v>188</v>
      </c>
      <c r="B14" s="98" t="s">
        <v>177</v>
      </c>
      <c r="C14" s="98" t="s">
        <v>177</v>
      </c>
      <c r="D14" s="98" t="s">
        <v>177</v>
      </c>
      <c r="E14" s="98" t="s">
        <v>177</v>
      </c>
      <c r="F14" s="98" t="s">
        <v>177</v>
      </c>
      <c r="G14" s="98" t="s">
        <v>177</v>
      </c>
      <c r="H14" s="98">
        <v>7.8</v>
      </c>
      <c r="I14" s="98" t="s">
        <v>177</v>
      </c>
      <c r="J14" s="98" t="s">
        <v>178</v>
      </c>
    </row>
    <row r="15" spans="1:10" x14ac:dyDescent="0.2">
      <c r="A15" s="98" t="s">
        <v>189</v>
      </c>
      <c r="B15" s="98" t="s">
        <v>177</v>
      </c>
      <c r="C15" s="98" t="s">
        <v>177</v>
      </c>
      <c r="D15" s="98" t="s">
        <v>177</v>
      </c>
      <c r="E15" s="98" t="s">
        <v>177</v>
      </c>
      <c r="F15" s="98" t="s">
        <v>177</v>
      </c>
      <c r="G15" s="98" t="s">
        <v>177</v>
      </c>
      <c r="H15" s="98">
        <v>8.0399999999999991</v>
      </c>
      <c r="I15" s="98" t="s">
        <v>177</v>
      </c>
      <c r="J15" s="98" t="s">
        <v>178</v>
      </c>
    </row>
    <row r="16" spans="1:10" x14ac:dyDescent="0.2">
      <c r="A16" s="98" t="s">
        <v>173</v>
      </c>
      <c r="B16" s="98" t="s">
        <v>177</v>
      </c>
      <c r="C16" s="98" t="s">
        <v>177</v>
      </c>
      <c r="D16" s="98" t="s">
        <v>177</v>
      </c>
      <c r="E16" s="98" t="s">
        <v>177</v>
      </c>
      <c r="F16" s="98" t="s">
        <v>177</v>
      </c>
      <c r="G16" s="98" t="s">
        <v>177</v>
      </c>
      <c r="H16" s="98">
        <v>7.95</v>
      </c>
      <c r="I16" s="98" t="s">
        <v>177</v>
      </c>
      <c r="J16" s="98" t="s">
        <v>178</v>
      </c>
    </row>
    <row r="17" spans="1:10" x14ac:dyDescent="0.2">
      <c r="A17" s="98" t="s">
        <v>190</v>
      </c>
      <c r="B17" s="98" t="s">
        <v>177</v>
      </c>
      <c r="C17" s="98" t="s">
        <v>177</v>
      </c>
      <c r="D17" s="98" t="s">
        <v>177</v>
      </c>
      <c r="E17" s="98" t="s">
        <v>177</v>
      </c>
      <c r="F17" s="98" t="s">
        <v>177</v>
      </c>
      <c r="G17" s="98" t="s">
        <v>177</v>
      </c>
      <c r="H17" s="98">
        <v>7.98</v>
      </c>
      <c r="I17" s="98" t="s">
        <v>177</v>
      </c>
      <c r="J17" s="98" t="s">
        <v>178</v>
      </c>
    </row>
    <row r="18" spans="1:10" x14ac:dyDescent="0.2">
      <c r="A18" s="98" t="s">
        <v>191</v>
      </c>
      <c r="B18" s="98" t="s">
        <v>177</v>
      </c>
      <c r="C18" s="98" t="s">
        <v>177</v>
      </c>
      <c r="D18" s="98" t="s">
        <v>177</v>
      </c>
      <c r="E18" s="98" t="s">
        <v>177</v>
      </c>
      <c r="F18" s="98" t="s">
        <v>177</v>
      </c>
      <c r="G18" s="98" t="s">
        <v>177</v>
      </c>
      <c r="H18" s="98">
        <v>7.92</v>
      </c>
      <c r="I18" s="98" t="s">
        <v>177</v>
      </c>
      <c r="J18" s="98" t="s">
        <v>178</v>
      </c>
    </row>
    <row r="19" spans="1:10" x14ac:dyDescent="0.2">
      <c r="A19" s="98" t="s">
        <v>174</v>
      </c>
      <c r="B19" s="98" t="s">
        <v>177</v>
      </c>
      <c r="C19" s="98" t="s">
        <v>177</v>
      </c>
      <c r="D19" s="98" t="s">
        <v>177</v>
      </c>
      <c r="E19" s="98" t="s">
        <v>177</v>
      </c>
      <c r="F19" s="98" t="s">
        <v>177</v>
      </c>
      <c r="G19" s="98" t="s">
        <v>177</v>
      </c>
      <c r="H19" s="98">
        <v>7.99</v>
      </c>
      <c r="I19" s="98" t="s">
        <v>177</v>
      </c>
      <c r="J19" s="98" t="s">
        <v>178</v>
      </c>
    </row>
    <row r="20" spans="1:10" x14ac:dyDescent="0.2">
      <c r="A20" s="98" t="s">
        <v>192</v>
      </c>
      <c r="B20" s="98" t="s">
        <v>177</v>
      </c>
      <c r="C20" s="98" t="s">
        <v>177</v>
      </c>
      <c r="D20" s="98" t="s">
        <v>177</v>
      </c>
      <c r="E20" s="98" t="s">
        <v>177</v>
      </c>
      <c r="F20" s="98" t="s">
        <v>177</v>
      </c>
      <c r="G20" s="98" t="s">
        <v>177</v>
      </c>
      <c r="H20" s="98">
        <v>8.01</v>
      </c>
      <c r="I20" s="98" t="s">
        <v>177</v>
      </c>
      <c r="J20" s="98" t="s">
        <v>178</v>
      </c>
    </row>
    <row r="21" spans="1:10" x14ac:dyDescent="0.2">
      <c r="A21" s="98" t="s">
        <v>193</v>
      </c>
      <c r="B21" s="98" t="s">
        <v>177</v>
      </c>
      <c r="C21" s="98" t="s">
        <v>177</v>
      </c>
      <c r="D21" s="98" t="s">
        <v>177</v>
      </c>
      <c r="E21" s="98" t="s">
        <v>177</v>
      </c>
      <c r="F21" s="98" t="s">
        <v>177</v>
      </c>
      <c r="G21" s="98" t="s">
        <v>177</v>
      </c>
      <c r="H21" s="98">
        <v>8.06</v>
      </c>
      <c r="I21" s="98" t="s">
        <v>177</v>
      </c>
      <c r="J21" s="98" t="s">
        <v>178</v>
      </c>
    </row>
    <row r="22" spans="1:10" x14ac:dyDescent="0.2">
      <c r="A22" s="98" t="s">
        <v>194</v>
      </c>
      <c r="B22" s="98" t="s">
        <v>177</v>
      </c>
      <c r="C22" s="98" t="s">
        <v>177</v>
      </c>
      <c r="D22" s="98" t="s">
        <v>177</v>
      </c>
      <c r="E22" s="98" t="s">
        <v>177</v>
      </c>
      <c r="F22" s="98" t="s">
        <v>177</v>
      </c>
      <c r="G22" s="98" t="s">
        <v>177</v>
      </c>
      <c r="H22" s="98">
        <v>8.0399999999999991</v>
      </c>
      <c r="I22" s="98" t="s">
        <v>177</v>
      </c>
      <c r="J22" s="98" t="s">
        <v>178</v>
      </c>
    </row>
    <row r="23" spans="1:10" x14ac:dyDescent="0.2">
      <c r="A23" s="98" t="s">
        <v>175</v>
      </c>
      <c r="B23" s="98" t="s">
        <v>177</v>
      </c>
      <c r="C23" s="98" t="s">
        <v>177</v>
      </c>
      <c r="D23" s="98" t="s">
        <v>177</v>
      </c>
      <c r="E23" s="98" t="s">
        <v>177</v>
      </c>
      <c r="F23" s="98" t="s">
        <v>177</v>
      </c>
      <c r="G23" s="98" t="s">
        <v>177</v>
      </c>
      <c r="H23" s="98">
        <v>8.0399999999999991</v>
      </c>
      <c r="I23" s="98" t="s">
        <v>177</v>
      </c>
      <c r="J23" s="98" t="s">
        <v>178</v>
      </c>
    </row>
    <row r="24" spans="1:10" x14ac:dyDescent="0.2">
      <c r="A24" s="98" t="s">
        <v>195</v>
      </c>
      <c r="B24" s="98" t="s">
        <v>177</v>
      </c>
      <c r="C24" s="98" t="s">
        <v>177</v>
      </c>
      <c r="D24" s="98" t="s">
        <v>177</v>
      </c>
      <c r="E24" s="98" t="s">
        <v>177</v>
      </c>
      <c r="F24" s="98" t="s">
        <v>177</v>
      </c>
      <c r="G24" s="98" t="s">
        <v>177</v>
      </c>
      <c r="H24" s="98">
        <v>8.06</v>
      </c>
      <c r="I24" s="98" t="s">
        <v>177</v>
      </c>
      <c r="J24" s="98" t="s">
        <v>178</v>
      </c>
    </row>
    <row r="25" spans="1:10" x14ac:dyDescent="0.2">
      <c r="A25" s="98" t="s">
        <v>196</v>
      </c>
      <c r="B25" s="98" t="s">
        <v>177</v>
      </c>
      <c r="C25" s="98" t="s">
        <v>177</v>
      </c>
      <c r="D25" s="98" t="s">
        <v>177</v>
      </c>
      <c r="E25" s="98" t="s">
        <v>177</v>
      </c>
      <c r="F25" s="98" t="s">
        <v>177</v>
      </c>
      <c r="G25" s="98" t="s">
        <v>177</v>
      </c>
      <c r="H25" s="98">
        <v>8.1</v>
      </c>
      <c r="I25" s="98" t="s">
        <v>177</v>
      </c>
      <c r="J25" s="98" t="s">
        <v>178</v>
      </c>
    </row>
    <row r="26" spans="1:10" x14ac:dyDescent="0.2">
      <c r="A26" s="98" t="s">
        <v>197</v>
      </c>
      <c r="B26" s="98" t="s">
        <v>177</v>
      </c>
      <c r="C26" s="98" t="s">
        <v>177</v>
      </c>
      <c r="D26" s="98" t="s">
        <v>177</v>
      </c>
      <c r="E26" s="98" t="s">
        <v>177</v>
      </c>
      <c r="F26" s="98" t="s">
        <v>177</v>
      </c>
      <c r="G26" s="98" t="s">
        <v>177</v>
      </c>
      <c r="H26" s="98">
        <v>8.02</v>
      </c>
      <c r="I26" s="98" t="s">
        <v>177</v>
      </c>
      <c r="J26" s="98" t="s">
        <v>178</v>
      </c>
    </row>
    <row r="27" spans="1:10" x14ac:dyDescent="0.2">
      <c r="A27" s="98" t="s">
        <v>198</v>
      </c>
      <c r="B27" s="98" t="s">
        <v>177</v>
      </c>
      <c r="C27" s="98" t="s">
        <v>177</v>
      </c>
      <c r="D27" s="98" t="s">
        <v>177</v>
      </c>
      <c r="E27" s="98" t="s">
        <v>177</v>
      </c>
      <c r="F27" s="98" t="s">
        <v>177</v>
      </c>
      <c r="G27" s="98" t="s">
        <v>177</v>
      </c>
      <c r="H27" s="98">
        <v>7.94</v>
      </c>
      <c r="I27" s="98" t="s">
        <v>177</v>
      </c>
      <c r="J27" s="98" t="s">
        <v>178</v>
      </c>
    </row>
    <row r="28" spans="1:10" x14ac:dyDescent="0.2">
      <c r="A28" s="98" t="s">
        <v>199</v>
      </c>
      <c r="B28" s="98" t="s">
        <v>177</v>
      </c>
      <c r="C28" s="98" t="s">
        <v>177</v>
      </c>
      <c r="D28" s="98" t="s">
        <v>177</v>
      </c>
      <c r="E28" s="98" t="s">
        <v>177</v>
      </c>
      <c r="F28" s="98" t="s">
        <v>177</v>
      </c>
      <c r="G28" s="98" t="s">
        <v>177</v>
      </c>
      <c r="H28" s="98">
        <v>7.94</v>
      </c>
      <c r="I28" s="98" t="s">
        <v>177</v>
      </c>
      <c r="J28" s="98" t="s">
        <v>178</v>
      </c>
    </row>
    <row r="29" spans="1:10" x14ac:dyDescent="0.2">
      <c r="A29" s="98" t="s">
        <v>200</v>
      </c>
      <c r="B29" s="98" t="s">
        <v>177</v>
      </c>
      <c r="C29" s="98" t="s">
        <v>177</v>
      </c>
      <c r="D29" s="98" t="s">
        <v>177</v>
      </c>
      <c r="E29" s="98" t="s">
        <v>177</v>
      </c>
      <c r="F29" s="98" t="s">
        <v>177</v>
      </c>
      <c r="G29" s="98" t="s">
        <v>177</v>
      </c>
      <c r="H29" s="98">
        <v>8.0299999999999994</v>
      </c>
      <c r="I29" s="98" t="s">
        <v>177</v>
      </c>
      <c r="J29" s="98" t="s">
        <v>178</v>
      </c>
    </row>
    <row r="30" spans="1:10" x14ac:dyDescent="0.2">
      <c r="A30" s="98" t="s">
        <v>201</v>
      </c>
      <c r="B30" s="98" t="s">
        <v>177</v>
      </c>
      <c r="C30" s="98" t="s">
        <v>177</v>
      </c>
      <c r="D30" s="98" t="s">
        <v>177</v>
      </c>
      <c r="E30" s="98" t="s">
        <v>177</v>
      </c>
      <c r="F30" s="98" t="s">
        <v>177</v>
      </c>
      <c r="G30" s="98" t="s">
        <v>177</v>
      </c>
      <c r="H30" s="98">
        <v>8.08</v>
      </c>
      <c r="I30" s="98" t="s">
        <v>177</v>
      </c>
      <c r="J30" s="98" t="s">
        <v>178</v>
      </c>
    </row>
    <row r="31" spans="1:10" x14ac:dyDescent="0.2">
      <c r="A31" s="98" t="s">
        <v>190</v>
      </c>
      <c r="B31" s="98">
        <v>2</v>
      </c>
      <c r="C31" s="98" t="s">
        <v>76</v>
      </c>
      <c r="D31" s="98">
        <v>10</v>
      </c>
      <c r="E31" s="98">
        <v>26</v>
      </c>
      <c r="F31" s="98">
        <v>1</v>
      </c>
      <c r="G31" s="98" t="s">
        <v>114</v>
      </c>
      <c r="H31" s="98">
        <v>7.69</v>
      </c>
      <c r="I31" s="98" t="s">
        <v>152</v>
      </c>
      <c r="J31" s="98" t="s">
        <v>167</v>
      </c>
    </row>
    <row r="32" spans="1:10" x14ac:dyDescent="0.2">
      <c r="A32" s="98" t="s">
        <v>190</v>
      </c>
      <c r="B32" s="98">
        <v>2</v>
      </c>
      <c r="C32" s="98" t="s">
        <v>76</v>
      </c>
      <c r="D32" s="98">
        <v>10</v>
      </c>
      <c r="E32" s="98">
        <v>26</v>
      </c>
      <c r="F32" s="98">
        <v>2</v>
      </c>
      <c r="G32" s="98" t="s">
        <v>115</v>
      </c>
      <c r="H32" s="98">
        <v>7.74</v>
      </c>
      <c r="I32" s="98" t="s">
        <v>152</v>
      </c>
      <c r="J32" s="98" t="s">
        <v>167</v>
      </c>
    </row>
    <row r="33" spans="1:10" x14ac:dyDescent="0.2">
      <c r="A33" s="98" t="s">
        <v>190</v>
      </c>
      <c r="B33" s="98">
        <v>2</v>
      </c>
      <c r="C33" s="98" t="s">
        <v>76</v>
      </c>
      <c r="D33" s="98">
        <v>10</v>
      </c>
      <c r="E33" s="98">
        <v>26</v>
      </c>
      <c r="F33" s="98">
        <v>3</v>
      </c>
      <c r="G33" s="98" t="s">
        <v>116</v>
      </c>
      <c r="H33" s="98">
        <v>7.75</v>
      </c>
      <c r="I33" s="98" t="s">
        <v>152</v>
      </c>
      <c r="J33" s="98" t="s">
        <v>167</v>
      </c>
    </row>
    <row r="34" spans="1:10" x14ac:dyDescent="0.2">
      <c r="A34" s="98" t="s">
        <v>192</v>
      </c>
      <c r="B34" s="98">
        <v>14</v>
      </c>
      <c r="C34" s="98" t="s">
        <v>76</v>
      </c>
      <c r="D34" s="98">
        <v>10</v>
      </c>
      <c r="E34" s="98">
        <v>26</v>
      </c>
      <c r="F34" s="98">
        <v>1</v>
      </c>
      <c r="G34" s="98" t="s">
        <v>114</v>
      </c>
      <c r="H34" s="98">
        <v>8.4700000000000006</v>
      </c>
      <c r="I34" s="98" t="s">
        <v>152</v>
      </c>
      <c r="J34" s="98" t="s">
        <v>169</v>
      </c>
    </row>
    <row r="35" spans="1:10" x14ac:dyDescent="0.2">
      <c r="A35" s="98" t="s">
        <v>192</v>
      </c>
      <c r="B35" s="98">
        <v>14</v>
      </c>
      <c r="C35" s="98" t="s">
        <v>76</v>
      </c>
      <c r="D35" s="98">
        <v>10</v>
      </c>
      <c r="E35" s="98">
        <v>26</v>
      </c>
      <c r="F35" s="98">
        <v>2</v>
      </c>
      <c r="G35" s="98" t="s">
        <v>115</v>
      </c>
      <c r="H35" s="98">
        <v>8.52</v>
      </c>
      <c r="I35" s="98" t="s">
        <v>152</v>
      </c>
      <c r="J35" s="98" t="s">
        <v>169</v>
      </c>
    </row>
    <row r="36" spans="1:10" x14ac:dyDescent="0.2">
      <c r="A36" s="98" t="s">
        <v>192</v>
      </c>
      <c r="B36" s="98">
        <v>14</v>
      </c>
      <c r="C36" s="98" t="s">
        <v>76</v>
      </c>
      <c r="D36" s="98">
        <v>10</v>
      </c>
      <c r="E36" s="98">
        <v>26</v>
      </c>
      <c r="F36" s="98">
        <v>3</v>
      </c>
      <c r="G36" s="98" t="s">
        <v>116</v>
      </c>
      <c r="H36" s="98">
        <v>8.51</v>
      </c>
      <c r="I36" s="98" t="s">
        <v>152</v>
      </c>
      <c r="J36" s="98" t="s">
        <v>169</v>
      </c>
    </row>
    <row r="37" spans="1:10" x14ac:dyDescent="0.2">
      <c r="A37" s="98" t="s">
        <v>195</v>
      </c>
      <c r="B37" s="98">
        <v>20</v>
      </c>
      <c r="C37" s="98" t="s">
        <v>76</v>
      </c>
      <c r="D37" s="98">
        <v>10</v>
      </c>
      <c r="E37" s="98">
        <v>26</v>
      </c>
      <c r="F37" s="98">
        <v>1</v>
      </c>
      <c r="G37" s="98" t="s">
        <v>114</v>
      </c>
      <c r="H37" s="98">
        <v>9.2200000000000006</v>
      </c>
      <c r="I37" s="98" t="s">
        <v>152</v>
      </c>
      <c r="J37" s="98" t="s">
        <v>171</v>
      </c>
    </row>
    <row r="38" spans="1:10" x14ac:dyDescent="0.2">
      <c r="A38" s="98" t="s">
        <v>195</v>
      </c>
      <c r="B38" s="98">
        <v>20</v>
      </c>
      <c r="C38" s="98" t="s">
        <v>76</v>
      </c>
      <c r="D38" s="98">
        <v>10</v>
      </c>
      <c r="E38" s="98">
        <v>26</v>
      </c>
      <c r="F38" s="98">
        <v>2</v>
      </c>
      <c r="G38" s="98" t="s">
        <v>115</v>
      </c>
      <c r="H38" s="98">
        <v>9.24</v>
      </c>
      <c r="I38" s="98" t="s">
        <v>152</v>
      </c>
      <c r="J38" s="98" t="s">
        <v>171</v>
      </c>
    </row>
    <row r="39" spans="1:10" x14ac:dyDescent="0.2">
      <c r="A39" s="98" t="s">
        <v>195</v>
      </c>
      <c r="B39" s="98">
        <v>20</v>
      </c>
      <c r="C39" s="98" t="s">
        <v>76</v>
      </c>
      <c r="D39" s="98">
        <v>10</v>
      </c>
      <c r="E39" s="98">
        <v>26</v>
      </c>
      <c r="F39" s="98">
        <v>3</v>
      </c>
      <c r="G39" s="98" t="s">
        <v>116</v>
      </c>
      <c r="H39" s="98">
        <v>9.2899999999999991</v>
      </c>
      <c r="I39" s="98" t="s">
        <v>152</v>
      </c>
      <c r="J39" s="98" t="s">
        <v>171</v>
      </c>
    </row>
    <row r="40" spans="1:10" x14ac:dyDescent="0.2">
      <c r="A40" s="98" t="s">
        <v>190</v>
      </c>
      <c r="B40" s="98">
        <v>2</v>
      </c>
      <c r="C40" s="98" t="s">
        <v>76</v>
      </c>
      <c r="D40" s="98">
        <v>10</v>
      </c>
      <c r="E40" s="98">
        <v>28</v>
      </c>
      <c r="F40" s="98">
        <v>1</v>
      </c>
      <c r="G40" s="98" t="s">
        <v>117</v>
      </c>
      <c r="H40" s="98">
        <v>7.38</v>
      </c>
      <c r="I40" s="98" t="s">
        <v>153</v>
      </c>
      <c r="J40" s="98" t="s">
        <v>167</v>
      </c>
    </row>
    <row r="41" spans="1:10" x14ac:dyDescent="0.2">
      <c r="A41" s="98" t="s">
        <v>190</v>
      </c>
      <c r="B41" s="98">
        <v>2</v>
      </c>
      <c r="C41" s="98" t="s">
        <v>76</v>
      </c>
      <c r="D41" s="98">
        <v>10</v>
      </c>
      <c r="E41" s="98">
        <v>28</v>
      </c>
      <c r="F41" s="98">
        <v>2</v>
      </c>
      <c r="G41" s="98" t="s">
        <v>118</v>
      </c>
      <c r="H41" s="98">
        <v>7.85</v>
      </c>
      <c r="I41" s="98" t="s">
        <v>153</v>
      </c>
      <c r="J41" s="98" t="s">
        <v>167</v>
      </c>
    </row>
    <row r="42" spans="1:10" x14ac:dyDescent="0.2">
      <c r="A42" s="98" t="s">
        <v>190</v>
      </c>
      <c r="B42" s="98">
        <v>2</v>
      </c>
      <c r="C42" s="98" t="s">
        <v>76</v>
      </c>
      <c r="D42" s="98">
        <v>10</v>
      </c>
      <c r="E42" s="98">
        <v>28</v>
      </c>
      <c r="F42" s="98">
        <v>3</v>
      </c>
      <c r="G42" s="98" t="s">
        <v>119</v>
      </c>
      <c r="H42" s="98">
        <v>7.74</v>
      </c>
      <c r="I42" s="98" t="s">
        <v>153</v>
      </c>
      <c r="J42" s="98" t="s">
        <v>167</v>
      </c>
    </row>
    <row r="43" spans="1:10" x14ac:dyDescent="0.2">
      <c r="A43" s="98" t="s">
        <v>195</v>
      </c>
      <c r="B43" s="98">
        <v>20</v>
      </c>
      <c r="C43" s="98" t="s">
        <v>76</v>
      </c>
      <c r="D43" s="98">
        <v>10</v>
      </c>
      <c r="E43" s="98">
        <v>28</v>
      </c>
      <c r="F43" s="98">
        <v>1</v>
      </c>
      <c r="G43" s="98" t="s">
        <v>117</v>
      </c>
      <c r="H43" s="98">
        <v>9.0299999999999994</v>
      </c>
      <c r="I43" s="98" t="s">
        <v>153</v>
      </c>
      <c r="J43" s="98" t="s">
        <v>169</v>
      </c>
    </row>
    <row r="44" spans="1:10" x14ac:dyDescent="0.2">
      <c r="A44" s="98" t="s">
        <v>195</v>
      </c>
      <c r="B44" s="98">
        <v>20</v>
      </c>
      <c r="C44" s="98" t="s">
        <v>76</v>
      </c>
      <c r="D44" s="98">
        <v>10</v>
      </c>
      <c r="E44" s="98">
        <v>28</v>
      </c>
      <c r="F44" s="98">
        <v>2</v>
      </c>
      <c r="G44" s="98" t="s">
        <v>118</v>
      </c>
      <c r="H44" s="98">
        <v>9</v>
      </c>
      <c r="I44" s="98" t="s">
        <v>153</v>
      </c>
      <c r="J44" s="98" t="s">
        <v>169</v>
      </c>
    </row>
    <row r="45" spans="1:10" x14ac:dyDescent="0.2">
      <c r="A45" s="98" t="s">
        <v>195</v>
      </c>
      <c r="B45" s="98">
        <v>20</v>
      </c>
      <c r="C45" s="98" t="s">
        <v>76</v>
      </c>
      <c r="D45" s="98">
        <v>10</v>
      </c>
      <c r="E45" s="98">
        <v>28</v>
      </c>
      <c r="F45" s="98">
        <v>3</v>
      </c>
      <c r="G45" s="98" t="s">
        <v>119</v>
      </c>
      <c r="H45" s="98">
        <v>9.0299999999999994</v>
      </c>
      <c r="I45" s="98" t="s">
        <v>153</v>
      </c>
      <c r="J45" s="98" t="s">
        <v>169</v>
      </c>
    </row>
    <row r="46" spans="1:10" x14ac:dyDescent="0.2">
      <c r="A46" s="98" t="s">
        <v>176</v>
      </c>
      <c r="B46" s="98">
        <v>22</v>
      </c>
      <c r="C46" s="98" t="s">
        <v>76</v>
      </c>
      <c r="D46" s="98">
        <v>10</v>
      </c>
      <c r="E46" s="98">
        <v>28</v>
      </c>
      <c r="F46" s="98">
        <v>1</v>
      </c>
      <c r="G46" s="98" t="s">
        <v>117</v>
      </c>
      <c r="H46" s="98">
        <v>9.2100000000000009</v>
      </c>
      <c r="I46" s="98" t="s">
        <v>153</v>
      </c>
      <c r="J46" s="98" t="s">
        <v>171</v>
      </c>
    </row>
    <row r="47" spans="1:10" x14ac:dyDescent="0.2">
      <c r="A47" s="98" t="s">
        <v>176</v>
      </c>
      <c r="B47" s="98">
        <v>22</v>
      </c>
      <c r="C47" s="98" t="s">
        <v>76</v>
      </c>
      <c r="D47" s="98">
        <v>10</v>
      </c>
      <c r="E47" s="98">
        <v>28</v>
      </c>
      <c r="F47" s="98">
        <v>2</v>
      </c>
      <c r="G47" s="98" t="s">
        <v>118</v>
      </c>
      <c r="H47" s="98">
        <v>9.19</v>
      </c>
      <c r="I47" s="98" t="s">
        <v>153</v>
      </c>
      <c r="J47" s="98" t="s">
        <v>171</v>
      </c>
    </row>
    <row r="48" spans="1:10" x14ac:dyDescent="0.2">
      <c r="A48" s="98" t="s">
        <v>176</v>
      </c>
      <c r="B48" s="98">
        <v>22</v>
      </c>
      <c r="C48" s="98" t="s">
        <v>76</v>
      </c>
      <c r="D48" s="98">
        <v>10</v>
      </c>
      <c r="E48" s="98">
        <v>28</v>
      </c>
      <c r="F48" s="98">
        <v>3</v>
      </c>
      <c r="G48" s="98" t="s">
        <v>119</v>
      </c>
      <c r="H48" s="98">
        <v>9.2100000000000009</v>
      </c>
      <c r="I48" s="98" t="s">
        <v>153</v>
      </c>
      <c r="J48" s="98" t="s">
        <v>171</v>
      </c>
    </row>
    <row r="49" spans="1:10" x14ac:dyDescent="0.2">
      <c r="A49" s="98" t="s">
        <v>190</v>
      </c>
      <c r="B49" s="98">
        <v>2</v>
      </c>
      <c r="C49" s="98" t="s">
        <v>76</v>
      </c>
      <c r="D49" s="98">
        <v>10</v>
      </c>
      <c r="E49" s="98">
        <v>30</v>
      </c>
      <c r="F49" s="98">
        <v>1</v>
      </c>
      <c r="G49" s="98" t="s">
        <v>120</v>
      </c>
      <c r="H49" s="98">
        <v>7.65</v>
      </c>
      <c r="I49" s="98" t="s">
        <v>156</v>
      </c>
      <c r="J49" s="98" t="s">
        <v>167</v>
      </c>
    </row>
    <row r="50" spans="1:10" x14ac:dyDescent="0.2">
      <c r="A50" s="98" t="s">
        <v>190</v>
      </c>
      <c r="B50" s="98">
        <v>2</v>
      </c>
      <c r="C50" s="98" t="s">
        <v>76</v>
      </c>
      <c r="D50" s="98">
        <v>10</v>
      </c>
      <c r="E50" s="98">
        <v>30</v>
      </c>
      <c r="F50" s="98">
        <v>2</v>
      </c>
      <c r="G50" s="98" t="s">
        <v>121</v>
      </c>
      <c r="H50" s="98">
        <v>7.74</v>
      </c>
      <c r="I50" s="98" t="s">
        <v>156</v>
      </c>
      <c r="J50" s="98" t="s">
        <v>167</v>
      </c>
    </row>
    <row r="51" spans="1:10" x14ac:dyDescent="0.2">
      <c r="A51" s="98" t="s">
        <v>190</v>
      </c>
      <c r="B51" s="98">
        <v>2</v>
      </c>
      <c r="C51" s="98" t="s">
        <v>76</v>
      </c>
      <c r="D51" s="98">
        <v>10</v>
      </c>
      <c r="E51" s="98">
        <v>30</v>
      </c>
      <c r="F51" s="98">
        <v>3</v>
      </c>
      <c r="G51" s="98" t="s">
        <v>122</v>
      </c>
      <c r="H51" s="98">
        <v>7.7</v>
      </c>
      <c r="I51" s="98" t="s">
        <v>156</v>
      </c>
      <c r="J51" s="98" t="s">
        <v>167</v>
      </c>
    </row>
    <row r="52" spans="1:10" x14ac:dyDescent="0.2">
      <c r="A52" s="98" t="s">
        <v>198</v>
      </c>
      <c r="B52" s="98">
        <v>24</v>
      </c>
      <c r="C52" s="98" t="s">
        <v>76</v>
      </c>
      <c r="D52" s="98">
        <v>10</v>
      </c>
      <c r="E52" s="98">
        <v>30</v>
      </c>
      <c r="F52" s="98">
        <v>1</v>
      </c>
      <c r="G52" s="98" t="s">
        <v>120</v>
      </c>
      <c r="H52" s="98">
        <v>7.71</v>
      </c>
      <c r="I52" s="98" t="s">
        <v>156</v>
      </c>
      <c r="J52" s="98" t="s">
        <v>171</v>
      </c>
    </row>
    <row r="53" spans="1:10" x14ac:dyDescent="0.2">
      <c r="A53" s="98" t="s">
        <v>198</v>
      </c>
      <c r="B53" s="98">
        <v>24</v>
      </c>
      <c r="C53" s="98" t="s">
        <v>76</v>
      </c>
      <c r="D53" s="98">
        <v>10</v>
      </c>
      <c r="E53" s="98">
        <v>30</v>
      </c>
      <c r="F53" s="98">
        <v>2</v>
      </c>
      <c r="G53" s="98" t="s">
        <v>121</v>
      </c>
      <c r="H53" s="98">
        <v>7.75</v>
      </c>
      <c r="I53" s="98" t="s">
        <v>156</v>
      </c>
      <c r="J53" s="98" t="s">
        <v>171</v>
      </c>
    </row>
    <row r="54" spans="1:10" x14ac:dyDescent="0.2">
      <c r="A54" s="98" t="s">
        <v>198</v>
      </c>
      <c r="B54" s="98">
        <v>24</v>
      </c>
      <c r="C54" s="98" t="s">
        <v>76</v>
      </c>
      <c r="D54" s="98">
        <v>10</v>
      </c>
      <c r="E54" s="98">
        <v>30</v>
      </c>
      <c r="F54" s="98">
        <v>3</v>
      </c>
      <c r="G54" s="98" t="s">
        <v>122</v>
      </c>
      <c r="H54" s="98">
        <v>7.7</v>
      </c>
      <c r="I54" s="98" t="s">
        <v>156</v>
      </c>
      <c r="J54" s="98" t="s">
        <v>171</v>
      </c>
    </row>
    <row r="55" spans="1:10" x14ac:dyDescent="0.2">
      <c r="A55" s="98" t="s">
        <v>179</v>
      </c>
      <c r="B55" s="98">
        <v>2</v>
      </c>
      <c r="C55" s="98" t="s">
        <v>76</v>
      </c>
      <c r="D55" s="98">
        <v>100</v>
      </c>
      <c r="E55" s="98">
        <v>26</v>
      </c>
      <c r="F55" s="98">
        <v>1</v>
      </c>
      <c r="G55" s="98" t="s">
        <v>81</v>
      </c>
      <c r="H55" s="98">
        <v>7.78</v>
      </c>
      <c r="I55" s="98" t="s">
        <v>139</v>
      </c>
      <c r="J55" s="98" t="s">
        <v>167</v>
      </c>
    </row>
    <row r="56" spans="1:10" x14ac:dyDescent="0.2">
      <c r="A56" s="98" t="s">
        <v>179</v>
      </c>
      <c r="B56" s="98">
        <v>2</v>
      </c>
      <c r="C56" s="98" t="s">
        <v>76</v>
      </c>
      <c r="D56" s="98">
        <v>100</v>
      </c>
      <c r="E56" s="98">
        <v>26</v>
      </c>
      <c r="F56" s="98">
        <v>2</v>
      </c>
      <c r="G56" s="98" t="s">
        <v>82</v>
      </c>
      <c r="H56" s="98">
        <v>7.79</v>
      </c>
      <c r="I56" s="98" t="s">
        <v>139</v>
      </c>
      <c r="J56" s="98" t="s">
        <v>167</v>
      </c>
    </row>
    <row r="57" spans="1:10" x14ac:dyDescent="0.2">
      <c r="A57" s="98" t="s">
        <v>179</v>
      </c>
      <c r="B57" s="98">
        <v>2</v>
      </c>
      <c r="C57" s="98" t="s">
        <v>76</v>
      </c>
      <c r="D57" s="98">
        <v>100</v>
      </c>
      <c r="E57" s="98">
        <v>26</v>
      </c>
      <c r="F57" s="98">
        <v>3</v>
      </c>
      <c r="G57" s="98" t="s">
        <v>83</v>
      </c>
      <c r="H57" s="98">
        <v>7.76</v>
      </c>
      <c r="I57" s="98" t="s">
        <v>139</v>
      </c>
      <c r="J57" s="98" t="s">
        <v>167</v>
      </c>
    </row>
    <row r="58" spans="1:10" x14ac:dyDescent="0.2">
      <c r="A58" s="98" t="s">
        <v>183</v>
      </c>
      <c r="B58" s="98">
        <v>18</v>
      </c>
      <c r="C58" s="98" t="s">
        <v>76</v>
      </c>
      <c r="D58" s="98">
        <v>100</v>
      </c>
      <c r="E58" s="98">
        <v>26</v>
      </c>
      <c r="F58" s="98">
        <v>1</v>
      </c>
      <c r="G58" s="98" t="s">
        <v>81</v>
      </c>
      <c r="H58" s="98">
        <v>9.08</v>
      </c>
      <c r="I58" s="98" t="s">
        <v>139</v>
      </c>
      <c r="J58" s="98" t="s">
        <v>169</v>
      </c>
    </row>
    <row r="59" spans="1:10" x14ac:dyDescent="0.2">
      <c r="A59" s="98" t="s">
        <v>183</v>
      </c>
      <c r="B59" s="98">
        <v>18</v>
      </c>
      <c r="C59" s="98" t="s">
        <v>76</v>
      </c>
      <c r="D59" s="98">
        <v>100</v>
      </c>
      <c r="E59" s="98">
        <v>26</v>
      </c>
      <c r="F59" s="98">
        <v>2</v>
      </c>
      <c r="G59" s="98" t="s">
        <v>82</v>
      </c>
      <c r="H59" s="98">
        <v>9.0299999999999994</v>
      </c>
      <c r="I59" s="98" t="s">
        <v>139</v>
      </c>
      <c r="J59" s="98" t="s">
        <v>169</v>
      </c>
    </row>
    <row r="60" spans="1:10" x14ac:dyDescent="0.2">
      <c r="A60" s="98" t="s">
        <v>183</v>
      </c>
      <c r="B60" s="98">
        <v>18</v>
      </c>
      <c r="C60" s="98" t="s">
        <v>76</v>
      </c>
      <c r="D60" s="98">
        <v>100</v>
      </c>
      <c r="E60" s="98">
        <v>26</v>
      </c>
      <c r="F60" s="98">
        <v>3</v>
      </c>
      <c r="G60" s="98" t="s">
        <v>83</v>
      </c>
      <c r="H60" s="98">
        <v>9.06</v>
      </c>
      <c r="I60" s="98" t="s">
        <v>139</v>
      </c>
      <c r="J60" s="98" t="s">
        <v>169</v>
      </c>
    </row>
    <row r="61" spans="1:10" x14ac:dyDescent="0.2">
      <c r="A61" s="98" t="s">
        <v>186</v>
      </c>
      <c r="B61" s="98">
        <v>26</v>
      </c>
      <c r="C61" s="98" t="s">
        <v>76</v>
      </c>
      <c r="D61" s="98">
        <v>100</v>
      </c>
      <c r="E61" s="98">
        <v>26</v>
      </c>
      <c r="F61" s="98">
        <v>1</v>
      </c>
      <c r="G61" s="98" t="s">
        <v>81</v>
      </c>
      <c r="H61" s="98">
        <v>9.82</v>
      </c>
      <c r="I61" s="98" t="s">
        <v>139</v>
      </c>
      <c r="J61" s="98" t="s">
        <v>171</v>
      </c>
    </row>
    <row r="62" spans="1:10" x14ac:dyDescent="0.2">
      <c r="A62" s="98" t="s">
        <v>186</v>
      </c>
      <c r="B62" s="98">
        <v>26</v>
      </c>
      <c r="C62" s="98" t="s">
        <v>76</v>
      </c>
      <c r="D62" s="98">
        <v>100</v>
      </c>
      <c r="E62" s="98">
        <v>26</v>
      </c>
      <c r="F62" s="98">
        <v>2</v>
      </c>
      <c r="G62" s="98" t="s">
        <v>82</v>
      </c>
      <c r="H62" s="98">
        <v>9.85</v>
      </c>
      <c r="I62" s="98" t="s">
        <v>139</v>
      </c>
      <c r="J62" s="98" t="s">
        <v>171</v>
      </c>
    </row>
    <row r="63" spans="1:10" x14ac:dyDescent="0.2">
      <c r="A63" s="98" t="s">
        <v>186</v>
      </c>
      <c r="B63" s="98">
        <v>26</v>
      </c>
      <c r="C63" s="98" t="s">
        <v>76</v>
      </c>
      <c r="D63" s="98">
        <v>100</v>
      </c>
      <c r="E63" s="98">
        <v>26</v>
      </c>
      <c r="F63" s="98">
        <v>3</v>
      </c>
      <c r="G63" s="98" t="s">
        <v>83</v>
      </c>
      <c r="H63" s="98">
        <v>9.8699999999999992</v>
      </c>
      <c r="I63" s="98" t="s">
        <v>139</v>
      </c>
      <c r="J63" s="98" t="s">
        <v>171</v>
      </c>
    </row>
    <row r="64" spans="1:10" x14ac:dyDescent="0.2">
      <c r="A64" s="98" t="s">
        <v>184</v>
      </c>
      <c r="B64" s="98">
        <v>2</v>
      </c>
      <c r="C64" s="98" t="s">
        <v>76</v>
      </c>
      <c r="D64" s="98">
        <v>100</v>
      </c>
      <c r="E64" s="98">
        <v>28</v>
      </c>
      <c r="F64" s="98">
        <v>1</v>
      </c>
      <c r="G64" s="98" t="s">
        <v>93</v>
      </c>
      <c r="H64" s="98">
        <v>7.8</v>
      </c>
      <c r="I64" s="98" t="s">
        <v>144</v>
      </c>
      <c r="J64" s="98" t="s">
        <v>167</v>
      </c>
    </row>
    <row r="65" spans="1:10" x14ac:dyDescent="0.2">
      <c r="A65" s="98" t="s">
        <v>184</v>
      </c>
      <c r="B65" s="98">
        <v>2</v>
      </c>
      <c r="C65" s="98" t="s">
        <v>76</v>
      </c>
      <c r="D65" s="98">
        <v>100</v>
      </c>
      <c r="E65" s="98">
        <v>28</v>
      </c>
      <c r="F65" s="98">
        <v>2</v>
      </c>
      <c r="G65" s="98" t="s">
        <v>94</v>
      </c>
      <c r="H65" s="98">
        <v>7.78</v>
      </c>
      <c r="I65" s="98" t="s">
        <v>144</v>
      </c>
      <c r="J65" s="98" t="s">
        <v>167</v>
      </c>
    </row>
    <row r="66" spans="1:10" x14ac:dyDescent="0.2">
      <c r="A66" s="98" t="s">
        <v>184</v>
      </c>
      <c r="B66" s="98">
        <v>2</v>
      </c>
      <c r="C66" s="98" t="s">
        <v>76</v>
      </c>
      <c r="D66" s="98">
        <v>100</v>
      </c>
      <c r="E66" s="98">
        <v>28</v>
      </c>
      <c r="F66" s="98">
        <v>3</v>
      </c>
      <c r="G66" s="98" t="s">
        <v>95</v>
      </c>
      <c r="H66" s="98">
        <v>7.78</v>
      </c>
      <c r="I66" s="98" t="s">
        <v>144</v>
      </c>
      <c r="J66" s="98" t="s">
        <v>167</v>
      </c>
    </row>
    <row r="67" spans="1:10" x14ac:dyDescent="0.2">
      <c r="A67" s="98" t="s">
        <v>188</v>
      </c>
      <c r="B67" s="98">
        <v>16</v>
      </c>
      <c r="C67" s="98" t="s">
        <v>76</v>
      </c>
      <c r="D67" s="98">
        <v>100</v>
      </c>
      <c r="E67" s="98">
        <v>28</v>
      </c>
      <c r="F67" s="98">
        <v>1</v>
      </c>
      <c r="G67" s="98" t="s">
        <v>93</v>
      </c>
      <c r="H67" s="98">
        <v>9.32</v>
      </c>
      <c r="I67" s="98" t="s">
        <v>144</v>
      </c>
      <c r="J67" s="98" t="s">
        <v>169</v>
      </c>
    </row>
    <row r="68" spans="1:10" x14ac:dyDescent="0.2">
      <c r="A68" s="98" t="s">
        <v>188</v>
      </c>
      <c r="B68" s="98">
        <v>16</v>
      </c>
      <c r="C68" s="98" t="s">
        <v>76</v>
      </c>
      <c r="D68" s="98">
        <v>100</v>
      </c>
      <c r="E68" s="98">
        <v>28</v>
      </c>
      <c r="F68" s="98">
        <v>2</v>
      </c>
      <c r="G68" s="98" t="s">
        <v>94</v>
      </c>
      <c r="H68" s="98">
        <v>9.34</v>
      </c>
      <c r="I68" s="98" t="s">
        <v>144</v>
      </c>
      <c r="J68" s="98" t="s">
        <v>169</v>
      </c>
    </row>
    <row r="69" spans="1:10" x14ac:dyDescent="0.2">
      <c r="A69" s="98" t="s">
        <v>188</v>
      </c>
      <c r="B69" s="98">
        <v>16</v>
      </c>
      <c r="C69" s="98" t="s">
        <v>76</v>
      </c>
      <c r="D69" s="98">
        <v>100</v>
      </c>
      <c r="E69" s="98">
        <v>28</v>
      </c>
      <c r="F69" s="98">
        <v>3</v>
      </c>
      <c r="G69" s="98" t="s">
        <v>95</v>
      </c>
      <c r="H69" s="98">
        <v>9.36</v>
      </c>
      <c r="I69" s="98" t="s">
        <v>144</v>
      </c>
      <c r="J69" s="98" t="s">
        <v>169</v>
      </c>
    </row>
    <row r="70" spans="1:10" x14ac:dyDescent="0.2">
      <c r="A70" s="98" t="s">
        <v>190</v>
      </c>
      <c r="B70" s="98">
        <v>22</v>
      </c>
      <c r="C70" s="98" t="s">
        <v>76</v>
      </c>
      <c r="D70" s="98">
        <v>100</v>
      </c>
      <c r="E70" s="98">
        <v>28</v>
      </c>
      <c r="F70" s="98">
        <v>1</v>
      </c>
      <c r="G70" s="98" t="s">
        <v>93</v>
      </c>
      <c r="H70" s="98">
        <v>9.81</v>
      </c>
      <c r="I70" s="98" t="s">
        <v>144</v>
      </c>
      <c r="J70" s="98" t="s">
        <v>171</v>
      </c>
    </row>
    <row r="71" spans="1:10" x14ac:dyDescent="0.2">
      <c r="A71" s="98" t="s">
        <v>190</v>
      </c>
      <c r="B71" s="98">
        <v>22</v>
      </c>
      <c r="C71" s="98" t="s">
        <v>76</v>
      </c>
      <c r="D71" s="98">
        <v>100</v>
      </c>
      <c r="E71" s="98">
        <v>28</v>
      </c>
      <c r="F71" s="98">
        <v>2</v>
      </c>
      <c r="G71" s="98" t="s">
        <v>94</v>
      </c>
      <c r="H71" s="98">
        <v>9.7899999999999991</v>
      </c>
      <c r="I71" s="98" t="s">
        <v>144</v>
      </c>
      <c r="J71" s="98" t="s">
        <v>171</v>
      </c>
    </row>
    <row r="72" spans="1:10" x14ac:dyDescent="0.2">
      <c r="A72" s="98" t="s">
        <v>190</v>
      </c>
      <c r="B72" s="98">
        <v>22</v>
      </c>
      <c r="C72" s="98" t="s">
        <v>76</v>
      </c>
      <c r="D72" s="98">
        <v>100</v>
      </c>
      <c r="E72" s="98">
        <v>28</v>
      </c>
      <c r="F72" s="98">
        <v>3</v>
      </c>
      <c r="G72" s="98" t="s">
        <v>95</v>
      </c>
      <c r="H72" s="98">
        <v>9.7899999999999991</v>
      </c>
      <c r="I72" s="98" t="s">
        <v>144</v>
      </c>
      <c r="J72" s="98" t="s">
        <v>171</v>
      </c>
    </row>
    <row r="73" spans="1:10" x14ac:dyDescent="0.2">
      <c r="A73" s="98" t="s">
        <v>189</v>
      </c>
      <c r="B73" s="98">
        <v>2</v>
      </c>
      <c r="C73" s="98" t="s">
        <v>76</v>
      </c>
      <c r="D73" s="98">
        <v>100</v>
      </c>
      <c r="E73" s="98">
        <v>30</v>
      </c>
      <c r="F73" s="98">
        <v>1</v>
      </c>
      <c r="G73" s="98" t="s">
        <v>105</v>
      </c>
      <c r="H73" s="98">
        <v>7.81</v>
      </c>
      <c r="I73" s="98" t="s">
        <v>149</v>
      </c>
      <c r="J73" s="98" t="s">
        <v>167</v>
      </c>
    </row>
    <row r="74" spans="1:10" x14ac:dyDescent="0.2">
      <c r="A74" s="98" t="s">
        <v>189</v>
      </c>
      <c r="B74" s="98">
        <v>2</v>
      </c>
      <c r="C74" s="98" t="s">
        <v>76</v>
      </c>
      <c r="D74" s="98">
        <v>100</v>
      </c>
      <c r="E74" s="98">
        <v>30</v>
      </c>
      <c r="F74" s="98">
        <v>2</v>
      </c>
      <c r="G74" s="98" t="s">
        <v>106</v>
      </c>
      <c r="H74" s="98">
        <v>7.84</v>
      </c>
      <c r="I74" s="98" t="s">
        <v>149</v>
      </c>
      <c r="J74" s="98" t="s">
        <v>167</v>
      </c>
    </row>
    <row r="75" spans="1:10" x14ac:dyDescent="0.2">
      <c r="A75" s="98" t="s">
        <v>189</v>
      </c>
      <c r="B75" s="98">
        <v>2</v>
      </c>
      <c r="C75" s="98" t="s">
        <v>76</v>
      </c>
      <c r="D75" s="98">
        <v>100</v>
      </c>
      <c r="E75" s="98">
        <v>30</v>
      </c>
      <c r="F75" s="98">
        <v>3</v>
      </c>
      <c r="G75" s="98" t="s">
        <v>107</v>
      </c>
      <c r="H75" s="98">
        <v>7.84</v>
      </c>
      <c r="I75" s="98" t="s">
        <v>149</v>
      </c>
      <c r="J75" s="98" t="s">
        <v>167</v>
      </c>
    </row>
    <row r="76" spans="1:10" x14ac:dyDescent="0.2">
      <c r="A76" s="98" t="s">
        <v>200</v>
      </c>
      <c r="B76" s="98">
        <v>33</v>
      </c>
      <c r="C76" s="98" t="s">
        <v>76</v>
      </c>
      <c r="D76" s="98">
        <v>100</v>
      </c>
      <c r="E76" s="98">
        <v>30</v>
      </c>
      <c r="F76" s="98">
        <v>2</v>
      </c>
      <c r="G76" s="98" t="s">
        <v>106</v>
      </c>
      <c r="H76" s="98">
        <v>8.27</v>
      </c>
      <c r="I76" s="98" t="s">
        <v>149</v>
      </c>
      <c r="J76" s="98" t="s">
        <v>169</v>
      </c>
    </row>
    <row r="77" spans="1:10" x14ac:dyDescent="0.2">
      <c r="A77" s="98" t="s">
        <v>200</v>
      </c>
      <c r="B77" s="98">
        <v>33</v>
      </c>
      <c r="C77" s="98" t="s">
        <v>76</v>
      </c>
      <c r="D77" s="98">
        <v>100</v>
      </c>
      <c r="E77" s="98">
        <v>30</v>
      </c>
      <c r="F77" s="98">
        <v>3</v>
      </c>
      <c r="G77" s="98" t="s">
        <v>107</v>
      </c>
      <c r="H77" s="98">
        <v>7.88</v>
      </c>
      <c r="I77" s="98" t="s">
        <v>149</v>
      </c>
      <c r="J77" s="98" t="s">
        <v>169</v>
      </c>
    </row>
    <row r="78" spans="1:10" x14ac:dyDescent="0.2">
      <c r="A78" s="98" t="s">
        <v>201</v>
      </c>
      <c r="B78" s="98">
        <v>35</v>
      </c>
      <c r="C78" s="98" t="s">
        <v>76</v>
      </c>
      <c r="D78" s="98">
        <v>100</v>
      </c>
      <c r="E78" s="98">
        <v>30</v>
      </c>
      <c r="F78" s="98">
        <v>1</v>
      </c>
      <c r="G78" s="98" t="s">
        <v>105</v>
      </c>
      <c r="H78" s="98">
        <v>9.2799999999999994</v>
      </c>
      <c r="I78" s="98" t="s">
        <v>149</v>
      </c>
      <c r="J78" s="98" t="s">
        <v>171</v>
      </c>
    </row>
    <row r="79" spans="1:10" x14ac:dyDescent="0.2">
      <c r="A79" s="98" t="s">
        <v>201</v>
      </c>
      <c r="B79" s="98">
        <v>35</v>
      </c>
      <c r="C79" s="98" t="s">
        <v>76</v>
      </c>
      <c r="D79" s="98">
        <v>100</v>
      </c>
      <c r="E79" s="98">
        <v>30</v>
      </c>
      <c r="F79" s="98">
        <v>2</v>
      </c>
      <c r="G79" s="98" t="s">
        <v>106</v>
      </c>
      <c r="H79" s="98">
        <v>8.5</v>
      </c>
      <c r="I79" s="98" t="s">
        <v>149</v>
      </c>
      <c r="J79" s="98" t="s">
        <v>171</v>
      </c>
    </row>
    <row r="80" spans="1:10" x14ac:dyDescent="0.2">
      <c r="A80" s="98" t="s">
        <v>201</v>
      </c>
      <c r="B80" s="98">
        <v>35</v>
      </c>
      <c r="C80" s="98" t="s">
        <v>76</v>
      </c>
      <c r="D80" s="98">
        <v>100</v>
      </c>
      <c r="E80" s="98">
        <v>30</v>
      </c>
      <c r="F80" s="98">
        <v>3</v>
      </c>
      <c r="G80" s="98" t="s">
        <v>107</v>
      </c>
      <c r="H80" s="98">
        <v>8.1</v>
      </c>
      <c r="I80" s="98" t="s">
        <v>149</v>
      </c>
      <c r="J80" s="98" t="s">
        <v>171</v>
      </c>
    </row>
    <row r="81" spans="1:10" x14ac:dyDescent="0.2">
      <c r="A81" s="98" t="s">
        <v>202</v>
      </c>
      <c r="B81" s="98">
        <v>2</v>
      </c>
      <c r="C81" s="98" t="s">
        <v>76</v>
      </c>
      <c r="D81" s="98">
        <v>50</v>
      </c>
      <c r="E81" s="98">
        <v>26</v>
      </c>
      <c r="F81" s="98">
        <v>1</v>
      </c>
      <c r="G81" s="98" t="s">
        <v>77</v>
      </c>
      <c r="H81" s="98">
        <v>7.78</v>
      </c>
      <c r="I81" s="98" t="s">
        <v>138</v>
      </c>
      <c r="J81" s="98" t="s">
        <v>167</v>
      </c>
    </row>
    <row r="82" spans="1:10" x14ac:dyDescent="0.2">
      <c r="A82" s="98" t="s">
        <v>202</v>
      </c>
      <c r="B82" s="98">
        <v>2</v>
      </c>
      <c r="C82" s="98" t="s">
        <v>76</v>
      </c>
      <c r="D82" s="98">
        <v>50</v>
      </c>
      <c r="E82" s="98">
        <v>26</v>
      </c>
      <c r="F82" s="98">
        <v>2</v>
      </c>
      <c r="G82" s="98" t="s">
        <v>78</v>
      </c>
      <c r="H82" s="98">
        <v>7.79</v>
      </c>
      <c r="I82" s="98" t="s">
        <v>138</v>
      </c>
      <c r="J82" s="98" t="s">
        <v>167</v>
      </c>
    </row>
    <row r="83" spans="1:10" x14ac:dyDescent="0.2">
      <c r="A83" s="98" t="s">
        <v>202</v>
      </c>
      <c r="B83" s="98">
        <v>2</v>
      </c>
      <c r="C83" s="98" t="s">
        <v>76</v>
      </c>
      <c r="D83" s="98">
        <v>50</v>
      </c>
      <c r="E83" s="98">
        <v>26</v>
      </c>
      <c r="F83" s="98">
        <v>3</v>
      </c>
      <c r="G83" s="98" t="s">
        <v>79</v>
      </c>
      <c r="H83" s="98">
        <v>7.85</v>
      </c>
      <c r="I83" s="98" t="s">
        <v>138</v>
      </c>
      <c r="J83" s="98" t="s">
        <v>167</v>
      </c>
    </row>
    <row r="84" spans="1:10" x14ac:dyDescent="0.2">
      <c r="A84" s="98" t="s">
        <v>182</v>
      </c>
      <c r="B84" s="98">
        <v>18</v>
      </c>
      <c r="C84" s="98" t="s">
        <v>76</v>
      </c>
      <c r="D84" s="98">
        <v>50</v>
      </c>
      <c r="E84" s="98">
        <v>26</v>
      </c>
      <c r="F84" s="98">
        <v>1</v>
      </c>
      <c r="G84" s="98" t="s">
        <v>77</v>
      </c>
      <c r="H84" s="98">
        <v>9.0399999999999991</v>
      </c>
      <c r="I84" s="98" t="s">
        <v>138</v>
      </c>
      <c r="J84" s="98" t="s">
        <v>169</v>
      </c>
    </row>
    <row r="85" spans="1:10" x14ac:dyDescent="0.2">
      <c r="A85" s="98" t="s">
        <v>182</v>
      </c>
      <c r="B85" s="98">
        <v>18</v>
      </c>
      <c r="C85" s="98" t="s">
        <v>76</v>
      </c>
      <c r="D85" s="98">
        <v>50</v>
      </c>
      <c r="E85" s="98">
        <v>26</v>
      </c>
      <c r="F85" s="98">
        <v>2</v>
      </c>
      <c r="G85" s="98" t="s">
        <v>78</v>
      </c>
      <c r="H85" s="98">
        <v>8.94</v>
      </c>
      <c r="I85" s="98" t="s">
        <v>138</v>
      </c>
      <c r="J85" s="98" t="s">
        <v>169</v>
      </c>
    </row>
    <row r="86" spans="1:10" x14ac:dyDescent="0.2">
      <c r="A86" s="98" t="s">
        <v>182</v>
      </c>
      <c r="B86" s="98">
        <v>18</v>
      </c>
      <c r="C86" s="98" t="s">
        <v>76</v>
      </c>
      <c r="D86" s="98">
        <v>50</v>
      </c>
      <c r="E86" s="98">
        <v>26</v>
      </c>
      <c r="F86" s="98">
        <v>3</v>
      </c>
      <c r="G86" s="98" t="s">
        <v>79</v>
      </c>
      <c r="H86" s="98">
        <v>9.07</v>
      </c>
      <c r="I86" s="98" t="s">
        <v>138</v>
      </c>
      <c r="J86" s="98" t="s">
        <v>169</v>
      </c>
    </row>
    <row r="87" spans="1:10" x14ac:dyDescent="0.2">
      <c r="A87" s="98" t="s">
        <v>185</v>
      </c>
      <c r="B87" s="98">
        <v>26</v>
      </c>
      <c r="C87" s="98" t="s">
        <v>76</v>
      </c>
      <c r="D87" s="98">
        <v>50</v>
      </c>
      <c r="E87" s="98">
        <v>26</v>
      </c>
      <c r="F87" s="98">
        <v>1</v>
      </c>
      <c r="G87" s="98" t="s">
        <v>77</v>
      </c>
      <c r="H87" s="98">
        <v>9.8000000000000007</v>
      </c>
      <c r="I87" s="98" t="s">
        <v>138</v>
      </c>
      <c r="J87" s="98" t="s">
        <v>171</v>
      </c>
    </row>
    <row r="88" spans="1:10" x14ac:dyDescent="0.2">
      <c r="A88" s="98" t="s">
        <v>185</v>
      </c>
      <c r="B88" s="98">
        <v>26</v>
      </c>
      <c r="C88" s="98" t="s">
        <v>76</v>
      </c>
      <c r="D88" s="98">
        <v>50</v>
      </c>
      <c r="E88" s="98">
        <v>26</v>
      </c>
      <c r="F88" s="98">
        <v>2</v>
      </c>
      <c r="G88" s="98" t="s">
        <v>78</v>
      </c>
      <c r="H88" s="98">
        <v>9.8000000000000007</v>
      </c>
      <c r="I88" s="98" t="s">
        <v>138</v>
      </c>
      <c r="J88" s="98" t="s">
        <v>171</v>
      </c>
    </row>
    <row r="89" spans="1:10" x14ac:dyDescent="0.2">
      <c r="A89" s="98" t="s">
        <v>185</v>
      </c>
      <c r="B89" s="98">
        <v>26</v>
      </c>
      <c r="C89" s="98" t="s">
        <v>76</v>
      </c>
      <c r="D89" s="98">
        <v>50</v>
      </c>
      <c r="E89" s="98">
        <v>26</v>
      </c>
      <c r="F89" s="98">
        <v>3</v>
      </c>
      <c r="G89" s="98" t="s">
        <v>79</v>
      </c>
      <c r="H89" s="98">
        <v>9.83</v>
      </c>
      <c r="I89" s="98" t="s">
        <v>138</v>
      </c>
      <c r="J89" s="98" t="s">
        <v>171</v>
      </c>
    </row>
    <row r="90" spans="1:10" x14ac:dyDescent="0.2">
      <c r="A90" s="98" t="s">
        <v>184</v>
      </c>
      <c r="B90" s="98">
        <v>2</v>
      </c>
      <c r="C90" s="98" t="s">
        <v>76</v>
      </c>
      <c r="D90" s="98">
        <v>50</v>
      </c>
      <c r="E90" s="98">
        <v>28</v>
      </c>
      <c r="F90" s="98">
        <v>1</v>
      </c>
      <c r="G90" s="98" t="s">
        <v>90</v>
      </c>
      <c r="H90" s="98">
        <v>7.77</v>
      </c>
      <c r="I90" s="98" t="s">
        <v>142</v>
      </c>
      <c r="J90" s="98" t="s">
        <v>167</v>
      </c>
    </row>
    <row r="91" spans="1:10" x14ac:dyDescent="0.2">
      <c r="A91" s="98" t="s">
        <v>184</v>
      </c>
      <c r="B91" s="98">
        <v>2</v>
      </c>
      <c r="C91" s="98" t="s">
        <v>76</v>
      </c>
      <c r="D91" s="98">
        <v>50</v>
      </c>
      <c r="E91" s="98">
        <v>28</v>
      </c>
      <c r="F91" s="98">
        <v>2</v>
      </c>
      <c r="G91" s="98" t="s">
        <v>91</v>
      </c>
      <c r="H91" s="98">
        <v>7.77</v>
      </c>
      <c r="I91" s="98" t="s">
        <v>142</v>
      </c>
      <c r="J91" s="98" t="s">
        <v>167</v>
      </c>
    </row>
    <row r="92" spans="1:10" x14ac:dyDescent="0.2">
      <c r="A92" s="98" t="s">
        <v>184</v>
      </c>
      <c r="B92" s="98">
        <v>2</v>
      </c>
      <c r="C92" s="98" t="s">
        <v>76</v>
      </c>
      <c r="D92" s="98">
        <v>50</v>
      </c>
      <c r="E92" s="98">
        <v>28</v>
      </c>
      <c r="F92" s="98">
        <v>3</v>
      </c>
      <c r="G92" s="98" t="s">
        <v>92</v>
      </c>
      <c r="H92" s="98">
        <v>7.79</v>
      </c>
      <c r="I92" s="98" t="s">
        <v>142</v>
      </c>
      <c r="J92" s="98" t="s">
        <v>167</v>
      </c>
    </row>
    <row r="93" spans="1:10" x14ac:dyDescent="0.2">
      <c r="A93" s="98" t="s">
        <v>188</v>
      </c>
      <c r="B93" s="98">
        <v>16</v>
      </c>
      <c r="C93" s="98" t="s">
        <v>76</v>
      </c>
      <c r="D93" s="98">
        <v>50</v>
      </c>
      <c r="E93" s="98">
        <v>28</v>
      </c>
      <c r="F93" s="98">
        <v>1</v>
      </c>
      <c r="G93" s="98" t="s">
        <v>90</v>
      </c>
      <c r="H93" s="98">
        <v>9.16</v>
      </c>
      <c r="I93" s="98" t="s">
        <v>142</v>
      </c>
      <c r="J93" s="98" t="s">
        <v>169</v>
      </c>
    </row>
    <row r="94" spans="1:10" x14ac:dyDescent="0.2">
      <c r="A94" s="98" t="s">
        <v>188</v>
      </c>
      <c r="B94" s="98">
        <v>16</v>
      </c>
      <c r="C94" s="98" t="s">
        <v>76</v>
      </c>
      <c r="D94" s="98">
        <v>50</v>
      </c>
      <c r="E94" s="98">
        <v>28</v>
      </c>
      <c r="F94" s="98">
        <v>2</v>
      </c>
      <c r="G94" s="98" t="s">
        <v>91</v>
      </c>
      <c r="H94" s="98">
        <v>9.31</v>
      </c>
      <c r="I94" s="98" t="s">
        <v>142</v>
      </c>
      <c r="J94" s="98" t="s">
        <v>169</v>
      </c>
    </row>
    <row r="95" spans="1:10" x14ac:dyDescent="0.2">
      <c r="A95" s="98" t="s">
        <v>188</v>
      </c>
      <c r="B95" s="98">
        <v>16</v>
      </c>
      <c r="C95" s="98" t="s">
        <v>76</v>
      </c>
      <c r="D95" s="98">
        <v>50</v>
      </c>
      <c r="E95" s="98">
        <v>28</v>
      </c>
      <c r="F95" s="98">
        <v>3</v>
      </c>
      <c r="G95" s="98" t="s">
        <v>92</v>
      </c>
      <c r="H95" s="98">
        <v>9.3000000000000007</v>
      </c>
      <c r="I95" s="98" t="s">
        <v>142</v>
      </c>
      <c r="J95" s="98" t="s">
        <v>169</v>
      </c>
    </row>
    <row r="96" spans="1:10" x14ac:dyDescent="0.2">
      <c r="A96" s="98" t="s">
        <v>190</v>
      </c>
      <c r="B96" s="98">
        <v>22</v>
      </c>
      <c r="C96" s="98" t="s">
        <v>76</v>
      </c>
      <c r="D96" s="98">
        <v>50</v>
      </c>
      <c r="E96" s="98">
        <v>28</v>
      </c>
      <c r="F96" s="98">
        <v>1</v>
      </c>
      <c r="G96" s="98" t="s">
        <v>90</v>
      </c>
      <c r="H96" s="98">
        <v>9.66</v>
      </c>
      <c r="I96" s="98" t="s">
        <v>142</v>
      </c>
      <c r="J96" s="98" t="s">
        <v>171</v>
      </c>
    </row>
    <row r="97" spans="1:10" x14ac:dyDescent="0.2">
      <c r="A97" s="98" t="s">
        <v>190</v>
      </c>
      <c r="B97" s="98">
        <v>22</v>
      </c>
      <c r="C97" s="98" t="s">
        <v>76</v>
      </c>
      <c r="D97" s="98">
        <v>50</v>
      </c>
      <c r="E97" s="98">
        <v>28</v>
      </c>
      <c r="F97" s="98">
        <v>2</v>
      </c>
      <c r="G97" s="98" t="s">
        <v>91</v>
      </c>
      <c r="H97" s="98">
        <v>9.83</v>
      </c>
      <c r="I97" s="98" t="s">
        <v>142</v>
      </c>
      <c r="J97" s="98" t="s">
        <v>171</v>
      </c>
    </row>
    <row r="98" spans="1:10" x14ac:dyDescent="0.2">
      <c r="A98" s="98" t="s">
        <v>190</v>
      </c>
      <c r="B98" s="98">
        <v>22</v>
      </c>
      <c r="C98" s="98" t="s">
        <v>76</v>
      </c>
      <c r="D98" s="98">
        <v>50</v>
      </c>
      <c r="E98" s="98">
        <v>28</v>
      </c>
      <c r="F98" s="98">
        <v>3</v>
      </c>
      <c r="G98" s="98" t="s">
        <v>92</v>
      </c>
      <c r="H98" s="98">
        <v>9.8000000000000007</v>
      </c>
      <c r="I98" s="98" t="s">
        <v>142</v>
      </c>
      <c r="J98" s="98" t="s">
        <v>171</v>
      </c>
    </row>
    <row r="99" spans="1:10" x14ac:dyDescent="0.2">
      <c r="A99" s="98" t="s">
        <v>189</v>
      </c>
      <c r="B99" s="98">
        <v>2</v>
      </c>
      <c r="C99" s="98" t="s">
        <v>76</v>
      </c>
      <c r="D99" s="98">
        <v>50</v>
      </c>
      <c r="E99" s="98">
        <v>30</v>
      </c>
      <c r="F99" s="98">
        <v>1</v>
      </c>
      <c r="G99" s="98" t="s">
        <v>102</v>
      </c>
      <c r="H99" s="98">
        <v>7.94</v>
      </c>
      <c r="I99" s="98" t="s">
        <v>147</v>
      </c>
      <c r="J99" s="98" t="s">
        <v>167</v>
      </c>
    </row>
    <row r="100" spans="1:10" x14ac:dyDescent="0.2">
      <c r="A100" s="98" t="s">
        <v>189</v>
      </c>
      <c r="B100" s="98">
        <v>2</v>
      </c>
      <c r="C100" s="98" t="s">
        <v>76</v>
      </c>
      <c r="D100" s="98">
        <v>50</v>
      </c>
      <c r="E100" s="98">
        <v>30</v>
      </c>
      <c r="F100" s="98">
        <v>2</v>
      </c>
      <c r="G100" s="98" t="s">
        <v>103</v>
      </c>
      <c r="H100" s="98">
        <v>7.9</v>
      </c>
      <c r="I100" s="98" t="s">
        <v>147</v>
      </c>
      <c r="J100" s="98" t="s">
        <v>167</v>
      </c>
    </row>
    <row r="101" spans="1:10" x14ac:dyDescent="0.2">
      <c r="A101" s="98" t="s">
        <v>189</v>
      </c>
      <c r="B101" s="98">
        <v>2</v>
      </c>
      <c r="C101" s="98" t="s">
        <v>76</v>
      </c>
      <c r="D101" s="98">
        <v>50</v>
      </c>
      <c r="E101" s="98">
        <v>30</v>
      </c>
      <c r="F101" s="98">
        <v>3</v>
      </c>
      <c r="G101" s="98" t="s">
        <v>104</v>
      </c>
      <c r="H101" s="98">
        <v>7.9</v>
      </c>
      <c r="I101" s="98" t="s">
        <v>147</v>
      </c>
      <c r="J101" s="98" t="s">
        <v>167</v>
      </c>
    </row>
    <row r="102" spans="1:10" x14ac:dyDescent="0.2">
      <c r="A102" s="98" t="s">
        <v>193</v>
      </c>
      <c r="B102" s="98">
        <v>21</v>
      </c>
      <c r="C102" s="98" t="s">
        <v>76</v>
      </c>
      <c r="D102" s="98">
        <v>50</v>
      </c>
      <c r="E102" s="98">
        <v>30</v>
      </c>
      <c r="F102" s="98">
        <v>1</v>
      </c>
      <c r="G102" s="98" t="s">
        <v>102</v>
      </c>
      <c r="H102" s="98">
        <v>8.65</v>
      </c>
      <c r="I102" s="98" t="s">
        <v>147</v>
      </c>
      <c r="J102" s="98" t="s">
        <v>169</v>
      </c>
    </row>
    <row r="103" spans="1:10" x14ac:dyDescent="0.2">
      <c r="A103" s="98" t="s">
        <v>175</v>
      </c>
      <c r="B103" s="98">
        <v>24</v>
      </c>
      <c r="C103" s="98" t="s">
        <v>76</v>
      </c>
      <c r="D103" s="98">
        <v>100</v>
      </c>
      <c r="E103" s="98">
        <v>30</v>
      </c>
      <c r="F103" s="98">
        <v>1</v>
      </c>
      <c r="G103" s="98" t="s">
        <v>105</v>
      </c>
      <c r="H103" s="98">
        <v>8.33</v>
      </c>
      <c r="I103" s="98" t="s">
        <v>149</v>
      </c>
      <c r="J103" s="98" t="s">
        <v>169</v>
      </c>
    </row>
    <row r="104" spans="1:10" x14ac:dyDescent="0.2">
      <c r="A104" s="98" t="s">
        <v>196</v>
      </c>
      <c r="B104" s="98">
        <v>26</v>
      </c>
      <c r="C104" s="98" t="s">
        <v>76</v>
      </c>
      <c r="D104" s="98">
        <v>50</v>
      </c>
      <c r="E104" s="98">
        <v>30</v>
      </c>
      <c r="F104" s="98">
        <v>2</v>
      </c>
      <c r="G104" s="98" t="s">
        <v>103</v>
      </c>
      <c r="H104" s="98">
        <v>8.25</v>
      </c>
      <c r="I104" s="98" t="s">
        <v>147</v>
      </c>
      <c r="J104" s="98" t="s">
        <v>169</v>
      </c>
    </row>
    <row r="105" spans="1:10" x14ac:dyDescent="0.2">
      <c r="A105" s="98" t="s">
        <v>196</v>
      </c>
      <c r="B105" s="98">
        <v>26</v>
      </c>
      <c r="C105" s="98" t="s">
        <v>76</v>
      </c>
      <c r="D105" s="98">
        <v>50</v>
      </c>
      <c r="E105" s="98">
        <v>30</v>
      </c>
      <c r="F105" s="98">
        <v>3</v>
      </c>
      <c r="G105" s="98" t="s">
        <v>104</v>
      </c>
      <c r="H105" s="98">
        <v>8.36</v>
      </c>
      <c r="I105" s="98" t="s">
        <v>147</v>
      </c>
      <c r="J105" s="98" t="s">
        <v>169</v>
      </c>
    </row>
    <row r="106" spans="1:10" x14ac:dyDescent="0.2">
      <c r="A106" s="98" t="s">
        <v>197</v>
      </c>
      <c r="B106" s="98">
        <v>28</v>
      </c>
      <c r="C106" s="98" t="s">
        <v>76</v>
      </c>
      <c r="D106" s="98">
        <v>50</v>
      </c>
      <c r="E106" s="98">
        <v>30</v>
      </c>
      <c r="F106" s="98">
        <v>1</v>
      </c>
      <c r="G106" s="98" t="s">
        <v>102</v>
      </c>
      <c r="H106" s="98">
        <v>9.02</v>
      </c>
      <c r="I106" s="98" t="s">
        <v>147</v>
      </c>
      <c r="J106" s="98" t="s">
        <v>171</v>
      </c>
    </row>
    <row r="107" spans="1:10" x14ac:dyDescent="0.2">
      <c r="A107" s="98" t="s">
        <v>197</v>
      </c>
      <c r="B107" s="98">
        <v>28</v>
      </c>
      <c r="C107" s="98" t="s">
        <v>76</v>
      </c>
      <c r="D107" s="98">
        <v>50</v>
      </c>
      <c r="E107" s="98">
        <v>30</v>
      </c>
      <c r="F107" s="98">
        <v>2</v>
      </c>
      <c r="G107" s="98" t="s">
        <v>103</v>
      </c>
      <c r="H107" s="98">
        <v>8.3699999999999992</v>
      </c>
      <c r="I107" s="98" t="s">
        <v>147</v>
      </c>
      <c r="J107" s="98" t="s">
        <v>171</v>
      </c>
    </row>
    <row r="108" spans="1:10" x14ac:dyDescent="0.2">
      <c r="A108" s="98" t="s">
        <v>197</v>
      </c>
      <c r="B108" s="98">
        <v>28</v>
      </c>
      <c r="C108" s="98" t="s">
        <v>76</v>
      </c>
      <c r="D108" s="98">
        <v>50</v>
      </c>
      <c r="E108" s="98">
        <v>30</v>
      </c>
      <c r="F108" s="98">
        <v>3</v>
      </c>
      <c r="G108" s="98" t="s">
        <v>104</v>
      </c>
      <c r="H108" s="98">
        <v>8.41</v>
      </c>
      <c r="I108" s="98" t="s">
        <v>147</v>
      </c>
      <c r="J108" s="98" t="s">
        <v>171</v>
      </c>
    </row>
    <row r="109" spans="1:10" x14ac:dyDescent="0.2">
      <c r="A109" s="98" t="s">
        <v>190</v>
      </c>
      <c r="B109" s="98">
        <v>2</v>
      </c>
      <c r="C109" s="98" t="s">
        <v>80</v>
      </c>
      <c r="D109" s="98">
        <v>10</v>
      </c>
      <c r="E109" s="98">
        <v>26</v>
      </c>
      <c r="F109" s="98">
        <v>1</v>
      </c>
      <c r="G109" s="98" t="s">
        <v>123</v>
      </c>
      <c r="H109" s="98">
        <v>7.75</v>
      </c>
      <c r="I109" s="98" t="s">
        <v>154</v>
      </c>
      <c r="J109" s="98" t="s">
        <v>167</v>
      </c>
    </row>
    <row r="110" spans="1:10" x14ac:dyDescent="0.2">
      <c r="A110" s="98" t="s">
        <v>190</v>
      </c>
      <c r="B110" s="98">
        <v>2</v>
      </c>
      <c r="C110" s="98" t="s">
        <v>80</v>
      </c>
      <c r="D110" s="98">
        <v>10</v>
      </c>
      <c r="E110" s="98">
        <v>26</v>
      </c>
      <c r="F110" s="98">
        <v>2</v>
      </c>
      <c r="G110" s="98" t="s">
        <v>124</v>
      </c>
      <c r="H110" s="98">
        <v>7.74</v>
      </c>
      <c r="I110" s="98" t="s">
        <v>154</v>
      </c>
      <c r="J110" s="98" t="s">
        <v>167</v>
      </c>
    </row>
    <row r="111" spans="1:10" x14ac:dyDescent="0.2">
      <c r="A111" s="98" t="s">
        <v>190</v>
      </c>
      <c r="B111" s="98">
        <v>2</v>
      </c>
      <c r="C111" s="98" t="s">
        <v>80</v>
      </c>
      <c r="D111" s="98">
        <v>10</v>
      </c>
      <c r="E111" s="98">
        <v>26</v>
      </c>
      <c r="F111" s="98">
        <v>3</v>
      </c>
      <c r="G111" s="98" t="s">
        <v>125</v>
      </c>
      <c r="H111" s="98">
        <v>7.75</v>
      </c>
      <c r="I111" s="98" t="s">
        <v>154</v>
      </c>
      <c r="J111" s="98" t="s">
        <v>167</v>
      </c>
    </row>
    <row r="112" spans="1:10" x14ac:dyDescent="0.2">
      <c r="A112" s="98" t="s">
        <v>192</v>
      </c>
      <c r="B112" s="98">
        <v>14</v>
      </c>
      <c r="C112" s="98" t="s">
        <v>80</v>
      </c>
      <c r="D112" s="98">
        <v>10</v>
      </c>
      <c r="E112" s="98">
        <v>26</v>
      </c>
      <c r="F112" s="98">
        <v>1</v>
      </c>
      <c r="G112" s="98" t="s">
        <v>123</v>
      </c>
      <c r="H112" s="98">
        <v>9.06</v>
      </c>
      <c r="I112" s="98" t="s">
        <v>154</v>
      </c>
      <c r="J112" s="98" t="s">
        <v>169</v>
      </c>
    </row>
    <row r="113" spans="1:10" x14ac:dyDescent="0.2">
      <c r="A113" s="98" t="s">
        <v>192</v>
      </c>
      <c r="B113" s="98">
        <v>14</v>
      </c>
      <c r="C113" s="98" t="s">
        <v>80</v>
      </c>
      <c r="D113" s="98">
        <v>10</v>
      </c>
      <c r="E113" s="98">
        <v>26</v>
      </c>
      <c r="F113" s="98">
        <v>2</v>
      </c>
      <c r="G113" s="98" t="s">
        <v>124</v>
      </c>
      <c r="H113" s="98">
        <v>9.1300000000000008</v>
      </c>
      <c r="I113" s="98" t="s">
        <v>154</v>
      </c>
      <c r="J113" s="98" t="s">
        <v>169</v>
      </c>
    </row>
    <row r="114" spans="1:10" x14ac:dyDescent="0.2">
      <c r="A114" s="98" t="s">
        <v>192</v>
      </c>
      <c r="B114" s="98">
        <v>14</v>
      </c>
      <c r="C114" s="98" t="s">
        <v>80</v>
      </c>
      <c r="D114" s="98">
        <v>10</v>
      </c>
      <c r="E114" s="98">
        <v>26</v>
      </c>
      <c r="F114" s="98">
        <v>3</v>
      </c>
      <c r="G114" s="98" t="s">
        <v>125</v>
      </c>
      <c r="H114" s="98">
        <v>9.16</v>
      </c>
      <c r="I114" s="98" t="s">
        <v>154</v>
      </c>
      <c r="J114" s="98" t="s">
        <v>169</v>
      </c>
    </row>
    <row r="115" spans="1:10" x14ac:dyDescent="0.2">
      <c r="A115" s="98" t="s">
        <v>193</v>
      </c>
      <c r="B115" s="98">
        <v>16</v>
      </c>
      <c r="C115" s="98" t="s">
        <v>80</v>
      </c>
      <c r="D115" s="98">
        <v>10</v>
      </c>
      <c r="E115" s="98">
        <v>26</v>
      </c>
      <c r="F115" s="98">
        <v>1</v>
      </c>
      <c r="G115" s="98" t="s">
        <v>123</v>
      </c>
      <c r="H115" s="98">
        <v>9.31</v>
      </c>
      <c r="I115" s="98" t="s">
        <v>154</v>
      </c>
      <c r="J115" s="98" t="s">
        <v>171</v>
      </c>
    </row>
    <row r="116" spans="1:10" x14ac:dyDescent="0.2">
      <c r="A116" s="98" t="s">
        <v>193</v>
      </c>
      <c r="B116" s="98">
        <v>16</v>
      </c>
      <c r="C116" s="98" t="s">
        <v>80</v>
      </c>
      <c r="D116" s="98">
        <v>10</v>
      </c>
      <c r="E116" s="98">
        <v>26</v>
      </c>
      <c r="F116" s="98">
        <v>2</v>
      </c>
      <c r="G116" s="98" t="s">
        <v>124</v>
      </c>
      <c r="H116" s="98">
        <v>9.36</v>
      </c>
      <c r="I116" s="98" t="s">
        <v>154</v>
      </c>
      <c r="J116" s="98" t="s">
        <v>171</v>
      </c>
    </row>
    <row r="117" spans="1:10" x14ac:dyDescent="0.2">
      <c r="A117" s="98" t="s">
        <v>193</v>
      </c>
      <c r="B117" s="98">
        <v>16</v>
      </c>
      <c r="C117" s="98" t="s">
        <v>80</v>
      </c>
      <c r="D117" s="98">
        <v>10</v>
      </c>
      <c r="E117" s="98">
        <v>26</v>
      </c>
      <c r="F117" s="98">
        <v>3</v>
      </c>
      <c r="G117" s="98" t="s">
        <v>125</v>
      </c>
      <c r="H117" s="98">
        <v>9.3800000000000008</v>
      </c>
      <c r="I117" s="98" t="s">
        <v>154</v>
      </c>
      <c r="J117" s="98" t="s">
        <v>171</v>
      </c>
    </row>
    <row r="118" spans="1:10" x14ac:dyDescent="0.2">
      <c r="A118" s="98" t="s">
        <v>191</v>
      </c>
      <c r="B118" s="98">
        <v>2</v>
      </c>
      <c r="C118" s="98" t="s">
        <v>80</v>
      </c>
      <c r="D118" s="98">
        <v>10</v>
      </c>
      <c r="E118" s="98">
        <v>28</v>
      </c>
      <c r="F118" s="98">
        <v>1</v>
      </c>
      <c r="G118" s="98" t="s">
        <v>126</v>
      </c>
      <c r="H118" s="98">
        <v>7.78</v>
      </c>
      <c r="I118" s="98" t="s">
        <v>155</v>
      </c>
      <c r="J118" s="98" t="s">
        <v>167</v>
      </c>
    </row>
    <row r="119" spans="1:10" x14ac:dyDescent="0.2">
      <c r="A119" s="98" t="s">
        <v>191</v>
      </c>
      <c r="B119" s="98">
        <v>2</v>
      </c>
      <c r="C119" s="98" t="s">
        <v>80</v>
      </c>
      <c r="D119" s="98">
        <v>10</v>
      </c>
      <c r="E119" s="98">
        <v>28</v>
      </c>
      <c r="F119" s="98">
        <v>2</v>
      </c>
      <c r="G119" s="98" t="s">
        <v>127</v>
      </c>
      <c r="H119" s="98">
        <v>7.76</v>
      </c>
      <c r="I119" s="98" t="s">
        <v>155</v>
      </c>
      <c r="J119" s="98" t="s">
        <v>167</v>
      </c>
    </row>
    <row r="120" spans="1:10" x14ac:dyDescent="0.2">
      <c r="A120" s="98" t="s">
        <v>191</v>
      </c>
      <c r="B120" s="98">
        <v>2</v>
      </c>
      <c r="C120" s="98" t="s">
        <v>80</v>
      </c>
      <c r="D120" s="98">
        <v>10</v>
      </c>
      <c r="E120" s="98">
        <v>28</v>
      </c>
      <c r="F120" s="98">
        <v>3</v>
      </c>
      <c r="G120" s="98" t="s">
        <v>128</v>
      </c>
      <c r="H120" s="98">
        <v>7.73</v>
      </c>
      <c r="I120" s="98" t="s">
        <v>155</v>
      </c>
      <c r="J120" s="98" t="s">
        <v>167</v>
      </c>
    </row>
    <row r="121" spans="1:10" x14ac:dyDescent="0.2">
      <c r="A121" s="98" t="s">
        <v>193</v>
      </c>
      <c r="B121" s="98">
        <v>14</v>
      </c>
      <c r="C121" s="98" t="s">
        <v>80</v>
      </c>
      <c r="D121" s="98">
        <v>10</v>
      </c>
      <c r="E121" s="98">
        <v>28</v>
      </c>
      <c r="F121" s="98">
        <v>1</v>
      </c>
      <c r="G121" s="98" t="s">
        <v>126</v>
      </c>
      <c r="H121" s="98">
        <v>9.1</v>
      </c>
      <c r="I121" s="98" t="s">
        <v>155</v>
      </c>
      <c r="J121" s="98" t="s">
        <v>169</v>
      </c>
    </row>
    <row r="122" spans="1:10" x14ac:dyDescent="0.2">
      <c r="A122" s="98" t="s">
        <v>193</v>
      </c>
      <c r="B122" s="98">
        <v>14</v>
      </c>
      <c r="C122" s="98" t="s">
        <v>80</v>
      </c>
      <c r="D122" s="98">
        <v>10</v>
      </c>
      <c r="E122" s="98">
        <v>28</v>
      </c>
      <c r="F122" s="98">
        <v>2</v>
      </c>
      <c r="G122" s="98" t="s">
        <v>127</v>
      </c>
      <c r="H122" s="98">
        <v>9.06</v>
      </c>
      <c r="I122" s="98" t="s">
        <v>155</v>
      </c>
      <c r="J122" s="98" t="s">
        <v>169</v>
      </c>
    </row>
    <row r="123" spans="1:10" x14ac:dyDescent="0.2">
      <c r="A123" s="98" t="s">
        <v>193</v>
      </c>
      <c r="B123" s="98">
        <v>14</v>
      </c>
      <c r="C123" s="98" t="s">
        <v>80</v>
      </c>
      <c r="D123" s="98">
        <v>10</v>
      </c>
      <c r="E123" s="98">
        <v>28</v>
      </c>
      <c r="F123" s="98">
        <v>3</v>
      </c>
      <c r="G123" s="98" t="s">
        <v>128</v>
      </c>
      <c r="H123" s="98">
        <v>9.06</v>
      </c>
      <c r="I123" s="98" t="s">
        <v>155</v>
      </c>
      <c r="J123" s="98" t="s">
        <v>169</v>
      </c>
    </row>
    <row r="124" spans="1:10" x14ac:dyDescent="0.2">
      <c r="A124" s="98" t="s">
        <v>194</v>
      </c>
      <c r="B124" s="98">
        <v>16</v>
      </c>
      <c r="C124" s="98" t="s">
        <v>80</v>
      </c>
      <c r="D124" s="98">
        <v>10</v>
      </c>
      <c r="E124" s="98">
        <v>28</v>
      </c>
      <c r="F124" s="98">
        <v>1</v>
      </c>
      <c r="G124" s="98" t="s">
        <v>126</v>
      </c>
      <c r="H124" s="98">
        <v>9.2899999999999991</v>
      </c>
      <c r="I124" s="98" t="s">
        <v>155</v>
      </c>
      <c r="J124" s="98" t="s">
        <v>171</v>
      </c>
    </row>
    <row r="125" spans="1:10" x14ac:dyDescent="0.2">
      <c r="A125" s="98" t="s">
        <v>194</v>
      </c>
      <c r="B125" s="98">
        <v>16</v>
      </c>
      <c r="C125" s="98" t="s">
        <v>80</v>
      </c>
      <c r="D125" s="98">
        <v>10</v>
      </c>
      <c r="E125" s="98">
        <v>28</v>
      </c>
      <c r="F125" s="98">
        <v>2</v>
      </c>
      <c r="G125" s="98" t="s">
        <v>127</v>
      </c>
      <c r="H125" s="98">
        <v>9.2899999999999991</v>
      </c>
      <c r="I125" s="98" t="s">
        <v>155</v>
      </c>
      <c r="J125" s="98" t="s">
        <v>171</v>
      </c>
    </row>
    <row r="126" spans="1:10" x14ac:dyDescent="0.2">
      <c r="A126" s="98" t="s">
        <v>194</v>
      </c>
      <c r="B126" s="98">
        <v>16</v>
      </c>
      <c r="C126" s="98" t="s">
        <v>80</v>
      </c>
      <c r="D126" s="98">
        <v>10</v>
      </c>
      <c r="E126" s="98">
        <v>28</v>
      </c>
      <c r="F126" s="98">
        <v>3</v>
      </c>
      <c r="G126" s="98" t="s">
        <v>128</v>
      </c>
      <c r="H126" s="98">
        <v>9.31</v>
      </c>
      <c r="I126" s="98" t="s">
        <v>155</v>
      </c>
      <c r="J126" s="98" t="s">
        <v>171</v>
      </c>
    </row>
    <row r="127" spans="1:10" x14ac:dyDescent="0.2">
      <c r="A127" s="98" t="s">
        <v>190</v>
      </c>
      <c r="B127" s="98">
        <v>2</v>
      </c>
      <c r="C127" s="98" t="s">
        <v>80</v>
      </c>
      <c r="D127" s="98">
        <v>10</v>
      </c>
      <c r="E127" s="98">
        <v>30</v>
      </c>
      <c r="F127" s="98">
        <v>1</v>
      </c>
      <c r="G127" s="98" t="s">
        <v>129</v>
      </c>
      <c r="H127" s="98">
        <v>7.57</v>
      </c>
      <c r="I127" s="98" t="s">
        <v>157</v>
      </c>
      <c r="J127" s="98" t="s">
        <v>167</v>
      </c>
    </row>
    <row r="128" spans="1:10" x14ac:dyDescent="0.2">
      <c r="A128" s="98" t="s">
        <v>190</v>
      </c>
      <c r="B128" s="98">
        <v>2</v>
      </c>
      <c r="C128" s="98" t="s">
        <v>80</v>
      </c>
      <c r="D128" s="98">
        <v>10</v>
      </c>
      <c r="E128" s="98">
        <v>30</v>
      </c>
      <c r="F128" s="98">
        <v>2</v>
      </c>
      <c r="G128" s="98" t="s">
        <v>130</v>
      </c>
      <c r="H128" s="98">
        <v>7.74</v>
      </c>
      <c r="I128" s="98" t="s">
        <v>157</v>
      </c>
      <c r="J128" s="98" t="s">
        <v>167</v>
      </c>
    </row>
    <row r="129" spans="1:10" x14ac:dyDescent="0.2">
      <c r="A129" s="98" t="s">
        <v>190</v>
      </c>
      <c r="B129" s="98">
        <v>2</v>
      </c>
      <c r="C129" s="98" t="s">
        <v>80</v>
      </c>
      <c r="D129" s="98">
        <v>10</v>
      </c>
      <c r="E129" s="98">
        <v>30</v>
      </c>
      <c r="F129" s="98">
        <v>3</v>
      </c>
      <c r="G129" s="98" t="s">
        <v>131</v>
      </c>
      <c r="H129" s="98">
        <v>7.75</v>
      </c>
      <c r="I129" s="98" t="s">
        <v>157</v>
      </c>
      <c r="J129" s="98" t="s">
        <v>167</v>
      </c>
    </row>
    <row r="130" spans="1:10" x14ac:dyDescent="0.2">
      <c r="A130" s="98" t="s">
        <v>198</v>
      </c>
      <c r="B130" s="98">
        <v>24</v>
      </c>
      <c r="C130" s="98" t="s">
        <v>80</v>
      </c>
      <c r="D130" s="98">
        <v>10</v>
      </c>
      <c r="E130" s="98">
        <v>30</v>
      </c>
      <c r="F130" s="98">
        <v>1</v>
      </c>
      <c r="G130" s="98" t="s">
        <v>129</v>
      </c>
      <c r="H130" s="98">
        <v>7.63</v>
      </c>
      <c r="I130" s="98" t="s">
        <v>157</v>
      </c>
      <c r="J130" s="98" t="s">
        <v>171</v>
      </c>
    </row>
    <row r="131" spans="1:10" x14ac:dyDescent="0.2">
      <c r="A131" s="98" t="s">
        <v>198</v>
      </c>
      <c r="B131" s="98">
        <v>24</v>
      </c>
      <c r="C131" s="98" t="s">
        <v>80</v>
      </c>
      <c r="D131" s="98">
        <v>10</v>
      </c>
      <c r="E131" s="98">
        <v>30</v>
      </c>
      <c r="F131" s="98">
        <v>2</v>
      </c>
      <c r="G131" s="98" t="s">
        <v>130</v>
      </c>
      <c r="H131" s="98">
        <v>7.72</v>
      </c>
      <c r="I131" s="98" t="s">
        <v>157</v>
      </c>
      <c r="J131" s="98" t="s">
        <v>171</v>
      </c>
    </row>
    <row r="132" spans="1:10" x14ac:dyDescent="0.2">
      <c r="A132" s="98" t="s">
        <v>198</v>
      </c>
      <c r="B132" s="98">
        <v>24</v>
      </c>
      <c r="C132" s="98" t="s">
        <v>80</v>
      </c>
      <c r="D132" s="98">
        <v>10</v>
      </c>
      <c r="E132" s="98">
        <v>30</v>
      </c>
      <c r="F132" s="98">
        <v>3</v>
      </c>
      <c r="G132" s="98" t="s">
        <v>131</v>
      </c>
      <c r="H132" s="98">
        <v>7.73</v>
      </c>
      <c r="I132" s="98" t="s">
        <v>157</v>
      </c>
      <c r="J132" s="98" t="s">
        <v>171</v>
      </c>
    </row>
    <row r="133" spans="1:10" x14ac:dyDescent="0.2">
      <c r="A133" s="98" t="s">
        <v>179</v>
      </c>
      <c r="B133" s="98">
        <v>2</v>
      </c>
      <c r="C133" s="98" t="s">
        <v>80</v>
      </c>
      <c r="D133" s="98">
        <v>100</v>
      </c>
      <c r="E133" s="98">
        <v>26</v>
      </c>
      <c r="F133" s="98">
        <v>1</v>
      </c>
      <c r="G133" s="98" t="s">
        <v>84</v>
      </c>
      <c r="H133" s="98">
        <v>7.78</v>
      </c>
      <c r="I133" s="98" t="s">
        <v>140</v>
      </c>
      <c r="J133" s="98" t="s">
        <v>167</v>
      </c>
    </row>
    <row r="134" spans="1:10" x14ac:dyDescent="0.2">
      <c r="A134" s="98" t="s">
        <v>179</v>
      </c>
      <c r="B134" s="98">
        <v>2</v>
      </c>
      <c r="C134" s="98" t="s">
        <v>80</v>
      </c>
      <c r="D134" s="98">
        <v>100</v>
      </c>
      <c r="E134" s="98">
        <v>26</v>
      </c>
      <c r="F134" s="98">
        <v>2</v>
      </c>
      <c r="G134" s="98" t="s">
        <v>85</v>
      </c>
      <c r="H134" s="98">
        <v>7.8</v>
      </c>
      <c r="I134" s="98" t="s">
        <v>140</v>
      </c>
      <c r="J134" s="98" t="s">
        <v>167</v>
      </c>
    </row>
    <row r="135" spans="1:10" x14ac:dyDescent="0.2">
      <c r="A135" s="98" t="s">
        <v>179</v>
      </c>
      <c r="B135" s="98">
        <v>2</v>
      </c>
      <c r="C135" s="98" t="s">
        <v>80</v>
      </c>
      <c r="D135" s="98">
        <v>100</v>
      </c>
      <c r="E135" s="98">
        <v>26</v>
      </c>
      <c r="F135" s="98">
        <v>3</v>
      </c>
      <c r="G135" s="98" t="s">
        <v>86</v>
      </c>
      <c r="H135" s="98">
        <v>7.81</v>
      </c>
      <c r="I135" s="98" t="s">
        <v>140</v>
      </c>
      <c r="J135" s="98" t="s">
        <v>167</v>
      </c>
    </row>
    <row r="136" spans="1:10" x14ac:dyDescent="0.2">
      <c r="A136" s="98" t="s">
        <v>182</v>
      </c>
      <c r="B136" s="98">
        <v>16</v>
      </c>
      <c r="C136" s="98" t="s">
        <v>80</v>
      </c>
      <c r="D136" s="98">
        <v>100</v>
      </c>
      <c r="E136" s="98">
        <v>26</v>
      </c>
      <c r="F136" s="98">
        <v>1</v>
      </c>
      <c r="G136" s="98" t="s">
        <v>84</v>
      </c>
      <c r="H136" s="98">
        <v>9.08</v>
      </c>
      <c r="I136" s="98" t="s">
        <v>140</v>
      </c>
      <c r="J136" s="98" t="s">
        <v>169</v>
      </c>
    </row>
    <row r="137" spans="1:10" x14ac:dyDescent="0.2">
      <c r="A137" s="98" t="s">
        <v>182</v>
      </c>
      <c r="B137" s="98">
        <v>16</v>
      </c>
      <c r="C137" s="98" t="s">
        <v>80</v>
      </c>
      <c r="D137" s="98">
        <v>100</v>
      </c>
      <c r="E137" s="98">
        <v>26</v>
      </c>
      <c r="F137" s="98">
        <v>2</v>
      </c>
      <c r="G137" s="98" t="s">
        <v>85</v>
      </c>
      <c r="H137" s="98">
        <v>9.0399999999999991</v>
      </c>
      <c r="I137" s="98" t="s">
        <v>140</v>
      </c>
      <c r="J137" s="98" t="s">
        <v>169</v>
      </c>
    </row>
    <row r="138" spans="1:10" x14ac:dyDescent="0.2">
      <c r="A138" s="98" t="s">
        <v>182</v>
      </c>
      <c r="B138" s="98">
        <v>16</v>
      </c>
      <c r="C138" s="98" t="s">
        <v>80</v>
      </c>
      <c r="D138" s="98">
        <v>100</v>
      </c>
      <c r="E138" s="98">
        <v>26</v>
      </c>
      <c r="F138" s="98">
        <v>3</v>
      </c>
      <c r="G138" s="98" t="s">
        <v>86</v>
      </c>
      <c r="H138" s="98">
        <v>9.2799999999999994</v>
      </c>
      <c r="I138" s="98" t="s">
        <v>140</v>
      </c>
      <c r="J138" s="98" t="s">
        <v>169</v>
      </c>
    </row>
    <row r="139" spans="1:10" x14ac:dyDescent="0.2">
      <c r="A139" s="98" t="s">
        <v>185</v>
      </c>
      <c r="B139" s="98">
        <v>26</v>
      </c>
      <c r="C139" s="98" t="s">
        <v>80</v>
      </c>
      <c r="D139" s="98">
        <v>100</v>
      </c>
      <c r="E139" s="98">
        <v>26</v>
      </c>
      <c r="F139" s="98">
        <v>1</v>
      </c>
      <c r="G139" s="98" t="s">
        <v>84</v>
      </c>
      <c r="H139" s="98">
        <v>9.7799999999999994</v>
      </c>
      <c r="I139" s="98" t="s">
        <v>140</v>
      </c>
      <c r="J139" s="98" t="s">
        <v>171</v>
      </c>
    </row>
    <row r="140" spans="1:10" x14ac:dyDescent="0.2">
      <c r="A140" s="98" t="s">
        <v>185</v>
      </c>
      <c r="B140" s="98">
        <v>26</v>
      </c>
      <c r="C140" s="98" t="s">
        <v>80</v>
      </c>
      <c r="D140" s="98">
        <v>100</v>
      </c>
      <c r="E140" s="98">
        <v>26</v>
      </c>
      <c r="F140" s="98">
        <v>2</v>
      </c>
      <c r="G140" s="98" t="s">
        <v>85</v>
      </c>
      <c r="H140" s="98">
        <v>9.8000000000000007</v>
      </c>
      <c r="I140" s="98" t="s">
        <v>140</v>
      </c>
      <c r="J140" s="98" t="s">
        <v>171</v>
      </c>
    </row>
    <row r="141" spans="1:10" x14ac:dyDescent="0.2">
      <c r="A141" s="98" t="s">
        <v>185</v>
      </c>
      <c r="B141" s="98">
        <v>26</v>
      </c>
      <c r="C141" s="98" t="s">
        <v>80</v>
      </c>
      <c r="D141" s="98">
        <v>100</v>
      </c>
      <c r="E141" s="98">
        <v>26</v>
      </c>
      <c r="F141" s="98">
        <v>3</v>
      </c>
      <c r="G141" s="98" t="s">
        <v>86</v>
      </c>
      <c r="H141" s="98">
        <v>9.81</v>
      </c>
      <c r="I141" s="98" t="s">
        <v>140</v>
      </c>
      <c r="J141" s="98" t="s">
        <v>171</v>
      </c>
    </row>
    <row r="142" spans="1:10" x14ac:dyDescent="0.2">
      <c r="A142" s="98" t="s">
        <v>184</v>
      </c>
      <c r="B142" s="98">
        <v>2</v>
      </c>
      <c r="C142" s="98" t="s">
        <v>80</v>
      </c>
      <c r="D142" s="98">
        <v>100</v>
      </c>
      <c r="E142" s="98">
        <v>28</v>
      </c>
      <c r="F142" s="98">
        <v>1</v>
      </c>
      <c r="G142" s="98" t="s">
        <v>99</v>
      </c>
      <c r="H142" s="98">
        <v>7.79</v>
      </c>
      <c r="I142" s="98" t="s">
        <v>146</v>
      </c>
      <c r="J142" s="98" t="s">
        <v>167</v>
      </c>
    </row>
    <row r="143" spans="1:10" x14ac:dyDescent="0.2">
      <c r="A143" s="98" t="s">
        <v>184</v>
      </c>
      <c r="B143" s="98">
        <v>2</v>
      </c>
      <c r="C143" s="98" t="s">
        <v>80</v>
      </c>
      <c r="D143" s="98">
        <v>100</v>
      </c>
      <c r="E143" s="98">
        <v>28</v>
      </c>
      <c r="F143" s="98">
        <v>2</v>
      </c>
      <c r="G143" s="98" t="s">
        <v>100</v>
      </c>
      <c r="H143" s="98">
        <v>7.84</v>
      </c>
      <c r="I143" s="98" t="s">
        <v>146</v>
      </c>
      <c r="J143" s="98" t="s">
        <v>167</v>
      </c>
    </row>
    <row r="144" spans="1:10" x14ac:dyDescent="0.2">
      <c r="A144" s="98" t="s">
        <v>184</v>
      </c>
      <c r="B144" s="98">
        <v>2</v>
      </c>
      <c r="C144" s="98" t="s">
        <v>80</v>
      </c>
      <c r="D144" s="98">
        <v>100</v>
      </c>
      <c r="E144" s="98">
        <v>28</v>
      </c>
      <c r="F144" s="98">
        <v>3</v>
      </c>
      <c r="G144" s="98" t="s">
        <v>101</v>
      </c>
      <c r="H144" s="98">
        <v>7.84</v>
      </c>
      <c r="I144" s="98" t="s">
        <v>146</v>
      </c>
      <c r="J144" s="98" t="s">
        <v>167</v>
      </c>
    </row>
    <row r="145" spans="1:10" x14ac:dyDescent="0.2">
      <c r="A145" s="98" t="s">
        <v>187</v>
      </c>
      <c r="B145" s="98">
        <v>14</v>
      </c>
      <c r="C145" s="98" t="s">
        <v>80</v>
      </c>
      <c r="D145" s="98">
        <v>100</v>
      </c>
      <c r="E145" s="98">
        <v>28</v>
      </c>
      <c r="F145" s="98">
        <v>1</v>
      </c>
      <c r="G145" s="98" t="s">
        <v>99</v>
      </c>
      <c r="H145" s="98">
        <v>9.2100000000000009</v>
      </c>
      <c r="I145" s="98" t="s">
        <v>146</v>
      </c>
      <c r="J145" s="98" t="s">
        <v>169</v>
      </c>
    </row>
    <row r="146" spans="1:10" x14ac:dyDescent="0.2">
      <c r="A146" s="98" t="s">
        <v>187</v>
      </c>
      <c r="B146" s="98">
        <v>14</v>
      </c>
      <c r="C146" s="98" t="s">
        <v>80</v>
      </c>
      <c r="D146" s="98">
        <v>100</v>
      </c>
      <c r="E146" s="98">
        <v>28</v>
      </c>
      <c r="F146" s="98">
        <v>2</v>
      </c>
      <c r="G146" s="98" t="s">
        <v>100</v>
      </c>
      <c r="H146" s="98">
        <v>9.08</v>
      </c>
      <c r="I146" s="98" t="s">
        <v>146</v>
      </c>
      <c r="J146" s="98" t="s">
        <v>169</v>
      </c>
    </row>
    <row r="147" spans="1:10" x14ac:dyDescent="0.2">
      <c r="A147" s="98" t="s">
        <v>187</v>
      </c>
      <c r="B147" s="98">
        <v>14</v>
      </c>
      <c r="C147" s="98" t="s">
        <v>80</v>
      </c>
      <c r="D147" s="98">
        <v>100</v>
      </c>
      <c r="E147" s="98">
        <v>28</v>
      </c>
      <c r="F147" s="98">
        <v>3</v>
      </c>
      <c r="G147" s="98" t="s">
        <v>101</v>
      </c>
      <c r="H147" s="98">
        <v>9.1300000000000008</v>
      </c>
      <c r="I147" s="98" t="s">
        <v>146</v>
      </c>
      <c r="J147" s="98" t="s">
        <v>169</v>
      </c>
    </row>
    <row r="148" spans="1:10" x14ac:dyDescent="0.2">
      <c r="A148" s="98" t="s">
        <v>170</v>
      </c>
      <c r="B148" s="98">
        <v>18</v>
      </c>
      <c r="C148" s="98" t="s">
        <v>80</v>
      </c>
      <c r="D148" s="98">
        <v>100</v>
      </c>
      <c r="E148" s="98">
        <v>28</v>
      </c>
      <c r="F148" s="98">
        <v>1</v>
      </c>
      <c r="G148" s="98" t="s">
        <v>99</v>
      </c>
      <c r="H148" s="98">
        <v>9.76</v>
      </c>
      <c r="I148" s="98" t="s">
        <v>146</v>
      </c>
      <c r="J148" s="98" t="s">
        <v>171</v>
      </c>
    </row>
    <row r="149" spans="1:10" x14ac:dyDescent="0.2">
      <c r="A149" s="98" t="s">
        <v>170</v>
      </c>
      <c r="B149" s="98">
        <v>18</v>
      </c>
      <c r="C149" s="98" t="s">
        <v>80</v>
      </c>
      <c r="D149" s="98">
        <v>100</v>
      </c>
      <c r="E149" s="98">
        <v>28</v>
      </c>
      <c r="F149" s="98">
        <v>2</v>
      </c>
      <c r="G149" s="98" t="s">
        <v>100</v>
      </c>
      <c r="H149" s="98">
        <v>9.68</v>
      </c>
      <c r="I149" s="98" t="s">
        <v>146</v>
      </c>
      <c r="J149" s="98" t="s">
        <v>171</v>
      </c>
    </row>
    <row r="150" spans="1:10" x14ac:dyDescent="0.2">
      <c r="A150" s="98" t="s">
        <v>170</v>
      </c>
      <c r="B150" s="98">
        <v>18</v>
      </c>
      <c r="C150" s="98" t="s">
        <v>80</v>
      </c>
      <c r="D150" s="98">
        <v>100</v>
      </c>
      <c r="E150" s="98">
        <v>28</v>
      </c>
      <c r="F150" s="98">
        <v>3</v>
      </c>
      <c r="G150" s="98" t="s">
        <v>101</v>
      </c>
      <c r="H150" s="98">
        <v>9.66</v>
      </c>
      <c r="I150" s="98" t="s">
        <v>146</v>
      </c>
      <c r="J150" s="98" t="s">
        <v>171</v>
      </c>
    </row>
    <row r="151" spans="1:10" x14ac:dyDescent="0.2">
      <c r="A151" s="98" t="s">
        <v>189</v>
      </c>
      <c r="B151" s="98">
        <v>2</v>
      </c>
      <c r="C151" s="98" t="s">
        <v>80</v>
      </c>
      <c r="D151" s="98">
        <v>100</v>
      </c>
      <c r="E151" s="98">
        <v>30</v>
      </c>
      <c r="F151" s="98">
        <v>1</v>
      </c>
      <c r="G151" s="98" t="s">
        <v>111</v>
      </c>
      <c r="H151" s="98">
        <v>7.8</v>
      </c>
      <c r="I151" s="98" t="s">
        <v>151</v>
      </c>
      <c r="J151" s="98" t="s">
        <v>167</v>
      </c>
    </row>
    <row r="152" spans="1:10" x14ac:dyDescent="0.2">
      <c r="A152" s="98" t="s">
        <v>189</v>
      </c>
      <c r="B152" s="98">
        <v>2</v>
      </c>
      <c r="C152" s="98" t="s">
        <v>80</v>
      </c>
      <c r="D152" s="98">
        <v>100</v>
      </c>
      <c r="E152" s="98">
        <v>30</v>
      </c>
      <c r="F152" s="98">
        <v>2</v>
      </c>
      <c r="G152" s="98" t="s">
        <v>112</v>
      </c>
      <c r="H152" s="98">
        <v>7.77</v>
      </c>
      <c r="I152" s="98" t="s">
        <v>151</v>
      </c>
      <c r="J152" s="98" t="s">
        <v>167</v>
      </c>
    </row>
    <row r="153" spans="1:10" x14ac:dyDescent="0.2">
      <c r="A153" s="98" t="s">
        <v>189</v>
      </c>
      <c r="B153" s="98">
        <v>2</v>
      </c>
      <c r="C153" s="98" t="s">
        <v>80</v>
      </c>
      <c r="D153" s="98">
        <v>100</v>
      </c>
      <c r="E153" s="98">
        <v>30</v>
      </c>
      <c r="F153" s="98">
        <v>3</v>
      </c>
      <c r="G153" s="98" t="s">
        <v>113</v>
      </c>
      <c r="H153" s="98">
        <v>7.86</v>
      </c>
      <c r="I153" s="98" t="s">
        <v>151</v>
      </c>
      <c r="J153" s="98" t="s">
        <v>167</v>
      </c>
    </row>
    <row r="154" spans="1:10" x14ac:dyDescent="0.2">
      <c r="A154" s="98" t="s">
        <v>196</v>
      </c>
      <c r="B154" s="98">
        <v>26</v>
      </c>
      <c r="C154" s="98" t="s">
        <v>80</v>
      </c>
      <c r="D154" s="98">
        <v>100</v>
      </c>
      <c r="E154" s="98">
        <v>30</v>
      </c>
      <c r="F154" s="98">
        <v>1</v>
      </c>
      <c r="G154" s="98" t="s">
        <v>111</v>
      </c>
      <c r="H154" s="98">
        <v>8.5299999999999994</v>
      </c>
      <c r="I154" s="98" t="s">
        <v>151</v>
      </c>
      <c r="J154" s="98" t="s">
        <v>169</v>
      </c>
    </row>
    <row r="155" spans="1:10" x14ac:dyDescent="0.2">
      <c r="A155" s="98" t="s">
        <v>196</v>
      </c>
      <c r="B155" s="98">
        <v>26</v>
      </c>
      <c r="C155" s="98" t="s">
        <v>80</v>
      </c>
      <c r="D155" s="98">
        <v>100</v>
      </c>
      <c r="E155" s="98">
        <v>30</v>
      </c>
      <c r="F155" s="98">
        <v>2</v>
      </c>
      <c r="G155" s="98" t="s">
        <v>112</v>
      </c>
      <c r="H155" s="98">
        <v>8.5299999999999994</v>
      </c>
      <c r="I155" s="98" t="s">
        <v>151</v>
      </c>
      <c r="J155" s="98" t="s">
        <v>169</v>
      </c>
    </row>
    <row r="156" spans="1:10" x14ac:dyDescent="0.2">
      <c r="A156" s="98" t="s">
        <v>196</v>
      </c>
      <c r="B156" s="98">
        <v>26</v>
      </c>
      <c r="C156" s="98" t="s">
        <v>80</v>
      </c>
      <c r="D156" s="98">
        <v>100</v>
      </c>
      <c r="E156" s="98">
        <v>30</v>
      </c>
      <c r="F156" s="98">
        <v>3</v>
      </c>
      <c r="G156" s="98" t="s">
        <v>113</v>
      </c>
      <c r="H156" s="98">
        <v>8.59</v>
      </c>
      <c r="I156" s="98" t="s">
        <v>151</v>
      </c>
      <c r="J156" s="98" t="s">
        <v>169</v>
      </c>
    </row>
    <row r="157" spans="1:10" x14ac:dyDescent="0.2">
      <c r="A157" s="98" t="s">
        <v>197</v>
      </c>
      <c r="B157" s="98">
        <v>28</v>
      </c>
      <c r="C157" s="98" t="s">
        <v>80</v>
      </c>
      <c r="D157" s="98">
        <v>100</v>
      </c>
      <c r="E157" s="98">
        <v>30</v>
      </c>
      <c r="F157" s="98">
        <v>1</v>
      </c>
      <c r="G157" s="98" t="s">
        <v>111</v>
      </c>
      <c r="H157" s="98">
        <v>8.68</v>
      </c>
      <c r="I157" s="98" t="s">
        <v>151</v>
      </c>
      <c r="J157" s="98" t="s">
        <v>171</v>
      </c>
    </row>
    <row r="158" spans="1:10" x14ac:dyDescent="0.2">
      <c r="A158" s="98" t="s">
        <v>197</v>
      </c>
      <c r="B158" s="98">
        <v>28</v>
      </c>
      <c r="C158" s="98" t="s">
        <v>80</v>
      </c>
      <c r="D158" s="98">
        <v>100</v>
      </c>
      <c r="E158" s="98">
        <v>30</v>
      </c>
      <c r="F158" s="98">
        <v>2</v>
      </c>
      <c r="G158" s="98" t="s">
        <v>112</v>
      </c>
      <c r="H158" s="98">
        <v>8.69</v>
      </c>
      <c r="I158" s="98" t="s">
        <v>151</v>
      </c>
      <c r="J158" s="98" t="s">
        <v>171</v>
      </c>
    </row>
    <row r="159" spans="1:10" x14ac:dyDescent="0.2">
      <c r="A159" s="98" t="s">
        <v>197</v>
      </c>
      <c r="B159" s="98">
        <v>28</v>
      </c>
      <c r="C159" s="98" t="s">
        <v>80</v>
      </c>
      <c r="D159" s="98">
        <v>100</v>
      </c>
      <c r="E159" s="98">
        <v>30</v>
      </c>
      <c r="F159" s="98">
        <v>3</v>
      </c>
      <c r="G159" s="98" t="s">
        <v>113</v>
      </c>
      <c r="H159" s="98">
        <v>8.7899999999999991</v>
      </c>
      <c r="I159" s="98" t="s">
        <v>151</v>
      </c>
      <c r="J159" s="98" t="s">
        <v>171</v>
      </c>
    </row>
    <row r="160" spans="1:10" x14ac:dyDescent="0.2">
      <c r="A160" s="98" t="s">
        <v>180</v>
      </c>
      <c r="B160" s="98">
        <v>2</v>
      </c>
      <c r="C160" s="98" t="s">
        <v>80</v>
      </c>
      <c r="D160" s="98">
        <v>50</v>
      </c>
      <c r="E160" s="98">
        <v>26</v>
      </c>
      <c r="F160" s="98">
        <v>1</v>
      </c>
      <c r="G160" s="98" t="s">
        <v>87</v>
      </c>
      <c r="H160" s="98">
        <v>7.78</v>
      </c>
      <c r="I160" s="98" t="s">
        <v>141</v>
      </c>
      <c r="J160" s="98" t="s">
        <v>167</v>
      </c>
    </row>
    <row r="161" spans="1:10" x14ac:dyDescent="0.2">
      <c r="A161" s="98" t="s">
        <v>180</v>
      </c>
      <c r="B161" s="98">
        <v>2</v>
      </c>
      <c r="C161" s="98" t="s">
        <v>80</v>
      </c>
      <c r="D161" s="98">
        <v>50</v>
      </c>
      <c r="E161" s="98">
        <v>26</v>
      </c>
      <c r="F161" s="98">
        <v>2</v>
      </c>
      <c r="G161" s="98" t="s">
        <v>88</v>
      </c>
      <c r="H161" s="98">
        <v>7.79</v>
      </c>
      <c r="I161" s="98" t="s">
        <v>141</v>
      </c>
      <c r="J161" s="98" t="s">
        <v>167</v>
      </c>
    </row>
    <row r="162" spans="1:10" x14ac:dyDescent="0.2">
      <c r="A162" s="98" t="s">
        <v>180</v>
      </c>
      <c r="B162" s="98">
        <v>2</v>
      </c>
      <c r="C162" s="98" t="s">
        <v>80</v>
      </c>
      <c r="D162" s="98">
        <v>50</v>
      </c>
      <c r="E162" s="98">
        <v>26</v>
      </c>
      <c r="F162" s="98">
        <v>3</v>
      </c>
      <c r="G162" s="98" t="s">
        <v>89</v>
      </c>
      <c r="H162" s="98">
        <v>7.8</v>
      </c>
      <c r="I162" s="98" t="s">
        <v>141</v>
      </c>
      <c r="J162" s="98" t="s">
        <v>167</v>
      </c>
    </row>
    <row r="163" spans="1:10" x14ac:dyDescent="0.2">
      <c r="A163" s="98" t="s">
        <v>183</v>
      </c>
      <c r="B163" s="98">
        <v>12</v>
      </c>
      <c r="C163" s="98" t="s">
        <v>80</v>
      </c>
      <c r="D163" s="98">
        <v>50</v>
      </c>
      <c r="E163" s="98">
        <v>26</v>
      </c>
      <c r="F163" s="98">
        <v>1</v>
      </c>
      <c r="G163" s="98" t="s">
        <v>87</v>
      </c>
      <c r="H163" s="98">
        <v>9.1199999999999992</v>
      </c>
      <c r="I163" s="98" t="s">
        <v>141</v>
      </c>
      <c r="J163" s="98" t="s">
        <v>169</v>
      </c>
    </row>
    <row r="164" spans="1:10" x14ac:dyDescent="0.2">
      <c r="A164" s="98" t="s">
        <v>183</v>
      </c>
      <c r="B164" s="98">
        <v>12</v>
      </c>
      <c r="C164" s="98" t="s">
        <v>80</v>
      </c>
      <c r="D164" s="98">
        <v>50</v>
      </c>
      <c r="E164" s="98">
        <v>26</v>
      </c>
      <c r="F164" s="98">
        <v>2</v>
      </c>
      <c r="G164" s="98" t="s">
        <v>88</v>
      </c>
      <c r="H164" s="98">
        <v>9.1</v>
      </c>
      <c r="I164" s="98" t="s">
        <v>141</v>
      </c>
      <c r="J164" s="98" t="s">
        <v>169</v>
      </c>
    </row>
    <row r="165" spans="1:10" x14ac:dyDescent="0.2">
      <c r="A165" s="98" t="s">
        <v>183</v>
      </c>
      <c r="B165" s="98">
        <v>12</v>
      </c>
      <c r="C165" s="98" t="s">
        <v>80</v>
      </c>
      <c r="D165" s="98">
        <v>50</v>
      </c>
      <c r="E165" s="98">
        <v>26</v>
      </c>
      <c r="F165" s="98">
        <v>3</v>
      </c>
      <c r="G165" s="98" t="s">
        <v>89</v>
      </c>
      <c r="H165" s="98">
        <v>9.1</v>
      </c>
      <c r="I165" s="98" t="s">
        <v>141</v>
      </c>
      <c r="J165" s="98" t="s">
        <v>169</v>
      </c>
    </row>
    <row r="166" spans="1:10" x14ac:dyDescent="0.2">
      <c r="A166" s="98" t="s">
        <v>172</v>
      </c>
      <c r="B166" s="98">
        <v>24</v>
      </c>
      <c r="C166" s="98" t="s">
        <v>80</v>
      </c>
      <c r="D166" s="98">
        <v>50</v>
      </c>
      <c r="E166" s="98">
        <v>26</v>
      </c>
      <c r="F166" s="98">
        <v>1</v>
      </c>
      <c r="G166" s="98" t="s">
        <v>87</v>
      </c>
      <c r="H166" s="98">
        <v>9.7200000000000006</v>
      </c>
      <c r="I166" s="98" t="s">
        <v>141</v>
      </c>
      <c r="J166" s="98" t="s">
        <v>171</v>
      </c>
    </row>
    <row r="167" spans="1:10" x14ac:dyDescent="0.2">
      <c r="A167" s="98" t="s">
        <v>172</v>
      </c>
      <c r="B167" s="98">
        <v>24</v>
      </c>
      <c r="C167" s="98" t="s">
        <v>80</v>
      </c>
      <c r="D167" s="98">
        <v>50</v>
      </c>
      <c r="E167" s="98">
        <v>26</v>
      </c>
      <c r="F167" s="98">
        <v>2</v>
      </c>
      <c r="G167" s="98" t="s">
        <v>88</v>
      </c>
      <c r="H167" s="98">
        <v>9.6999999999999993</v>
      </c>
      <c r="I167" s="98" t="s">
        <v>141</v>
      </c>
      <c r="J167" s="98" t="s">
        <v>171</v>
      </c>
    </row>
    <row r="168" spans="1:10" x14ac:dyDescent="0.2">
      <c r="A168" s="98" t="s">
        <v>172</v>
      </c>
      <c r="B168" s="98">
        <v>24</v>
      </c>
      <c r="C168" s="98" t="s">
        <v>80</v>
      </c>
      <c r="D168" s="98">
        <v>50</v>
      </c>
      <c r="E168" s="98">
        <v>26</v>
      </c>
      <c r="F168" s="98">
        <v>3</v>
      </c>
      <c r="G168" s="98" t="s">
        <v>89</v>
      </c>
      <c r="H168" s="98">
        <v>9.73</v>
      </c>
      <c r="I168" s="98" t="s">
        <v>141</v>
      </c>
      <c r="J168" s="98" t="s">
        <v>171</v>
      </c>
    </row>
    <row r="169" spans="1:10" x14ac:dyDescent="0.2">
      <c r="A169" s="98" t="s">
        <v>184</v>
      </c>
      <c r="B169" s="98">
        <v>2</v>
      </c>
      <c r="C169" s="98" t="s">
        <v>80</v>
      </c>
      <c r="D169" s="98">
        <v>50</v>
      </c>
      <c r="E169" s="98">
        <v>28</v>
      </c>
      <c r="F169" s="98">
        <v>1</v>
      </c>
      <c r="G169" s="98" t="s">
        <v>96</v>
      </c>
      <c r="H169" s="98">
        <v>7.81</v>
      </c>
      <c r="I169" s="98" t="s">
        <v>145</v>
      </c>
      <c r="J169" s="98" t="s">
        <v>167</v>
      </c>
    </row>
    <row r="170" spans="1:10" x14ac:dyDescent="0.2">
      <c r="A170" s="98" t="s">
        <v>184</v>
      </c>
      <c r="B170" s="98">
        <v>2</v>
      </c>
      <c r="C170" s="98" t="s">
        <v>80</v>
      </c>
      <c r="D170" s="98">
        <v>50</v>
      </c>
      <c r="E170" s="98">
        <v>28</v>
      </c>
      <c r="F170" s="98">
        <v>2</v>
      </c>
      <c r="G170" s="98" t="s">
        <v>97</v>
      </c>
      <c r="H170" s="98">
        <v>7.83</v>
      </c>
      <c r="I170" s="98" t="s">
        <v>145</v>
      </c>
      <c r="J170" s="98" t="s">
        <v>167</v>
      </c>
    </row>
    <row r="171" spans="1:10" x14ac:dyDescent="0.2">
      <c r="A171" s="98" t="s">
        <v>184</v>
      </c>
      <c r="B171" s="98">
        <v>2</v>
      </c>
      <c r="C171" s="98" t="s">
        <v>80</v>
      </c>
      <c r="D171" s="98">
        <v>50</v>
      </c>
      <c r="E171" s="98">
        <v>28</v>
      </c>
      <c r="F171" s="98">
        <v>3</v>
      </c>
      <c r="G171" s="98" t="s">
        <v>98</v>
      </c>
      <c r="H171" s="98">
        <v>7.79</v>
      </c>
      <c r="I171" s="98" t="s">
        <v>145</v>
      </c>
      <c r="J171" s="98" t="s">
        <v>167</v>
      </c>
    </row>
    <row r="172" spans="1:10" x14ac:dyDescent="0.2">
      <c r="A172" s="98" t="s">
        <v>187</v>
      </c>
      <c r="B172" s="98">
        <v>14</v>
      </c>
      <c r="C172" s="98" t="s">
        <v>80</v>
      </c>
      <c r="D172" s="98">
        <v>50</v>
      </c>
      <c r="E172" s="98">
        <v>28</v>
      </c>
      <c r="F172" s="98">
        <v>1</v>
      </c>
      <c r="G172" s="98" t="s">
        <v>96</v>
      </c>
      <c r="H172" s="98">
        <v>9.23</v>
      </c>
      <c r="I172" s="98" t="s">
        <v>145</v>
      </c>
      <c r="J172" s="98" t="s">
        <v>169</v>
      </c>
    </row>
    <row r="173" spans="1:10" x14ac:dyDescent="0.2">
      <c r="A173" s="98" t="s">
        <v>187</v>
      </c>
      <c r="B173" s="98">
        <v>14</v>
      </c>
      <c r="C173" s="98" t="s">
        <v>80</v>
      </c>
      <c r="D173" s="98">
        <v>50</v>
      </c>
      <c r="E173" s="98">
        <v>28</v>
      </c>
      <c r="F173" s="98">
        <v>2</v>
      </c>
      <c r="G173" s="98" t="s">
        <v>97</v>
      </c>
      <c r="H173" s="98">
        <v>9.3000000000000007</v>
      </c>
      <c r="I173" s="98" t="s">
        <v>145</v>
      </c>
      <c r="J173" s="98" t="s">
        <v>169</v>
      </c>
    </row>
    <row r="174" spans="1:10" x14ac:dyDescent="0.2">
      <c r="A174" s="98" t="s">
        <v>187</v>
      </c>
      <c r="B174" s="98">
        <v>14</v>
      </c>
      <c r="C174" s="98" t="s">
        <v>80</v>
      </c>
      <c r="D174" s="98">
        <v>50</v>
      </c>
      <c r="E174" s="98">
        <v>28</v>
      </c>
      <c r="F174" s="98">
        <v>3</v>
      </c>
      <c r="G174" s="98" t="s">
        <v>98</v>
      </c>
      <c r="H174" s="98">
        <v>9.33</v>
      </c>
      <c r="I174" s="98" t="s">
        <v>145</v>
      </c>
      <c r="J174" s="98" t="s">
        <v>169</v>
      </c>
    </row>
    <row r="175" spans="1:10" x14ac:dyDescent="0.2">
      <c r="A175" s="98" t="s">
        <v>170</v>
      </c>
      <c r="B175" s="98">
        <v>18</v>
      </c>
      <c r="C175" s="98" t="s">
        <v>80</v>
      </c>
      <c r="D175" s="98">
        <v>50</v>
      </c>
      <c r="E175" s="98">
        <v>28</v>
      </c>
      <c r="F175" s="98">
        <v>1</v>
      </c>
      <c r="G175" s="98" t="s">
        <v>96</v>
      </c>
      <c r="H175" s="98">
        <v>9.68</v>
      </c>
      <c r="I175" s="98" t="s">
        <v>145</v>
      </c>
      <c r="J175" s="98" t="s">
        <v>171</v>
      </c>
    </row>
    <row r="176" spans="1:10" x14ac:dyDescent="0.2">
      <c r="A176" s="98" t="s">
        <v>170</v>
      </c>
      <c r="B176" s="98">
        <v>18</v>
      </c>
      <c r="C176" s="98" t="s">
        <v>80</v>
      </c>
      <c r="D176" s="98">
        <v>50</v>
      </c>
      <c r="E176" s="98">
        <v>28</v>
      </c>
      <c r="F176" s="98">
        <v>2</v>
      </c>
      <c r="G176" s="98" t="s">
        <v>97</v>
      </c>
      <c r="H176" s="98">
        <v>9.6999999999999993</v>
      </c>
      <c r="I176" s="98" t="s">
        <v>145</v>
      </c>
      <c r="J176" s="98" t="s">
        <v>171</v>
      </c>
    </row>
    <row r="177" spans="1:10" x14ac:dyDescent="0.2">
      <c r="A177" s="98" t="s">
        <v>170</v>
      </c>
      <c r="B177" s="98">
        <v>18</v>
      </c>
      <c r="C177" s="98" t="s">
        <v>80</v>
      </c>
      <c r="D177" s="98">
        <v>50</v>
      </c>
      <c r="E177" s="98">
        <v>28</v>
      </c>
      <c r="F177" s="98">
        <v>3</v>
      </c>
      <c r="G177" s="98" t="s">
        <v>98</v>
      </c>
      <c r="H177" s="98">
        <v>9.75</v>
      </c>
      <c r="I177" s="98" t="s">
        <v>145</v>
      </c>
      <c r="J177" s="98" t="s">
        <v>171</v>
      </c>
    </row>
    <row r="178" spans="1:10" x14ac:dyDescent="0.2">
      <c r="A178" s="98" t="s">
        <v>189</v>
      </c>
      <c r="B178" s="98">
        <v>2</v>
      </c>
      <c r="C178" s="98" t="s">
        <v>80</v>
      </c>
      <c r="D178" s="98">
        <v>50</v>
      </c>
      <c r="E178" s="98">
        <v>30</v>
      </c>
      <c r="F178" s="98">
        <v>1</v>
      </c>
      <c r="G178" s="98" t="s">
        <v>108</v>
      </c>
      <c r="H178" s="98">
        <v>7.85</v>
      </c>
      <c r="I178" s="98" t="s">
        <v>150</v>
      </c>
      <c r="J178" s="98" t="s">
        <v>167</v>
      </c>
    </row>
    <row r="179" spans="1:10" x14ac:dyDescent="0.2">
      <c r="A179" s="98" t="s">
        <v>189</v>
      </c>
      <c r="B179" s="98">
        <v>2</v>
      </c>
      <c r="C179" s="98" t="s">
        <v>80</v>
      </c>
      <c r="D179" s="98">
        <v>50</v>
      </c>
      <c r="E179" s="98">
        <v>30</v>
      </c>
      <c r="F179" s="98">
        <v>2</v>
      </c>
      <c r="G179" s="98" t="s">
        <v>109</v>
      </c>
      <c r="H179" s="98">
        <v>7.86</v>
      </c>
      <c r="I179" s="98" t="s">
        <v>150</v>
      </c>
      <c r="J179" s="98" t="s">
        <v>167</v>
      </c>
    </row>
    <row r="180" spans="1:10" x14ac:dyDescent="0.2">
      <c r="A180" s="98" t="s">
        <v>189</v>
      </c>
      <c r="B180" s="98">
        <v>2</v>
      </c>
      <c r="C180" s="98" t="s">
        <v>80</v>
      </c>
      <c r="D180" s="98">
        <v>50</v>
      </c>
      <c r="E180" s="98">
        <v>30</v>
      </c>
      <c r="F180" s="98">
        <v>3</v>
      </c>
      <c r="G180" s="98" t="s">
        <v>110</v>
      </c>
      <c r="H180" s="98">
        <v>7.83</v>
      </c>
      <c r="I180" s="98" t="s">
        <v>150</v>
      </c>
      <c r="J180" s="98" t="s">
        <v>167</v>
      </c>
    </row>
    <row r="181" spans="1:10" x14ac:dyDescent="0.2">
      <c r="A181" s="98" t="s">
        <v>175</v>
      </c>
      <c r="B181" s="98">
        <v>24</v>
      </c>
      <c r="C181" s="98" t="s">
        <v>80</v>
      </c>
      <c r="D181" s="98">
        <v>50</v>
      </c>
      <c r="E181" s="98">
        <v>30</v>
      </c>
      <c r="F181" s="98">
        <v>1</v>
      </c>
      <c r="G181" s="98" t="s">
        <v>108</v>
      </c>
      <c r="H181" s="98">
        <v>8.5399999999999991</v>
      </c>
      <c r="I181" s="98" t="s">
        <v>150</v>
      </c>
      <c r="J181" s="98" t="s">
        <v>169</v>
      </c>
    </row>
    <row r="182" spans="1:10" x14ac:dyDescent="0.2">
      <c r="A182" s="98" t="s">
        <v>175</v>
      </c>
      <c r="B182" s="98">
        <v>24</v>
      </c>
      <c r="C182" s="98" t="s">
        <v>80</v>
      </c>
      <c r="D182" s="98">
        <v>50</v>
      </c>
      <c r="E182" s="98">
        <v>30</v>
      </c>
      <c r="F182" s="98">
        <v>2</v>
      </c>
      <c r="G182" s="98" t="s">
        <v>109</v>
      </c>
      <c r="H182" s="98">
        <v>8.74</v>
      </c>
      <c r="I182" s="98" t="s">
        <v>150</v>
      </c>
      <c r="J182" s="98" t="s">
        <v>169</v>
      </c>
    </row>
    <row r="183" spans="1:10" x14ac:dyDescent="0.2">
      <c r="A183" s="98" t="s">
        <v>175</v>
      </c>
      <c r="B183" s="98">
        <v>24</v>
      </c>
      <c r="C183" s="98" t="s">
        <v>80</v>
      </c>
      <c r="D183" s="98">
        <v>50</v>
      </c>
      <c r="E183" s="98">
        <v>30</v>
      </c>
      <c r="F183" s="98">
        <v>3</v>
      </c>
      <c r="G183" s="98" t="s">
        <v>110</v>
      </c>
      <c r="H183" s="98">
        <v>8.65</v>
      </c>
      <c r="I183" s="98" t="s">
        <v>150</v>
      </c>
      <c r="J183" s="98" t="s">
        <v>169</v>
      </c>
    </row>
    <row r="184" spans="1:10" x14ac:dyDescent="0.2">
      <c r="A184" s="98" t="s">
        <v>196</v>
      </c>
      <c r="B184" s="98">
        <v>26</v>
      </c>
      <c r="C184" s="98" t="s">
        <v>80</v>
      </c>
      <c r="D184" s="98">
        <v>50</v>
      </c>
      <c r="E184" s="98">
        <v>30</v>
      </c>
      <c r="F184" s="98">
        <v>1</v>
      </c>
      <c r="G184" s="98" t="s">
        <v>108</v>
      </c>
      <c r="H184" s="98">
        <v>8.8800000000000008</v>
      </c>
      <c r="I184" s="98" t="s">
        <v>150</v>
      </c>
      <c r="J184" s="98" t="s">
        <v>171</v>
      </c>
    </row>
    <row r="185" spans="1:10" x14ac:dyDescent="0.2">
      <c r="A185" s="98" t="s">
        <v>196</v>
      </c>
      <c r="B185" s="98">
        <v>26</v>
      </c>
      <c r="C185" s="98" t="s">
        <v>80</v>
      </c>
      <c r="D185" s="98">
        <v>50</v>
      </c>
      <c r="E185" s="98">
        <v>30</v>
      </c>
      <c r="F185" s="98">
        <v>2</v>
      </c>
      <c r="G185" s="98" t="s">
        <v>109</v>
      </c>
      <c r="H185" s="98">
        <v>9.0299999999999994</v>
      </c>
      <c r="I185" s="98" t="s">
        <v>150</v>
      </c>
      <c r="J185" s="98" t="s">
        <v>171</v>
      </c>
    </row>
    <row r="186" spans="1:10" x14ac:dyDescent="0.2">
      <c r="A186" s="98" t="s">
        <v>196</v>
      </c>
      <c r="B186" s="98">
        <v>26</v>
      </c>
      <c r="C186" s="98" t="s">
        <v>80</v>
      </c>
      <c r="D186" s="98">
        <v>50</v>
      </c>
      <c r="E186" s="98">
        <v>30</v>
      </c>
      <c r="F186" s="98">
        <v>3</v>
      </c>
      <c r="G186" s="98" t="s">
        <v>110</v>
      </c>
      <c r="H186" s="98">
        <v>8.91</v>
      </c>
      <c r="I186" s="98" t="s">
        <v>150</v>
      </c>
      <c r="J186" s="98" t="s">
        <v>171</v>
      </c>
    </row>
    <row r="187" spans="1:10" x14ac:dyDescent="0.2">
      <c r="A187" s="98" t="s">
        <v>203</v>
      </c>
      <c r="B187" s="98" t="s">
        <v>203</v>
      </c>
      <c r="C187" s="98" t="s">
        <v>80</v>
      </c>
      <c r="D187" s="98">
        <v>10</v>
      </c>
      <c r="E187" s="98">
        <v>30</v>
      </c>
      <c r="F187" s="98">
        <v>1</v>
      </c>
      <c r="G187" s="98" t="s">
        <v>129</v>
      </c>
      <c r="H187" s="98">
        <v>0</v>
      </c>
      <c r="I187" s="98" t="s">
        <v>157</v>
      </c>
      <c r="J187" s="98" t="s">
        <v>169</v>
      </c>
    </row>
    <row r="188" spans="1:10" x14ac:dyDescent="0.2">
      <c r="A188" s="98" t="s">
        <v>203</v>
      </c>
      <c r="B188" s="98" t="s">
        <v>203</v>
      </c>
      <c r="C188" s="98" t="s">
        <v>80</v>
      </c>
      <c r="D188" s="98">
        <v>10</v>
      </c>
      <c r="E188" s="98">
        <v>30</v>
      </c>
      <c r="F188" s="98">
        <v>2</v>
      </c>
      <c r="G188" s="98" t="s">
        <v>130</v>
      </c>
      <c r="H188" s="98">
        <v>0</v>
      </c>
      <c r="I188" s="98" t="s">
        <v>157</v>
      </c>
      <c r="J188" s="98" t="s">
        <v>169</v>
      </c>
    </row>
    <row r="189" spans="1:10" x14ac:dyDescent="0.2">
      <c r="A189" s="98" t="s">
        <v>203</v>
      </c>
      <c r="B189" s="98" t="s">
        <v>203</v>
      </c>
      <c r="C189" s="98" t="s">
        <v>80</v>
      </c>
      <c r="D189" s="98">
        <v>10</v>
      </c>
      <c r="E189" s="98">
        <v>30</v>
      </c>
      <c r="F189" s="98">
        <v>3</v>
      </c>
      <c r="G189" s="98" t="s">
        <v>131</v>
      </c>
      <c r="H189" s="98">
        <v>0</v>
      </c>
      <c r="I189" s="98" t="s">
        <v>157</v>
      </c>
      <c r="J189" s="98" t="s">
        <v>169</v>
      </c>
    </row>
    <row r="190" spans="1:10" x14ac:dyDescent="0.2">
      <c r="A190" s="98" t="s">
        <v>203</v>
      </c>
      <c r="B190" s="98" t="s">
        <v>203</v>
      </c>
      <c r="C190" s="98" t="s">
        <v>76</v>
      </c>
      <c r="D190" s="98">
        <v>10</v>
      </c>
      <c r="E190" s="98">
        <v>30</v>
      </c>
      <c r="F190" s="98">
        <v>1</v>
      </c>
      <c r="G190" s="98" t="s">
        <v>120</v>
      </c>
      <c r="H190" s="98">
        <v>0</v>
      </c>
      <c r="I190" s="98" t="s">
        <v>156</v>
      </c>
      <c r="J190" s="98" t="s">
        <v>169</v>
      </c>
    </row>
    <row r="191" spans="1:10" x14ac:dyDescent="0.2">
      <c r="A191" s="98" t="s">
        <v>203</v>
      </c>
      <c r="B191" s="98" t="s">
        <v>203</v>
      </c>
      <c r="C191" s="98" t="s">
        <v>76</v>
      </c>
      <c r="D191" s="98">
        <v>10</v>
      </c>
      <c r="E191" s="98">
        <v>30</v>
      </c>
      <c r="F191" s="98">
        <v>2</v>
      </c>
      <c r="G191" s="98" t="s">
        <v>121</v>
      </c>
      <c r="H191" s="98">
        <v>0</v>
      </c>
      <c r="I191" s="98" t="s">
        <v>156</v>
      </c>
      <c r="J191" s="98" t="s">
        <v>169</v>
      </c>
    </row>
    <row r="192" spans="1:10" x14ac:dyDescent="0.2">
      <c r="A192" s="98" t="s">
        <v>203</v>
      </c>
      <c r="B192" s="98" t="s">
        <v>203</v>
      </c>
      <c r="C192" s="98" t="s">
        <v>76</v>
      </c>
      <c r="D192" s="98">
        <v>10</v>
      </c>
      <c r="E192" s="98">
        <v>30</v>
      </c>
      <c r="F192" s="98">
        <v>3</v>
      </c>
      <c r="G192" s="98" t="s">
        <v>122</v>
      </c>
      <c r="H192" s="98">
        <v>0</v>
      </c>
      <c r="I192" s="98" t="s">
        <v>156</v>
      </c>
      <c r="J192" s="98" t="s">
        <v>169</v>
      </c>
    </row>
  </sheetData>
  <conditionalFormatting sqref="H37:H59 G160:H165 F166:H166 G167:H172 F173:H173 G174:H179 F180:H180 G181:H182 F183:H183 G184:H186 H61:H159 F31:G159 E1:E186">
    <cfRule type="cellIs" dxfId="7" priority="7" operator="equal">
      <formula>28</formula>
    </cfRule>
    <cfRule type="cellIs" dxfId="6" priority="8" operator="equal">
      <formula>26</formula>
    </cfRule>
  </conditionalFormatting>
  <conditionalFormatting sqref="F160:F165 F167:F172 F174:F179 F181:F182 F184:F186">
    <cfRule type="cellIs" dxfId="5" priority="5" operator="equal">
      <formula>28</formula>
    </cfRule>
    <cfRule type="cellIs" dxfId="4" priority="6" operator="equal">
      <formula>26</formula>
    </cfRule>
  </conditionalFormatting>
  <conditionalFormatting sqref="E187:H189">
    <cfRule type="cellIs" dxfId="3" priority="3" operator="equal">
      <formula>28</formula>
    </cfRule>
    <cfRule type="cellIs" dxfId="2" priority="4" operator="equal">
      <formula>26</formula>
    </cfRule>
  </conditionalFormatting>
  <conditionalFormatting sqref="E190:H192">
    <cfRule type="cellIs" dxfId="1" priority="1" operator="equal">
      <formula>28</formula>
    </cfRule>
    <cfRule type="cellIs" dxfId="0" priority="2" operator="equal">
      <formula>26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baseColWidth="10" defaultRowHeight="16" x14ac:dyDescent="0.2"/>
  <cols>
    <col min="1" max="2" width="12.6640625" customWidth="1"/>
    <col min="3" max="3" width="24" customWidth="1"/>
    <col min="5" max="5" width="10.83203125" style="11"/>
    <col min="7" max="7" width="13.5" customWidth="1"/>
  </cols>
  <sheetData>
    <row r="1" spans="1:8" x14ac:dyDescent="0.2">
      <c r="A1" s="4" t="s">
        <v>204</v>
      </c>
      <c r="B1" s="4" t="s">
        <v>205</v>
      </c>
      <c r="C1" s="4" t="s">
        <v>206</v>
      </c>
      <c r="D1" s="4" t="s">
        <v>207</v>
      </c>
      <c r="E1" s="1" t="s">
        <v>208</v>
      </c>
      <c r="F1" s="4" t="s">
        <v>209</v>
      </c>
      <c r="G1" s="4" t="s">
        <v>210</v>
      </c>
      <c r="H1" s="4" t="s">
        <v>132</v>
      </c>
    </row>
    <row r="2" spans="1:8" x14ac:dyDescent="0.2">
      <c r="A2" s="6" t="s">
        <v>114</v>
      </c>
      <c r="B2" s="99">
        <v>171066.66666666666</v>
      </c>
      <c r="C2" s="100">
        <v>13611333.333333332</v>
      </c>
      <c r="D2" s="6">
        <v>60</v>
      </c>
      <c r="E2" s="11">
        <v>50</v>
      </c>
      <c r="F2" s="101">
        <v>79.567420109119254</v>
      </c>
      <c r="G2" s="11">
        <v>50</v>
      </c>
      <c r="H2" s="11" t="s">
        <v>152</v>
      </c>
    </row>
    <row r="3" spans="1:8" x14ac:dyDescent="0.2">
      <c r="A3" s="6" t="s">
        <v>115</v>
      </c>
      <c r="B3" s="99">
        <v>192793.33333333334</v>
      </c>
      <c r="C3" s="100">
        <v>16754000</v>
      </c>
      <c r="D3" s="6">
        <v>60</v>
      </c>
      <c r="E3" s="11">
        <v>50</v>
      </c>
      <c r="F3" s="101">
        <v>86.9013451364155</v>
      </c>
      <c r="G3" s="11">
        <v>50</v>
      </c>
      <c r="H3" s="11" t="s">
        <v>152</v>
      </c>
    </row>
    <row r="4" spans="1:8" x14ac:dyDescent="0.2">
      <c r="A4" s="6" t="s">
        <v>116</v>
      </c>
      <c r="B4" s="41">
        <v>187420</v>
      </c>
      <c r="C4" s="100">
        <v>15678000</v>
      </c>
      <c r="D4" s="6">
        <v>60</v>
      </c>
      <c r="E4" s="11">
        <v>50</v>
      </c>
      <c r="F4" s="101">
        <v>83.651691388325688</v>
      </c>
      <c r="G4" s="11">
        <v>50</v>
      </c>
      <c r="H4" s="11" t="s">
        <v>152</v>
      </c>
    </row>
    <row r="5" spans="1:8" x14ac:dyDescent="0.2">
      <c r="A5" s="6" t="s">
        <v>117</v>
      </c>
      <c r="B5" s="99">
        <v>557333.33333333337</v>
      </c>
      <c r="C5" s="100">
        <v>40166666.666666664</v>
      </c>
      <c r="D5" s="6">
        <v>20</v>
      </c>
      <c r="E5" s="11">
        <v>20</v>
      </c>
      <c r="F5" s="101">
        <v>72.06937799043061</v>
      </c>
      <c r="G5" s="11">
        <v>20</v>
      </c>
      <c r="H5" s="11" t="s">
        <v>153</v>
      </c>
    </row>
    <row r="6" spans="1:8" x14ac:dyDescent="0.2">
      <c r="A6" s="6" t="s">
        <v>118</v>
      </c>
      <c r="B6" s="99">
        <v>469526.66666666669</v>
      </c>
      <c r="C6" s="100">
        <v>37213333.333333336</v>
      </c>
      <c r="D6" s="6">
        <v>20</v>
      </c>
      <c r="E6" s="11">
        <v>20</v>
      </c>
      <c r="F6" s="101">
        <v>79.257124195998813</v>
      </c>
      <c r="G6" s="11">
        <v>20</v>
      </c>
      <c r="H6" s="11" t="s">
        <v>153</v>
      </c>
    </row>
    <row r="7" spans="1:8" x14ac:dyDescent="0.2">
      <c r="A7" s="6" t="s">
        <v>119</v>
      </c>
      <c r="B7" s="41">
        <v>520520</v>
      </c>
      <c r="C7" s="100">
        <v>40540000</v>
      </c>
      <c r="D7" s="6">
        <v>20</v>
      </c>
      <c r="E7" s="11">
        <v>20</v>
      </c>
      <c r="F7" s="101">
        <v>77.883654806731727</v>
      </c>
      <c r="G7" s="11">
        <v>20</v>
      </c>
      <c r="H7" s="11" t="s">
        <v>153</v>
      </c>
    </row>
    <row r="8" spans="1:8" x14ac:dyDescent="0.2">
      <c r="A8" s="6" t="s">
        <v>120</v>
      </c>
      <c r="B8" s="99">
        <v>1190.6666666666667</v>
      </c>
      <c r="C8" s="100">
        <v>162766.66666666666</v>
      </c>
      <c r="D8" s="6">
        <v>0</v>
      </c>
      <c r="E8" s="11">
        <v>0</v>
      </c>
      <c r="F8" s="101">
        <v>136.70212765957444</v>
      </c>
      <c r="G8" s="11">
        <v>0</v>
      </c>
      <c r="H8" s="11" t="s">
        <v>156</v>
      </c>
    </row>
    <row r="9" spans="1:8" x14ac:dyDescent="0.2">
      <c r="A9" s="6" t="s">
        <v>121</v>
      </c>
      <c r="B9" s="99">
        <v>1310.3333333333333</v>
      </c>
      <c r="C9" s="100">
        <v>157200</v>
      </c>
      <c r="D9" s="6">
        <v>0</v>
      </c>
      <c r="E9" s="11">
        <v>0</v>
      </c>
      <c r="F9" s="101">
        <v>119.96947341643349</v>
      </c>
      <c r="G9" s="11">
        <v>0</v>
      </c>
      <c r="H9" s="11" t="s">
        <v>156</v>
      </c>
    </row>
    <row r="10" spans="1:8" x14ac:dyDescent="0.2">
      <c r="A10" s="6" t="s">
        <v>122</v>
      </c>
      <c r="B10" s="41">
        <v>1356</v>
      </c>
      <c r="C10" s="100">
        <v>202600</v>
      </c>
      <c r="D10" s="6">
        <v>0</v>
      </c>
      <c r="E10" s="11">
        <v>0</v>
      </c>
      <c r="F10" s="101">
        <v>149.41002949852506</v>
      </c>
      <c r="G10" s="11">
        <v>0</v>
      </c>
      <c r="H10" s="11" t="s">
        <v>156</v>
      </c>
    </row>
    <row r="11" spans="1:8" x14ac:dyDescent="0.2">
      <c r="A11" s="6" t="s">
        <v>81</v>
      </c>
      <c r="B11" s="99">
        <v>429193.33333333331</v>
      </c>
      <c r="C11" s="100">
        <v>37473333.333333336</v>
      </c>
      <c r="D11" s="6">
        <v>25</v>
      </c>
      <c r="E11" s="11">
        <v>25</v>
      </c>
      <c r="F11" s="101">
        <v>87.311079699902152</v>
      </c>
      <c r="G11" s="103">
        <v>25</v>
      </c>
      <c r="H11" s="103" t="s">
        <v>139</v>
      </c>
    </row>
    <row r="12" spans="1:8" x14ac:dyDescent="0.2">
      <c r="A12" s="6" t="s">
        <v>82</v>
      </c>
      <c r="B12" s="99">
        <v>400040</v>
      </c>
      <c r="C12" s="100">
        <v>34800000</v>
      </c>
      <c r="D12" s="6">
        <v>25</v>
      </c>
      <c r="E12" s="11">
        <v>25</v>
      </c>
      <c r="F12" s="101">
        <v>86.991300869913005</v>
      </c>
      <c r="G12" s="103">
        <v>25</v>
      </c>
      <c r="H12" s="103" t="s">
        <v>139</v>
      </c>
    </row>
    <row r="13" spans="1:8" x14ac:dyDescent="0.2">
      <c r="A13" s="6" t="s">
        <v>83</v>
      </c>
      <c r="B13" s="41">
        <v>416253.33333333331</v>
      </c>
      <c r="C13" s="100">
        <v>35526666.666666664</v>
      </c>
      <c r="D13" s="6">
        <v>25</v>
      </c>
      <c r="E13" s="11">
        <v>25</v>
      </c>
      <c r="F13" s="101">
        <v>85.348665876549532</v>
      </c>
      <c r="G13" s="103">
        <v>25</v>
      </c>
      <c r="H13" s="103" t="s">
        <v>139</v>
      </c>
    </row>
    <row r="14" spans="1:8" x14ac:dyDescent="0.2">
      <c r="A14" s="6" t="s">
        <v>93</v>
      </c>
      <c r="B14" s="99">
        <v>623280</v>
      </c>
      <c r="C14" s="100">
        <v>45780000</v>
      </c>
      <c r="D14" s="6">
        <v>20</v>
      </c>
      <c r="E14" s="11">
        <v>20</v>
      </c>
      <c r="F14" s="101">
        <v>73.450134770889491</v>
      </c>
      <c r="G14" s="11">
        <v>20</v>
      </c>
      <c r="H14" s="11" t="s">
        <v>144</v>
      </c>
    </row>
    <row r="15" spans="1:8" x14ac:dyDescent="0.2">
      <c r="A15" s="6" t="s">
        <v>94</v>
      </c>
      <c r="B15" s="99">
        <v>628080</v>
      </c>
      <c r="C15" s="100">
        <v>47726666.666666672</v>
      </c>
      <c r="D15" s="6">
        <v>20</v>
      </c>
      <c r="E15" s="11">
        <v>20</v>
      </c>
      <c r="F15" s="101">
        <v>75.988196832675257</v>
      </c>
      <c r="G15" s="11">
        <v>20</v>
      </c>
      <c r="H15" s="11" t="s">
        <v>144</v>
      </c>
    </row>
    <row r="16" spans="1:8" x14ac:dyDescent="0.2">
      <c r="A16" s="6" t="s">
        <v>95</v>
      </c>
      <c r="B16" s="41">
        <v>651600</v>
      </c>
      <c r="C16" s="100">
        <v>47226666.666666672</v>
      </c>
      <c r="D16" s="6">
        <v>20</v>
      </c>
      <c r="E16" s="11">
        <v>20</v>
      </c>
      <c r="F16" s="101">
        <v>72.478002864743203</v>
      </c>
      <c r="G16" s="11">
        <v>20</v>
      </c>
      <c r="H16" s="11" t="s">
        <v>144</v>
      </c>
    </row>
    <row r="17" spans="1:8" s="34" customFormat="1" x14ac:dyDescent="0.2">
      <c r="A17" s="6" t="s">
        <v>105</v>
      </c>
      <c r="B17" s="99">
        <v>175880</v>
      </c>
      <c r="C17" s="100">
        <v>12008666.666666668</v>
      </c>
      <c r="D17" s="6">
        <v>60</v>
      </c>
      <c r="E17" s="6">
        <v>50</v>
      </c>
      <c r="F17" s="102">
        <v>68.277613524372683</v>
      </c>
      <c r="G17" s="6">
        <v>50</v>
      </c>
      <c r="H17" s="6" t="s">
        <v>149</v>
      </c>
    </row>
    <row r="18" spans="1:8" s="34" customFormat="1" x14ac:dyDescent="0.2">
      <c r="A18" s="6" t="s">
        <v>106</v>
      </c>
      <c r="B18" s="104">
        <v>135026.66666666666</v>
      </c>
      <c r="C18" s="100">
        <v>10100666.666666666</v>
      </c>
      <c r="D18" s="6">
        <v>70</v>
      </c>
      <c r="E18" s="6">
        <v>50</v>
      </c>
      <c r="F18" s="102">
        <v>74.804976794707216</v>
      </c>
      <c r="G18" s="6">
        <v>50</v>
      </c>
      <c r="H18" s="6" t="s">
        <v>149</v>
      </c>
    </row>
    <row r="19" spans="1:8" s="34" customFormat="1" x14ac:dyDescent="0.2">
      <c r="A19" s="6" t="s">
        <v>107</v>
      </c>
      <c r="B19" s="41">
        <v>16861.666666666668</v>
      </c>
      <c r="C19" s="100">
        <v>1290228.6585736778</v>
      </c>
      <c r="D19" s="6">
        <v>200</v>
      </c>
      <c r="E19" s="6">
        <v>0</v>
      </c>
      <c r="F19" s="102">
        <v>71.541295159539942</v>
      </c>
      <c r="G19" s="6">
        <v>200</v>
      </c>
      <c r="H19" s="6" t="s">
        <v>149</v>
      </c>
    </row>
    <row r="20" spans="1:8" x14ac:dyDescent="0.2">
      <c r="A20" s="6" t="s">
        <v>77</v>
      </c>
      <c r="B20" s="99">
        <v>463980</v>
      </c>
      <c r="C20" s="100">
        <v>35526666.666666664</v>
      </c>
      <c r="D20" s="6">
        <v>30</v>
      </c>
      <c r="E20" s="11">
        <v>30</v>
      </c>
      <c r="F20" s="101">
        <v>76.56939235886604</v>
      </c>
      <c r="G20" s="103">
        <v>30</v>
      </c>
      <c r="H20" s="103" t="s">
        <v>138</v>
      </c>
    </row>
    <row r="21" spans="1:8" x14ac:dyDescent="0.2">
      <c r="A21" s="6" t="s">
        <v>78</v>
      </c>
      <c r="B21" s="99">
        <v>392520</v>
      </c>
      <c r="C21" s="100">
        <v>30613333.333333336</v>
      </c>
      <c r="D21" s="6">
        <v>30</v>
      </c>
      <c r="E21" s="11">
        <v>30</v>
      </c>
      <c r="F21" s="101">
        <v>77.991779612079227</v>
      </c>
      <c r="G21" s="103">
        <v>30</v>
      </c>
      <c r="H21" s="103" t="s">
        <v>138</v>
      </c>
    </row>
    <row r="22" spans="1:8" x14ac:dyDescent="0.2">
      <c r="A22" s="6" t="s">
        <v>79</v>
      </c>
      <c r="B22" s="41">
        <v>505746.66666666669</v>
      </c>
      <c r="C22" s="100">
        <v>38942493.333333336</v>
      </c>
      <c r="D22" s="6">
        <v>30</v>
      </c>
      <c r="E22" s="11">
        <v>30</v>
      </c>
      <c r="F22" s="101">
        <v>77</v>
      </c>
      <c r="G22" s="103">
        <v>30</v>
      </c>
      <c r="H22" s="103" t="s">
        <v>138</v>
      </c>
    </row>
    <row r="23" spans="1:8" x14ac:dyDescent="0.2">
      <c r="A23" s="6" t="s">
        <v>90</v>
      </c>
      <c r="B23" s="99">
        <v>524393.33333333337</v>
      </c>
      <c r="C23" s="100">
        <v>41173333.333333336</v>
      </c>
      <c r="D23" s="6">
        <v>25</v>
      </c>
      <c r="E23" s="11">
        <v>20</v>
      </c>
      <c r="F23" s="101">
        <v>78.516126571657409</v>
      </c>
      <c r="G23" s="11">
        <v>20</v>
      </c>
      <c r="H23" s="11" t="s">
        <v>142</v>
      </c>
    </row>
    <row r="24" spans="1:8" x14ac:dyDescent="0.2">
      <c r="A24" s="6" t="s">
        <v>91</v>
      </c>
      <c r="B24" s="99">
        <v>624073.33333333337</v>
      </c>
      <c r="C24" s="100">
        <v>45000000</v>
      </c>
      <c r="D24" s="6">
        <v>20</v>
      </c>
      <c r="E24" s="11">
        <v>20</v>
      </c>
      <c r="F24" s="101">
        <v>72.106910512653428</v>
      </c>
      <c r="G24" s="11">
        <v>20</v>
      </c>
      <c r="H24" s="11" t="s">
        <v>142</v>
      </c>
    </row>
    <row r="25" spans="1:8" x14ac:dyDescent="0.2">
      <c r="A25" s="6" t="s">
        <v>92</v>
      </c>
      <c r="B25" s="41">
        <v>615726.66666666663</v>
      </c>
      <c r="C25" s="100">
        <v>43420000</v>
      </c>
      <c r="D25" s="6">
        <v>20</v>
      </c>
      <c r="E25" s="11">
        <v>20</v>
      </c>
      <c r="F25" s="101">
        <v>70.518303576262198</v>
      </c>
      <c r="G25" s="11">
        <v>20</v>
      </c>
      <c r="H25" s="11" t="s">
        <v>142</v>
      </c>
    </row>
    <row r="26" spans="1:8" x14ac:dyDescent="0.2">
      <c r="A26" s="6" t="s">
        <v>102</v>
      </c>
      <c r="B26" s="99">
        <v>262300</v>
      </c>
      <c r="C26" s="100">
        <v>41660000</v>
      </c>
      <c r="D26" s="6">
        <v>40</v>
      </c>
      <c r="E26" s="11">
        <v>40</v>
      </c>
      <c r="F26" s="102">
        <v>79.900192627665945</v>
      </c>
      <c r="G26" s="11">
        <v>40</v>
      </c>
      <c r="H26" s="11" t="s">
        <v>147</v>
      </c>
    </row>
    <row r="27" spans="1:8" x14ac:dyDescent="0.2">
      <c r="A27" s="6" t="s">
        <v>103</v>
      </c>
      <c r="B27" s="99">
        <v>99680</v>
      </c>
      <c r="C27" s="100">
        <v>7586000</v>
      </c>
      <c r="D27" s="6">
        <v>90</v>
      </c>
      <c r="E27" s="11">
        <v>50</v>
      </c>
      <c r="F27" s="101">
        <v>76.103531300160512</v>
      </c>
      <c r="G27" s="11">
        <v>50</v>
      </c>
      <c r="H27" s="11" t="s">
        <v>147</v>
      </c>
    </row>
    <row r="28" spans="1:8" x14ac:dyDescent="0.2">
      <c r="A28" s="6" t="s">
        <v>104</v>
      </c>
      <c r="B28" s="41">
        <v>132653.33333333334</v>
      </c>
      <c r="C28" s="100">
        <v>11102666.666666668</v>
      </c>
      <c r="D28" s="6">
        <v>70</v>
      </c>
      <c r="E28" s="11">
        <v>50</v>
      </c>
      <c r="F28" s="101">
        <v>83.696853955171377</v>
      </c>
      <c r="G28" s="11">
        <v>50</v>
      </c>
      <c r="H28" s="11" t="s">
        <v>147</v>
      </c>
    </row>
    <row r="29" spans="1:8" x14ac:dyDescent="0.2">
      <c r="A29" s="6" t="s">
        <v>123</v>
      </c>
      <c r="B29" s="99">
        <v>348520</v>
      </c>
      <c r="C29" s="100">
        <v>26840000</v>
      </c>
      <c r="D29" s="6">
        <v>30</v>
      </c>
      <c r="E29" s="11">
        <v>30</v>
      </c>
      <c r="F29" s="101">
        <v>77.011362332147371</v>
      </c>
      <c r="G29" s="11">
        <v>30</v>
      </c>
      <c r="H29" s="11" t="s">
        <v>154</v>
      </c>
    </row>
    <row r="30" spans="1:8" x14ac:dyDescent="0.2">
      <c r="A30" s="6" t="s">
        <v>124</v>
      </c>
      <c r="B30" s="99">
        <v>420233.33333333331</v>
      </c>
      <c r="C30" s="100">
        <v>34386666.666666664</v>
      </c>
      <c r="D30" s="6">
        <v>30</v>
      </c>
      <c r="E30" s="11">
        <v>30</v>
      </c>
      <c r="F30" s="101">
        <v>81.827556119616091</v>
      </c>
      <c r="G30" s="11">
        <v>30</v>
      </c>
      <c r="H30" s="11" t="s">
        <v>154</v>
      </c>
    </row>
    <row r="31" spans="1:8" x14ac:dyDescent="0.2">
      <c r="A31" s="6" t="s">
        <v>125</v>
      </c>
      <c r="B31" s="41">
        <v>434686.66666666669</v>
      </c>
      <c r="C31" s="100">
        <v>34006666.666666664</v>
      </c>
      <c r="D31" s="6">
        <v>30</v>
      </c>
      <c r="E31" s="11">
        <v>30</v>
      </c>
      <c r="F31" s="101">
        <v>78.232596659662889</v>
      </c>
      <c r="G31" s="11">
        <v>30</v>
      </c>
      <c r="H31" s="11" t="s">
        <v>154</v>
      </c>
    </row>
    <row r="32" spans="1:8" x14ac:dyDescent="0.2">
      <c r="A32" s="6" t="s">
        <v>126</v>
      </c>
      <c r="B32" s="99">
        <v>309480</v>
      </c>
      <c r="C32" s="100">
        <v>27186666.666666664</v>
      </c>
      <c r="D32" s="6">
        <v>35</v>
      </c>
      <c r="E32" s="11">
        <v>35</v>
      </c>
      <c r="F32" s="101">
        <v>87.84627978113825</v>
      </c>
      <c r="G32" s="11">
        <v>35</v>
      </c>
      <c r="H32" s="11" t="s">
        <v>155</v>
      </c>
    </row>
    <row r="33" spans="1:8" x14ac:dyDescent="0.2">
      <c r="A33" s="6" t="s">
        <v>127</v>
      </c>
      <c r="B33" s="99">
        <v>316846.66666666669</v>
      </c>
      <c r="C33" s="100">
        <v>28666666.666666664</v>
      </c>
      <c r="D33" s="6">
        <v>35</v>
      </c>
      <c r="E33" s="11">
        <v>35</v>
      </c>
      <c r="F33" s="101">
        <v>90.474887958423622</v>
      </c>
      <c r="G33" s="11">
        <v>35</v>
      </c>
      <c r="H33" s="11" t="s">
        <v>155</v>
      </c>
    </row>
    <row r="34" spans="1:8" x14ac:dyDescent="0.2">
      <c r="A34" s="6" t="s">
        <v>128</v>
      </c>
      <c r="B34" s="41">
        <v>295786.66666666669</v>
      </c>
      <c r="C34" s="100">
        <v>27860000</v>
      </c>
      <c r="D34" s="6">
        <v>35</v>
      </c>
      <c r="E34" s="11">
        <v>35</v>
      </c>
      <c r="F34" s="101">
        <v>94.189505950234391</v>
      </c>
      <c r="G34" s="11">
        <v>35</v>
      </c>
      <c r="H34" s="11" t="s">
        <v>155</v>
      </c>
    </row>
    <row r="35" spans="1:8" x14ac:dyDescent="0.2">
      <c r="A35" s="6" t="s">
        <v>129</v>
      </c>
      <c r="B35" s="99">
        <v>1804</v>
      </c>
      <c r="C35" s="100">
        <v>233033.33333333334</v>
      </c>
      <c r="D35" s="6">
        <v>0</v>
      </c>
      <c r="E35" s="11">
        <v>0</v>
      </c>
      <c r="F35" s="101">
        <v>129.1759053954176</v>
      </c>
      <c r="G35" s="11">
        <v>0</v>
      </c>
      <c r="H35" s="11" t="s">
        <v>157</v>
      </c>
    </row>
    <row r="36" spans="1:8" x14ac:dyDescent="0.2">
      <c r="A36" s="6" t="s">
        <v>130</v>
      </c>
      <c r="B36" s="99">
        <v>2632</v>
      </c>
      <c r="C36" s="100">
        <v>391733.33333333331</v>
      </c>
      <c r="D36" s="6">
        <v>0</v>
      </c>
      <c r="E36" s="11">
        <v>0</v>
      </c>
      <c r="F36" s="101">
        <v>148.83485309017223</v>
      </c>
      <c r="G36" s="11">
        <v>0</v>
      </c>
      <c r="H36" s="11" t="s">
        <v>157</v>
      </c>
    </row>
    <row r="37" spans="1:8" x14ac:dyDescent="0.2">
      <c r="A37" s="6" t="s">
        <v>131</v>
      </c>
      <c r="B37" s="41">
        <v>2543</v>
      </c>
      <c r="C37" s="100">
        <v>346933.33333333331</v>
      </c>
      <c r="D37" s="6">
        <v>0</v>
      </c>
      <c r="E37" s="11">
        <v>0</v>
      </c>
      <c r="F37" s="101">
        <v>136.42679250229386</v>
      </c>
      <c r="G37" s="11">
        <v>0</v>
      </c>
      <c r="H37" s="11" t="s">
        <v>157</v>
      </c>
    </row>
    <row r="38" spans="1:8" x14ac:dyDescent="0.2">
      <c r="A38" s="6" t="s">
        <v>84</v>
      </c>
      <c r="B38" s="99">
        <v>379800</v>
      </c>
      <c r="C38" s="100">
        <v>27473333.333333336</v>
      </c>
      <c r="D38" s="6">
        <v>30</v>
      </c>
      <c r="E38" s="11">
        <v>30</v>
      </c>
      <c r="F38" s="101">
        <v>72.33631736001405</v>
      </c>
      <c r="G38" s="103">
        <v>30</v>
      </c>
      <c r="H38" s="103" t="s">
        <v>140</v>
      </c>
    </row>
    <row r="39" spans="1:8" x14ac:dyDescent="0.2">
      <c r="A39" s="6" t="s">
        <v>85</v>
      </c>
      <c r="B39" s="99">
        <v>338620</v>
      </c>
      <c r="C39" s="100">
        <v>28733333.333333336</v>
      </c>
      <c r="D39" s="6">
        <v>30</v>
      </c>
      <c r="E39" s="11">
        <v>30</v>
      </c>
      <c r="F39" s="101">
        <v>84.854212194593757</v>
      </c>
      <c r="G39" s="103">
        <v>30</v>
      </c>
      <c r="H39" s="103" t="s">
        <v>140</v>
      </c>
    </row>
    <row r="40" spans="1:8" x14ac:dyDescent="0.2">
      <c r="A40" s="6" t="s">
        <v>86</v>
      </c>
      <c r="B40" s="41">
        <v>437013.33333333331</v>
      </c>
      <c r="C40" s="100">
        <v>30726666.666666664</v>
      </c>
      <c r="D40" s="6">
        <v>30</v>
      </c>
      <c r="E40" s="11">
        <v>30</v>
      </c>
      <c r="F40" s="101">
        <v>70.310593116914816</v>
      </c>
      <c r="G40" s="103">
        <v>30</v>
      </c>
      <c r="H40" s="103" t="s">
        <v>140</v>
      </c>
    </row>
    <row r="41" spans="1:8" x14ac:dyDescent="0.2">
      <c r="A41" s="6" t="s">
        <v>99</v>
      </c>
      <c r="B41" s="99">
        <v>334393.33333333331</v>
      </c>
      <c r="C41" s="100">
        <v>30293333.333333336</v>
      </c>
      <c r="D41" s="6">
        <v>35</v>
      </c>
      <c r="E41" s="11">
        <v>35</v>
      </c>
      <c r="F41" s="101">
        <v>90.591917701708581</v>
      </c>
      <c r="G41" s="11">
        <v>35</v>
      </c>
      <c r="H41" s="11" t="s">
        <v>146</v>
      </c>
    </row>
    <row r="42" spans="1:8" x14ac:dyDescent="0.2">
      <c r="A42" s="6" t="s">
        <v>100</v>
      </c>
      <c r="B42" s="99">
        <v>288380</v>
      </c>
      <c r="C42" s="100">
        <v>26326666.666666664</v>
      </c>
      <c r="D42" s="6">
        <v>40</v>
      </c>
      <c r="E42" s="11">
        <v>40</v>
      </c>
      <c r="F42" s="101">
        <v>91.291582865200994</v>
      </c>
      <c r="G42" s="11">
        <v>40</v>
      </c>
      <c r="H42" s="11" t="s">
        <v>146</v>
      </c>
    </row>
    <row r="43" spans="1:8" x14ac:dyDescent="0.2">
      <c r="A43" s="6" t="s">
        <v>101</v>
      </c>
      <c r="B43" s="41">
        <v>339760</v>
      </c>
      <c r="C43" s="100">
        <v>29133333.333333336</v>
      </c>
      <c r="D43" s="6">
        <v>35</v>
      </c>
      <c r="E43" s="11">
        <v>35</v>
      </c>
      <c r="F43" s="101">
        <v>85.746801663919641</v>
      </c>
      <c r="G43" s="11">
        <v>35</v>
      </c>
      <c r="H43" s="11" t="s">
        <v>146</v>
      </c>
    </row>
    <row r="44" spans="1:8" x14ac:dyDescent="0.2">
      <c r="A44" s="6" t="s">
        <v>111</v>
      </c>
      <c r="B44" s="99">
        <v>135353.33333333334</v>
      </c>
      <c r="C44" s="100">
        <v>13205333.333333332</v>
      </c>
      <c r="D44" s="6">
        <v>70</v>
      </c>
      <c r="E44" s="11">
        <v>50</v>
      </c>
      <c r="F44" s="101">
        <v>97.561936659606943</v>
      </c>
      <c r="G44" s="11">
        <v>50</v>
      </c>
      <c r="H44" s="11" t="s">
        <v>151</v>
      </c>
    </row>
    <row r="45" spans="1:8" x14ac:dyDescent="0.2">
      <c r="A45" s="6" t="s">
        <v>112</v>
      </c>
      <c r="B45" s="99">
        <v>122653.33333333333</v>
      </c>
      <c r="C45" s="100">
        <v>10732666.666666668</v>
      </c>
      <c r="D45" s="6">
        <v>70</v>
      </c>
      <c r="E45" s="11">
        <v>50</v>
      </c>
      <c r="F45" s="101">
        <v>87.504076530057631</v>
      </c>
      <c r="G45" s="11">
        <v>50</v>
      </c>
      <c r="H45" s="11" t="s">
        <v>151</v>
      </c>
    </row>
    <row r="46" spans="1:8" x14ac:dyDescent="0.2">
      <c r="A46" s="6" t="s">
        <v>113</v>
      </c>
      <c r="B46" s="41">
        <v>146586.66666666666</v>
      </c>
      <c r="C46" s="100">
        <v>10906666.666666668</v>
      </c>
      <c r="D46" s="6">
        <v>60</v>
      </c>
      <c r="E46" s="11">
        <v>50</v>
      </c>
      <c r="F46" s="101">
        <v>74.404220483900318</v>
      </c>
      <c r="G46" s="11">
        <v>50</v>
      </c>
      <c r="H46" s="11" t="s">
        <v>151</v>
      </c>
    </row>
    <row r="47" spans="1:8" x14ac:dyDescent="0.2">
      <c r="A47" s="6" t="s">
        <v>87</v>
      </c>
      <c r="B47" s="99">
        <v>171340</v>
      </c>
      <c r="C47" s="100">
        <v>18673333.333333332</v>
      </c>
      <c r="D47" s="6">
        <v>60</v>
      </c>
      <c r="E47" s="11">
        <v>50</v>
      </c>
      <c r="F47" s="101">
        <v>108.98408622232597</v>
      </c>
      <c r="G47" s="103">
        <v>50</v>
      </c>
      <c r="H47" s="103" t="s">
        <v>141</v>
      </c>
    </row>
    <row r="48" spans="1:8" x14ac:dyDescent="0.2">
      <c r="A48" s="6" t="s">
        <v>88</v>
      </c>
      <c r="B48" s="99">
        <v>173713.33333333334</v>
      </c>
      <c r="C48" s="100">
        <v>16496000</v>
      </c>
      <c r="D48" s="6">
        <v>60</v>
      </c>
      <c r="E48" s="11">
        <v>50</v>
      </c>
      <c r="F48" s="101">
        <v>94.96104693556434</v>
      </c>
      <c r="G48" s="103">
        <v>50</v>
      </c>
      <c r="H48" s="103" t="s">
        <v>141</v>
      </c>
    </row>
    <row r="49" spans="1:8" x14ac:dyDescent="0.2">
      <c r="A49" s="6" t="s">
        <v>89</v>
      </c>
      <c r="B49" s="41">
        <v>177600</v>
      </c>
      <c r="C49" s="100">
        <v>17370666.666666668</v>
      </c>
      <c r="D49" s="6">
        <v>60</v>
      </c>
      <c r="E49" s="11">
        <v>50</v>
      </c>
      <c r="F49" s="101">
        <v>97.807807807807819</v>
      </c>
      <c r="G49" s="103">
        <v>50</v>
      </c>
      <c r="H49" s="103" t="s">
        <v>141</v>
      </c>
    </row>
    <row r="50" spans="1:8" x14ac:dyDescent="0.2">
      <c r="A50" s="6" t="s">
        <v>96</v>
      </c>
      <c r="B50" s="99">
        <v>373740</v>
      </c>
      <c r="C50" s="100">
        <v>33980000</v>
      </c>
      <c r="D50" s="6">
        <v>30</v>
      </c>
      <c r="E50" s="11">
        <v>30</v>
      </c>
      <c r="F50" s="101">
        <v>90.918820570450052</v>
      </c>
      <c r="G50" s="11">
        <v>30</v>
      </c>
      <c r="H50" s="11" t="s">
        <v>145</v>
      </c>
    </row>
    <row r="51" spans="1:8" x14ac:dyDescent="0.2">
      <c r="A51" s="6" t="s">
        <v>97</v>
      </c>
      <c r="B51" s="99">
        <v>403913.33333333331</v>
      </c>
      <c r="C51" s="100">
        <v>33926666.666666664</v>
      </c>
      <c r="D51" s="6">
        <v>30</v>
      </c>
      <c r="E51" s="11">
        <v>30</v>
      </c>
      <c r="F51" s="101">
        <v>83.994916401208172</v>
      </c>
      <c r="G51" s="11">
        <v>30</v>
      </c>
      <c r="H51" s="11" t="s">
        <v>145</v>
      </c>
    </row>
    <row r="52" spans="1:8" x14ac:dyDescent="0.2">
      <c r="A52" s="6" t="s">
        <v>98</v>
      </c>
      <c r="B52" s="41">
        <v>429833.33333333331</v>
      </c>
      <c r="C52" s="100">
        <v>39880000</v>
      </c>
      <c r="D52" s="6">
        <v>30</v>
      </c>
      <c r="E52" s="11">
        <v>30</v>
      </c>
      <c r="F52" s="101">
        <v>92.780147343931759</v>
      </c>
      <c r="G52" s="11">
        <v>30</v>
      </c>
      <c r="H52" s="11" t="s">
        <v>145</v>
      </c>
    </row>
    <row r="53" spans="1:8" x14ac:dyDescent="0.2">
      <c r="A53" s="6" t="s">
        <v>108</v>
      </c>
      <c r="B53" s="99">
        <v>131346.66666666666</v>
      </c>
      <c r="C53" s="100">
        <v>9648666.666666666</v>
      </c>
      <c r="D53" s="6">
        <v>75</v>
      </c>
      <c r="E53" s="11">
        <v>50</v>
      </c>
      <c r="F53" s="101">
        <v>73.459547254085876</v>
      </c>
      <c r="G53" s="11">
        <v>50</v>
      </c>
      <c r="H53" s="11" t="s">
        <v>150</v>
      </c>
    </row>
    <row r="54" spans="1:8" x14ac:dyDescent="0.2">
      <c r="A54" s="6" t="s">
        <v>109</v>
      </c>
      <c r="B54" s="99">
        <v>247893.33333333334</v>
      </c>
      <c r="C54" s="100">
        <v>18408666.666666668</v>
      </c>
      <c r="D54" s="6">
        <v>40</v>
      </c>
      <c r="E54" s="11">
        <v>50</v>
      </c>
      <c r="F54" s="101">
        <v>74.260434595524956</v>
      </c>
      <c r="G54" s="11">
        <v>50</v>
      </c>
      <c r="H54" s="11" t="s">
        <v>150</v>
      </c>
    </row>
    <row r="55" spans="1:8" x14ac:dyDescent="0.2">
      <c r="A55" s="6" t="s">
        <v>110</v>
      </c>
      <c r="B55" s="99">
        <v>201566.66666666666</v>
      </c>
      <c r="C55" s="100">
        <v>16894000</v>
      </c>
      <c r="D55" s="6">
        <v>50</v>
      </c>
      <c r="E55" s="11">
        <v>50</v>
      </c>
      <c r="F55" s="101">
        <v>83.813461220439891</v>
      </c>
      <c r="G55" s="11">
        <v>50</v>
      </c>
      <c r="H55" s="11" t="s">
        <v>150</v>
      </c>
    </row>
  </sheetData>
  <autoFilter ref="A1:H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5"/>
  <sheetViews>
    <sheetView workbookViewId="0">
      <selection activeCell="F29" sqref="F29"/>
    </sheetView>
  </sheetViews>
  <sheetFormatPr baseColWidth="10" defaultRowHeight="16" x14ac:dyDescent="0.2"/>
  <cols>
    <col min="1" max="2" width="19.6640625" customWidth="1"/>
    <col min="3" max="3" width="13.33203125" customWidth="1"/>
    <col min="6" max="6" width="14.5" style="26" customWidth="1"/>
    <col min="7" max="7" width="18.33203125" customWidth="1"/>
    <col min="8" max="9" width="13.1640625" customWidth="1"/>
    <col min="10" max="10" width="13.6640625" customWidth="1"/>
    <col min="11" max="11" width="14" customWidth="1"/>
    <col min="12" max="12" width="14.33203125" customWidth="1"/>
    <col min="13" max="13" width="14.6640625" customWidth="1"/>
    <col min="14" max="14" width="14.1640625" style="11" customWidth="1"/>
    <col min="15" max="15" width="14.33203125" customWidth="1"/>
    <col min="16" max="16" width="14.83203125" style="11" customWidth="1"/>
    <col min="17" max="17" width="15.6640625" style="11" customWidth="1"/>
    <col min="18" max="18" width="14.6640625" style="11" customWidth="1"/>
    <col min="19" max="19" width="16.5" style="11" customWidth="1"/>
    <col min="20" max="20" width="16" style="11" customWidth="1"/>
    <col min="21" max="21" width="14.33203125" customWidth="1"/>
    <col min="22" max="22" width="14.6640625" customWidth="1"/>
    <col min="23" max="23" width="14.83203125" customWidth="1"/>
    <col min="25" max="25" width="10.83203125" style="29"/>
  </cols>
  <sheetData>
    <row r="1" spans="1:28" x14ac:dyDescent="0.2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8</v>
      </c>
      <c r="H1" s="2" t="s">
        <v>12</v>
      </c>
      <c r="I1" s="2" t="s">
        <v>16</v>
      </c>
      <c r="J1" s="3" t="s">
        <v>20</v>
      </c>
      <c r="K1" s="3" t="s">
        <v>24</v>
      </c>
      <c r="L1" s="3" t="s">
        <v>28</v>
      </c>
      <c r="M1" s="3" t="s">
        <v>32</v>
      </c>
      <c r="N1" s="3" t="s">
        <v>36</v>
      </c>
      <c r="O1" s="3" t="s">
        <v>40</v>
      </c>
      <c r="P1" s="3" t="s">
        <v>44</v>
      </c>
      <c r="Q1" s="3" t="s">
        <v>48</v>
      </c>
      <c r="R1" s="3" t="s">
        <v>52</v>
      </c>
      <c r="S1" s="3" t="s">
        <v>56</v>
      </c>
      <c r="T1" s="3" t="s">
        <v>60</v>
      </c>
      <c r="U1" s="3" t="s">
        <v>64</v>
      </c>
      <c r="V1" s="3" t="s">
        <v>68</v>
      </c>
      <c r="W1" s="3" t="s">
        <v>72</v>
      </c>
      <c r="Y1" s="27" t="s">
        <v>133</v>
      </c>
      <c r="Z1" s="28" t="s">
        <v>134</v>
      </c>
      <c r="AA1" s="28" t="s">
        <v>135</v>
      </c>
      <c r="AB1" s="28" t="s">
        <v>136</v>
      </c>
    </row>
    <row r="2" spans="1:28" x14ac:dyDescent="0.2">
      <c r="A2" s="12" t="s">
        <v>77</v>
      </c>
      <c r="B2" s="12" t="s">
        <v>138</v>
      </c>
      <c r="C2" s="13" t="s">
        <v>76</v>
      </c>
      <c r="D2" s="13">
        <v>50</v>
      </c>
      <c r="E2" s="13">
        <v>26</v>
      </c>
      <c r="F2" s="14">
        <f>([1]innoculation!$D$5*2)/1000</f>
        <v>1392.8666666666666</v>
      </c>
      <c r="G2" s="13">
        <v>1746</v>
      </c>
      <c r="H2" s="13">
        <v>2617</v>
      </c>
      <c r="I2" s="13">
        <v>3492</v>
      </c>
      <c r="J2" s="13">
        <v>7264</v>
      </c>
      <c r="K2" s="13">
        <v>16362</v>
      </c>
      <c r="L2" s="13">
        <v>38463</v>
      </c>
      <c r="M2" s="13">
        <f>5175*20</f>
        <v>103500</v>
      </c>
      <c r="N2" s="13">
        <f>12702*20</f>
        <v>254040</v>
      </c>
      <c r="O2" s="13">
        <f>22646*20</f>
        <v>452920</v>
      </c>
      <c r="P2" s="13">
        <f>37345*20</f>
        <v>746900</v>
      </c>
      <c r="Q2" s="13">
        <f>62498*20</f>
        <v>1249960</v>
      </c>
      <c r="R2" s="13">
        <f>71498*20</f>
        <v>1429960</v>
      </c>
      <c r="S2" s="13">
        <f>68223*20</f>
        <v>1364460</v>
      </c>
      <c r="T2" s="13"/>
      <c r="U2" s="13"/>
      <c r="V2" s="13"/>
      <c r="W2" s="13"/>
    </row>
    <row r="3" spans="1:28" x14ac:dyDescent="0.2">
      <c r="A3" s="12" t="s">
        <v>77</v>
      </c>
      <c r="B3" s="12" t="s">
        <v>138</v>
      </c>
      <c r="C3" s="13" t="s">
        <v>76</v>
      </c>
      <c r="D3" s="13">
        <v>50</v>
      </c>
      <c r="E3" s="13">
        <v>26</v>
      </c>
      <c r="F3" s="14">
        <f>([1]innoculation!$D$5*2)/1000</f>
        <v>1392.8666666666666</v>
      </c>
      <c r="G3" s="13">
        <v>1648</v>
      </c>
      <c r="H3" s="13">
        <v>2603</v>
      </c>
      <c r="I3" s="13">
        <v>3686</v>
      </c>
      <c r="J3" s="13">
        <v>7073</v>
      </c>
      <c r="K3" s="13">
        <v>16174</v>
      </c>
      <c r="L3" s="13">
        <v>38389</v>
      </c>
      <c r="M3" s="13">
        <f>4912*20</f>
        <v>98240</v>
      </c>
      <c r="N3" s="13">
        <f>12359*20</f>
        <v>247180</v>
      </c>
      <c r="O3" s="13">
        <f>23536*20</f>
        <v>470720</v>
      </c>
      <c r="P3" s="13">
        <f>37403*20</f>
        <v>748060</v>
      </c>
      <c r="Q3" s="13">
        <f>62196*20</f>
        <v>1243920</v>
      </c>
      <c r="R3" s="13">
        <f>70809*20</f>
        <v>1416180</v>
      </c>
      <c r="S3" s="13">
        <f>69671*20</f>
        <v>1393420</v>
      </c>
      <c r="T3" s="13"/>
      <c r="U3" s="13"/>
      <c r="V3" s="13"/>
      <c r="W3" s="13"/>
    </row>
    <row r="4" spans="1:28" x14ac:dyDescent="0.2">
      <c r="A4" s="12" t="s">
        <v>77</v>
      </c>
      <c r="B4" s="12" t="s">
        <v>138</v>
      </c>
      <c r="C4" s="13" t="s">
        <v>76</v>
      </c>
      <c r="D4" s="13">
        <v>50</v>
      </c>
      <c r="E4" s="13">
        <v>26</v>
      </c>
      <c r="F4" s="14">
        <f>([1]innoculation!$D$5*2)/1000</f>
        <v>1392.8666666666666</v>
      </c>
      <c r="G4" s="13">
        <v>1686</v>
      </c>
      <c r="H4" s="13">
        <v>2806</v>
      </c>
      <c r="I4" s="13">
        <v>3708</v>
      </c>
      <c r="J4" s="13">
        <v>7289</v>
      </c>
      <c r="K4" s="13">
        <v>16231</v>
      </c>
      <c r="L4" s="13">
        <v>36487</v>
      </c>
      <c r="M4" s="13">
        <f>4777*20</f>
        <v>95540</v>
      </c>
      <c r="N4" s="13">
        <f>12263*20</f>
        <v>245260</v>
      </c>
      <c r="O4" s="13">
        <f>23415*20</f>
        <v>468300</v>
      </c>
      <c r="P4" s="13">
        <f>37359*20</f>
        <v>747180</v>
      </c>
      <c r="Q4" s="13">
        <f>62107*20</f>
        <v>1242140</v>
      </c>
      <c r="R4" s="13">
        <f>70746*20</f>
        <v>1414920</v>
      </c>
      <c r="S4" s="13">
        <f>68301*20</f>
        <v>1366020</v>
      </c>
      <c r="T4" s="13"/>
      <c r="U4" s="13"/>
      <c r="V4" s="13"/>
      <c r="W4" s="13"/>
    </row>
    <row r="5" spans="1:28" x14ac:dyDescent="0.2">
      <c r="A5" s="12" t="s">
        <v>78</v>
      </c>
      <c r="B5" s="12" t="s">
        <v>138</v>
      </c>
      <c r="C5" s="13" t="s">
        <v>76</v>
      </c>
      <c r="D5" s="13">
        <v>50</v>
      </c>
      <c r="E5" s="13">
        <v>26</v>
      </c>
      <c r="F5" s="14">
        <f>([1]innoculation!$D$5*2)/1000</f>
        <v>1392.8666666666666</v>
      </c>
      <c r="G5" s="13">
        <v>1794</v>
      </c>
      <c r="H5" s="13">
        <v>2312</v>
      </c>
      <c r="I5" s="13">
        <v>3206</v>
      </c>
      <c r="J5" s="13">
        <v>8760</v>
      </c>
      <c r="K5" s="13">
        <v>14564</v>
      </c>
      <c r="L5" s="13">
        <v>31395</v>
      </c>
      <c r="M5" s="13">
        <f>4286*20</f>
        <v>85720</v>
      </c>
      <c r="N5" s="13">
        <f>10550*20</f>
        <v>211000</v>
      </c>
      <c r="O5" s="13">
        <f>19636*20</f>
        <v>392720</v>
      </c>
      <c r="P5" s="13">
        <f>31397*20</f>
        <v>627940</v>
      </c>
      <c r="Q5" s="13">
        <f>57065*20</f>
        <v>1141300</v>
      </c>
      <c r="R5" s="13">
        <f>68375*20</f>
        <v>1367500</v>
      </c>
      <c r="S5" s="13">
        <f>66453*20</f>
        <v>1329060</v>
      </c>
      <c r="T5" s="13"/>
      <c r="U5" s="13"/>
      <c r="V5" s="13"/>
      <c r="W5" s="13"/>
    </row>
    <row r="6" spans="1:28" x14ac:dyDescent="0.2">
      <c r="A6" s="12" t="s">
        <v>78</v>
      </c>
      <c r="B6" s="12" t="s">
        <v>138</v>
      </c>
      <c r="C6" s="13" t="s">
        <v>76</v>
      </c>
      <c r="D6" s="13">
        <v>50</v>
      </c>
      <c r="E6" s="13">
        <v>26</v>
      </c>
      <c r="F6" s="14">
        <f>([1]innoculation!$D$5*2)/1000</f>
        <v>1392.8666666666666</v>
      </c>
      <c r="G6" s="13">
        <v>1848</v>
      </c>
      <c r="H6" s="13">
        <v>2239</v>
      </c>
      <c r="I6" s="13">
        <v>3094</v>
      </c>
      <c r="J6" s="13">
        <v>8286</v>
      </c>
      <c r="K6" s="13">
        <v>14697</v>
      </c>
      <c r="L6" s="13">
        <v>30246</v>
      </c>
      <c r="M6" s="13">
        <f>4101*20</f>
        <v>82020</v>
      </c>
      <c r="N6" s="13">
        <f>10322*20</f>
        <v>206440</v>
      </c>
      <c r="O6" s="13">
        <f>19802*20</f>
        <v>396040</v>
      </c>
      <c r="P6" s="13">
        <f>31572*20</f>
        <v>631440</v>
      </c>
      <c r="Q6" s="13">
        <f>56366*20</f>
        <v>1127320</v>
      </c>
      <c r="R6" s="13">
        <f>67363*20</f>
        <v>1347260</v>
      </c>
      <c r="S6" s="13">
        <f>66553*20</f>
        <v>1331060</v>
      </c>
      <c r="T6" s="13"/>
      <c r="U6" s="13"/>
      <c r="V6" s="13"/>
      <c r="W6" s="13"/>
    </row>
    <row r="7" spans="1:28" x14ac:dyDescent="0.2">
      <c r="A7" s="12" t="s">
        <v>78</v>
      </c>
      <c r="B7" s="12" t="s">
        <v>138</v>
      </c>
      <c r="C7" s="13" t="s">
        <v>76</v>
      </c>
      <c r="D7" s="13">
        <v>50</v>
      </c>
      <c r="E7" s="13">
        <v>26</v>
      </c>
      <c r="F7" s="14">
        <f>([1]innoculation!$D$5*2)/1000</f>
        <v>1392.8666666666666</v>
      </c>
      <c r="G7" s="13">
        <v>1766</v>
      </c>
      <c r="H7" s="13">
        <v>2246</v>
      </c>
      <c r="I7" s="13">
        <v>2957</v>
      </c>
      <c r="J7" s="13">
        <v>8768</v>
      </c>
      <c r="K7" s="13">
        <v>13587</v>
      </c>
      <c r="L7" s="13">
        <v>30542</v>
      </c>
      <c r="M7" s="13">
        <f>4096*20</f>
        <v>81920</v>
      </c>
      <c r="N7" s="13">
        <f>10309*20</f>
        <v>206180</v>
      </c>
      <c r="O7" s="13">
        <f>19440*20</f>
        <v>388800</v>
      </c>
      <c r="P7" s="13">
        <f>31820*20</f>
        <v>636400</v>
      </c>
      <c r="Q7" s="13">
        <f>56794*20</f>
        <v>1135880</v>
      </c>
      <c r="R7" s="13">
        <f>66557*20</f>
        <v>1331140</v>
      </c>
      <c r="S7" s="13">
        <f>66487*20</f>
        <v>1329740</v>
      </c>
      <c r="T7" s="13"/>
      <c r="U7" s="13"/>
      <c r="V7" s="13"/>
      <c r="W7" s="13"/>
    </row>
    <row r="8" spans="1:28" x14ac:dyDescent="0.2">
      <c r="A8" s="12" t="s">
        <v>79</v>
      </c>
      <c r="B8" s="12" t="s">
        <v>138</v>
      </c>
      <c r="C8" s="13" t="s">
        <v>76</v>
      </c>
      <c r="D8" s="13">
        <v>50</v>
      </c>
      <c r="E8" s="13">
        <v>26</v>
      </c>
      <c r="F8" s="14">
        <f>([1]innoculation!$D$5*2)/1000</f>
        <v>1392.8666666666666</v>
      </c>
      <c r="G8" s="13">
        <v>1712</v>
      </c>
      <c r="H8" s="13">
        <v>2561</v>
      </c>
      <c r="I8" s="13">
        <v>3574</v>
      </c>
      <c r="J8" s="13">
        <v>7953</v>
      </c>
      <c r="K8" s="13">
        <v>18202</v>
      </c>
      <c r="L8" s="13">
        <v>38940</v>
      </c>
      <c r="M8" s="13">
        <f>5252*20</f>
        <v>105040</v>
      </c>
      <c r="N8" s="13">
        <f>12545*20</f>
        <v>250900</v>
      </c>
      <c r="O8" s="13">
        <f>25421*20</f>
        <v>508420</v>
      </c>
      <c r="P8" s="13">
        <f>37641*20</f>
        <v>752820</v>
      </c>
      <c r="Q8" s="13">
        <f>62875*20</f>
        <v>1257500</v>
      </c>
      <c r="R8" s="13">
        <f>70661*20</f>
        <v>1413220</v>
      </c>
      <c r="S8" s="13">
        <f>68640*20</f>
        <v>1372800</v>
      </c>
      <c r="T8" s="13"/>
      <c r="U8" s="13"/>
      <c r="V8" s="13"/>
      <c r="W8" s="13"/>
      <c r="Y8"/>
    </row>
    <row r="9" spans="1:28" x14ac:dyDescent="0.2">
      <c r="A9" s="12" t="s">
        <v>79</v>
      </c>
      <c r="B9" s="12" t="s">
        <v>138</v>
      </c>
      <c r="C9" s="13" t="s">
        <v>76</v>
      </c>
      <c r="D9" s="13">
        <v>50</v>
      </c>
      <c r="E9" s="13">
        <v>26</v>
      </c>
      <c r="F9" s="14">
        <f>([1]innoculation!$D$5*2)/1000</f>
        <v>1392.8666666666666</v>
      </c>
      <c r="G9" s="13">
        <v>1600</v>
      </c>
      <c r="H9" s="13">
        <v>2473</v>
      </c>
      <c r="I9" s="13">
        <v>3482</v>
      </c>
      <c r="J9" s="13">
        <v>7770</v>
      </c>
      <c r="K9" s="13">
        <v>17760</v>
      </c>
      <c r="L9" s="13">
        <v>37606</v>
      </c>
      <c r="M9" s="13">
        <f>5059*20</f>
        <v>101180</v>
      </c>
      <c r="N9" s="13">
        <f>12279*20</f>
        <v>245580</v>
      </c>
      <c r="O9" s="13">
        <f>25166*20</f>
        <v>503320</v>
      </c>
      <c r="P9" s="13">
        <f>37781*20</f>
        <v>755620</v>
      </c>
      <c r="Q9" s="13">
        <f>61831*20</f>
        <v>1236620</v>
      </c>
      <c r="R9" s="13">
        <f>70148*20</f>
        <v>1402960</v>
      </c>
      <c r="S9" s="13">
        <f>69063*20</f>
        <v>1381260</v>
      </c>
      <c r="T9" s="13"/>
      <c r="U9" s="13"/>
      <c r="V9" s="13"/>
      <c r="W9" s="13"/>
      <c r="Y9"/>
    </row>
    <row r="10" spans="1:28" x14ac:dyDescent="0.2">
      <c r="A10" s="12" t="s">
        <v>79</v>
      </c>
      <c r="B10" s="12" t="s">
        <v>138</v>
      </c>
      <c r="C10" s="13" t="s">
        <v>76</v>
      </c>
      <c r="D10" s="13">
        <v>50</v>
      </c>
      <c r="E10" s="13">
        <v>26</v>
      </c>
      <c r="F10" s="14">
        <f>([1]innoculation!$D$5*2)/1000</f>
        <v>1392.8666666666666</v>
      </c>
      <c r="G10" s="13">
        <v>1685</v>
      </c>
      <c r="H10" s="13">
        <v>2496</v>
      </c>
      <c r="I10" s="13">
        <v>3505</v>
      </c>
      <c r="J10" s="13">
        <v>7560</v>
      </c>
      <c r="K10" s="13">
        <v>17788</v>
      </c>
      <c r="L10" s="13">
        <v>38458</v>
      </c>
      <c r="M10" s="13">
        <f>5138*20</f>
        <v>102760</v>
      </c>
      <c r="N10" s="13">
        <f>22602*20</f>
        <v>452040</v>
      </c>
      <c r="O10" s="13">
        <f>25275*20</f>
        <v>505500</v>
      </c>
      <c r="P10" s="13">
        <f>37119*20</f>
        <v>742380</v>
      </c>
      <c r="Q10" s="13">
        <f>62039*20</f>
        <v>1240780</v>
      </c>
      <c r="R10" s="13">
        <f>70576*20</f>
        <v>1411520</v>
      </c>
      <c r="S10" s="13">
        <f>68777*20</f>
        <v>1375540</v>
      </c>
      <c r="T10" s="13"/>
      <c r="U10" s="13"/>
      <c r="V10" s="13"/>
      <c r="W10" s="13"/>
      <c r="Y10"/>
    </row>
    <row r="11" spans="1:28" x14ac:dyDescent="0.2">
      <c r="A11" s="12" t="s">
        <v>81</v>
      </c>
      <c r="B11" s="12" t="s">
        <v>139</v>
      </c>
      <c r="C11" s="13" t="s">
        <v>76</v>
      </c>
      <c r="D11" s="13">
        <v>100</v>
      </c>
      <c r="E11" s="13">
        <v>26</v>
      </c>
      <c r="F11" s="14">
        <f>([1]innoculation!$D$7*2)/1000</f>
        <v>1267.6266666666668</v>
      </c>
      <c r="G11" s="13">
        <v>1433</v>
      </c>
      <c r="H11" s="13">
        <v>1730</v>
      </c>
      <c r="I11" s="13">
        <v>3589</v>
      </c>
      <c r="J11" s="13">
        <v>6913</v>
      </c>
      <c r="K11" s="13">
        <v>16001</v>
      </c>
      <c r="L11" s="13">
        <v>41685</v>
      </c>
      <c r="M11" s="13">
        <f>5319*20</f>
        <v>106380</v>
      </c>
      <c r="N11" s="13">
        <f>12652*20</f>
        <v>253040</v>
      </c>
      <c r="O11" s="13">
        <f>21701*20</f>
        <v>434020</v>
      </c>
      <c r="P11" s="13">
        <f>40467*20</f>
        <v>809340</v>
      </c>
      <c r="Q11" s="13">
        <f>55797*20</f>
        <v>1115940</v>
      </c>
      <c r="R11" s="13">
        <f>64900*20</f>
        <v>1298000</v>
      </c>
      <c r="S11" s="13">
        <f>61894*20</f>
        <v>1237880</v>
      </c>
      <c r="T11" s="13"/>
      <c r="U11" s="13"/>
      <c r="V11" s="13"/>
      <c r="W11" s="13"/>
      <c r="Y11"/>
    </row>
    <row r="12" spans="1:28" x14ac:dyDescent="0.2">
      <c r="A12" s="12" t="s">
        <v>81</v>
      </c>
      <c r="B12" s="12" t="s">
        <v>139</v>
      </c>
      <c r="C12" s="13" t="s">
        <v>76</v>
      </c>
      <c r="D12" s="13">
        <v>100</v>
      </c>
      <c r="E12" s="13">
        <v>26</v>
      </c>
      <c r="F12" s="14">
        <f>([1]innoculation!$D$7*2)/1000</f>
        <v>1267.6266666666668</v>
      </c>
      <c r="G12" s="13">
        <v>1317</v>
      </c>
      <c r="H12" s="13">
        <v>1802</v>
      </c>
      <c r="I12" s="13">
        <v>3317</v>
      </c>
      <c r="J12" s="13">
        <v>6414</v>
      </c>
      <c r="K12" s="13">
        <v>15193</v>
      </c>
      <c r="L12" s="13">
        <v>40133</v>
      </c>
      <c r="M12" s="13">
        <f>5070*20</f>
        <v>101400</v>
      </c>
      <c r="N12" s="13">
        <f>12418*20</f>
        <v>248360</v>
      </c>
      <c r="O12" s="13">
        <f>21639*20</f>
        <v>432780</v>
      </c>
      <c r="P12" s="13">
        <f>39227*20</f>
        <v>784540</v>
      </c>
      <c r="Q12" s="13">
        <f>55164*20</f>
        <v>1103280</v>
      </c>
      <c r="R12" s="13">
        <f>64378*20</f>
        <v>1287560</v>
      </c>
      <c r="S12" s="13">
        <f>61665*20</f>
        <v>1233300</v>
      </c>
      <c r="T12" s="13"/>
      <c r="U12" s="13"/>
      <c r="V12" s="13"/>
      <c r="W12" s="13"/>
      <c r="Y12"/>
    </row>
    <row r="13" spans="1:28" x14ac:dyDescent="0.2">
      <c r="A13" s="12" t="s">
        <v>81</v>
      </c>
      <c r="B13" s="12" t="s">
        <v>139</v>
      </c>
      <c r="C13" s="13" t="s">
        <v>76</v>
      </c>
      <c r="D13" s="13">
        <v>100</v>
      </c>
      <c r="E13" s="13">
        <v>26</v>
      </c>
      <c r="F13" s="14">
        <f>([1]innoculation!$D$7*2)/1000</f>
        <v>1267.6266666666668</v>
      </c>
      <c r="G13" s="13">
        <v>1330</v>
      </c>
      <c r="H13" s="13">
        <v>1638</v>
      </c>
      <c r="I13" s="13">
        <v>3445</v>
      </c>
      <c r="J13" s="13">
        <v>6468</v>
      </c>
      <c r="K13" s="13">
        <v>15180</v>
      </c>
      <c r="L13" s="13">
        <v>38984</v>
      </c>
      <c r="M13" s="13">
        <f>5023*20</f>
        <v>100460</v>
      </c>
      <c r="N13" s="13">
        <f>12163*20</f>
        <v>243260</v>
      </c>
      <c r="O13" s="13">
        <f>21039*20</f>
        <v>420780</v>
      </c>
      <c r="P13" s="13">
        <f>39325*20</f>
        <v>786500</v>
      </c>
      <c r="Q13" s="13">
        <f>55145*20</f>
        <v>1102900</v>
      </c>
      <c r="R13" s="13">
        <f>64522*20</f>
        <v>1290440</v>
      </c>
      <c r="S13" s="13">
        <f>61879*20</f>
        <v>1237580</v>
      </c>
      <c r="T13" s="13"/>
      <c r="U13" s="13"/>
      <c r="V13" s="13"/>
      <c r="W13" s="13"/>
      <c r="Y13"/>
    </row>
    <row r="14" spans="1:28" x14ac:dyDescent="0.2">
      <c r="A14" s="12" t="s">
        <v>82</v>
      </c>
      <c r="B14" s="12" t="s">
        <v>139</v>
      </c>
      <c r="C14" s="13" t="s">
        <v>76</v>
      </c>
      <c r="D14" s="13">
        <v>100</v>
      </c>
      <c r="E14" s="13">
        <v>26</v>
      </c>
      <c r="F14" s="14">
        <f>([1]innoculation!$D$7*2)/1000</f>
        <v>1267.6266666666668</v>
      </c>
      <c r="G14" s="13">
        <v>1625</v>
      </c>
      <c r="H14" s="13">
        <v>1698</v>
      </c>
      <c r="I14" s="13">
        <v>3185</v>
      </c>
      <c r="J14" s="13">
        <v>6297</v>
      </c>
      <c r="K14" s="13">
        <v>14743</v>
      </c>
      <c r="L14" s="13">
        <v>37192</v>
      </c>
      <c r="M14" s="13">
        <f>5043*20</f>
        <v>100860</v>
      </c>
      <c r="N14" s="13">
        <f>11005*20</f>
        <v>220100</v>
      </c>
      <c r="O14" s="13">
        <f>20007*20</f>
        <v>400140</v>
      </c>
      <c r="P14" s="13">
        <f>38651*20</f>
        <v>773020</v>
      </c>
      <c r="Q14" s="13">
        <f>56931*20</f>
        <v>1138620</v>
      </c>
      <c r="R14" s="13">
        <f>72871*20</f>
        <v>1457420</v>
      </c>
      <c r="S14" s="13">
        <f>61667*20</f>
        <v>1233340</v>
      </c>
      <c r="T14" s="13"/>
      <c r="U14" s="13"/>
      <c r="V14" s="13"/>
      <c r="W14" s="13"/>
      <c r="Y14"/>
    </row>
    <row r="15" spans="1:28" x14ac:dyDescent="0.2">
      <c r="A15" s="12" t="s">
        <v>82</v>
      </c>
      <c r="B15" s="12" t="s">
        <v>139</v>
      </c>
      <c r="C15" s="13" t="s">
        <v>76</v>
      </c>
      <c r="D15" s="13">
        <v>100</v>
      </c>
      <c r="E15" s="13">
        <v>26</v>
      </c>
      <c r="F15" s="14">
        <f>([1]innoculation!$D$7*2)/1000</f>
        <v>1267.6266666666668</v>
      </c>
      <c r="G15" s="13">
        <v>1607</v>
      </c>
      <c r="H15" s="13">
        <v>1623</v>
      </c>
      <c r="I15" s="13">
        <v>3065</v>
      </c>
      <c r="J15" s="13">
        <v>6156</v>
      </c>
      <c r="K15" s="13">
        <v>13829</v>
      </c>
      <c r="L15" s="13">
        <v>35918</v>
      </c>
      <c r="M15" s="13">
        <f>5047*20</f>
        <v>100940</v>
      </c>
      <c r="N15" s="13">
        <f>10868*20</f>
        <v>217360</v>
      </c>
      <c r="O15" s="13">
        <f>20092*20</f>
        <v>401840</v>
      </c>
      <c r="P15" s="13">
        <f>37699*20</f>
        <v>753980</v>
      </c>
      <c r="Q15" s="13">
        <f>56311*20</f>
        <v>1126220</v>
      </c>
      <c r="R15" s="13">
        <f>72585*20</f>
        <v>1451700</v>
      </c>
      <c r="S15" s="13">
        <f>62318*20</f>
        <v>1246360</v>
      </c>
      <c r="T15" s="13"/>
      <c r="U15" s="13"/>
      <c r="V15" s="13"/>
      <c r="W15" s="13"/>
      <c r="Y15"/>
    </row>
    <row r="16" spans="1:28" x14ac:dyDescent="0.2">
      <c r="A16" s="12" t="s">
        <v>82</v>
      </c>
      <c r="B16" s="12" t="s">
        <v>139</v>
      </c>
      <c r="C16" s="13" t="s">
        <v>76</v>
      </c>
      <c r="D16" s="13">
        <v>100</v>
      </c>
      <c r="E16" s="13">
        <v>26</v>
      </c>
      <c r="F16" s="14">
        <f>([1]innoculation!$D$7*2)/1000</f>
        <v>1267.6266666666668</v>
      </c>
      <c r="G16" s="13">
        <v>1513</v>
      </c>
      <c r="H16" s="13">
        <v>1719</v>
      </c>
      <c r="I16" s="13">
        <v>2972</v>
      </c>
      <c r="J16" s="13">
        <v>6211</v>
      </c>
      <c r="K16" s="13">
        <v>13616</v>
      </c>
      <c r="L16" s="13">
        <v>35300</v>
      </c>
      <c r="M16" s="13">
        <f>4878*20</f>
        <v>97560</v>
      </c>
      <c r="N16" s="13">
        <f>10829*20</f>
        <v>216580</v>
      </c>
      <c r="O16" s="13">
        <f>19907*20</f>
        <v>398140</v>
      </c>
      <c r="P16" s="13">
        <f>37848*20</f>
        <v>756960</v>
      </c>
      <c r="Q16" s="13">
        <f>55424*20</f>
        <v>1108480</v>
      </c>
      <c r="R16" s="13">
        <f>72589*20</f>
        <v>1451780</v>
      </c>
      <c r="S16" s="13">
        <f>61768*20</f>
        <v>1235360</v>
      </c>
      <c r="T16" s="13"/>
      <c r="U16" s="13"/>
      <c r="V16" s="13"/>
      <c r="W16" s="13"/>
      <c r="Y16"/>
    </row>
    <row r="17" spans="1:25" x14ac:dyDescent="0.2">
      <c r="A17" s="12" t="s">
        <v>83</v>
      </c>
      <c r="B17" s="12" t="s">
        <v>139</v>
      </c>
      <c r="C17" s="13" t="s">
        <v>76</v>
      </c>
      <c r="D17" s="13">
        <v>100</v>
      </c>
      <c r="E17" s="13">
        <v>26</v>
      </c>
      <c r="F17" s="14">
        <f>([1]innoculation!$D$7*2)/1000</f>
        <v>1267.6266666666668</v>
      </c>
      <c r="G17" s="13">
        <v>1599</v>
      </c>
      <c r="H17" s="13">
        <v>1763</v>
      </c>
      <c r="I17" s="13">
        <v>3046</v>
      </c>
      <c r="J17" s="13">
        <v>6732</v>
      </c>
      <c r="K17" s="13">
        <v>15332</v>
      </c>
      <c r="L17" s="13">
        <v>39021</v>
      </c>
      <c r="M17" s="13">
        <f>5449*20</f>
        <v>108980</v>
      </c>
      <c r="N17" s="13">
        <f>11816*20</f>
        <v>236320</v>
      </c>
      <c r="O17" s="13">
        <f>21214*20</f>
        <v>424280</v>
      </c>
      <c r="P17" s="13">
        <f>37438*20</f>
        <v>748760</v>
      </c>
      <c r="Q17" s="13">
        <f>53490*20</f>
        <v>1069800</v>
      </c>
      <c r="R17" s="13">
        <f>66327*20</f>
        <v>1326540</v>
      </c>
      <c r="S17" s="13">
        <f>61216*20</f>
        <v>1224320</v>
      </c>
      <c r="T17" s="13"/>
      <c r="U17" s="13"/>
      <c r="V17" s="13"/>
      <c r="W17" s="13"/>
      <c r="Y17"/>
    </row>
    <row r="18" spans="1:25" x14ac:dyDescent="0.2">
      <c r="A18" s="12" t="s">
        <v>83</v>
      </c>
      <c r="B18" s="12" t="s">
        <v>139</v>
      </c>
      <c r="C18" s="13" t="s">
        <v>76</v>
      </c>
      <c r="D18" s="13">
        <v>100</v>
      </c>
      <c r="E18" s="13">
        <v>26</v>
      </c>
      <c r="F18" s="14">
        <f>([1]innoculation!$D$7*2)/1000</f>
        <v>1267.6266666666668</v>
      </c>
      <c r="G18" s="13">
        <v>1529</v>
      </c>
      <c r="H18" s="13">
        <v>1661</v>
      </c>
      <c r="I18" s="13">
        <v>2908</v>
      </c>
      <c r="J18" s="13">
        <v>6745</v>
      </c>
      <c r="K18" s="13">
        <v>14718</v>
      </c>
      <c r="L18" s="13">
        <v>37355</v>
      </c>
      <c r="M18" s="13">
        <f>5279*20</f>
        <v>105580</v>
      </c>
      <c r="N18" s="13">
        <f>11598*20</f>
        <v>231960</v>
      </c>
      <c r="O18" s="13">
        <f>20847*20</f>
        <v>416940</v>
      </c>
      <c r="P18" s="13">
        <f>37453*20</f>
        <v>749060</v>
      </c>
      <c r="Q18" s="13">
        <f>53778*20</f>
        <v>1075560</v>
      </c>
      <c r="R18" s="13">
        <f>65103*20</f>
        <v>1302060</v>
      </c>
      <c r="S18" s="13">
        <f>61128*20</f>
        <v>1222560</v>
      </c>
      <c r="T18" s="13"/>
      <c r="U18" s="13"/>
      <c r="V18" s="13"/>
      <c r="W18" s="13"/>
      <c r="Y18"/>
    </row>
    <row r="19" spans="1:25" x14ac:dyDescent="0.2">
      <c r="A19" s="12" t="s">
        <v>83</v>
      </c>
      <c r="B19" s="12" t="s">
        <v>139</v>
      </c>
      <c r="C19" s="13" t="s">
        <v>76</v>
      </c>
      <c r="D19" s="13">
        <v>100</v>
      </c>
      <c r="E19" s="13">
        <v>26</v>
      </c>
      <c r="F19" s="14">
        <f>([1]innoculation!$D$7*2)/1000</f>
        <v>1267.6266666666668</v>
      </c>
      <c r="G19" s="13">
        <v>1532</v>
      </c>
      <c r="H19" s="13">
        <v>1686</v>
      </c>
      <c r="I19" s="13">
        <v>2847</v>
      </c>
      <c r="J19" s="13">
        <v>6626</v>
      </c>
      <c r="K19" s="13">
        <v>14585</v>
      </c>
      <c r="L19" s="13">
        <v>37344</v>
      </c>
      <c r="M19" s="13">
        <f>5112*20</f>
        <v>102240</v>
      </c>
      <c r="N19" s="13">
        <f>11152*20</f>
        <v>223040</v>
      </c>
      <c r="O19" s="13">
        <f>20377*20</f>
        <v>407540</v>
      </c>
      <c r="P19" s="13">
        <f>35904*20</f>
        <v>718080</v>
      </c>
      <c r="Q19" s="13">
        <f>53453*20</f>
        <v>1069060</v>
      </c>
      <c r="R19" s="13">
        <f>65224*20</f>
        <v>1304480</v>
      </c>
      <c r="S19" s="13">
        <f>60643*20</f>
        <v>1212860</v>
      </c>
      <c r="T19" s="13"/>
      <c r="U19" s="13"/>
      <c r="V19" s="13"/>
      <c r="W19" s="13"/>
      <c r="Y19"/>
    </row>
    <row r="20" spans="1:25" x14ac:dyDescent="0.2">
      <c r="A20" s="5" t="s">
        <v>84</v>
      </c>
      <c r="B20" s="5" t="s">
        <v>140</v>
      </c>
      <c r="C20" s="6" t="s">
        <v>80</v>
      </c>
      <c r="D20" s="6">
        <v>100</v>
      </c>
      <c r="E20" s="6">
        <v>26</v>
      </c>
      <c r="F20" s="7">
        <f>([1]innoculation!$D$8*2.5)/1000</f>
        <v>1396.4333333333334</v>
      </c>
      <c r="G20" s="6">
        <v>1544</v>
      </c>
      <c r="H20" s="6">
        <v>1685</v>
      </c>
      <c r="I20" s="6">
        <v>3262</v>
      </c>
      <c r="J20" s="6">
        <v>7108</v>
      </c>
      <c r="K20" s="6">
        <v>19285</v>
      </c>
      <c r="L20" s="6">
        <v>56553</v>
      </c>
      <c r="M20" s="6">
        <f>8379*20</f>
        <v>167580</v>
      </c>
      <c r="N20" s="6">
        <f>18971*20</f>
        <v>379420</v>
      </c>
      <c r="O20" s="6">
        <f>25379*20</f>
        <v>507580</v>
      </c>
      <c r="P20" s="6">
        <f>42132*20</f>
        <v>842640</v>
      </c>
      <c r="Q20" s="6">
        <f>55953*20</f>
        <v>1119060</v>
      </c>
      <c r="R20" s="6">
        <f>59114*20</f>
        <v>1182280</v>
      </c>
      <c r="S20" s="6"/>
      <c r="T20" s="6"/>
      <c r="U20" s="6"/>
      <c r="V20" s="6"/>
      <c r="W20" s="6"/>
      <c r="Y20"/>
    </row>
    <row r="21" spans="1:25" x14ac:dyDescent="0.2">
      <c r="A21" s="5" t="s">
        <v>84</v>
      </c>
      <c r="B21" s="5" t="s">
        <v>140</v>
      </c>
      <c r="C21" s="6" t="s">
        <v>80</v>
      </c>
      <c r="D21" s="6">
        <v>100</v>
      </c>
      <c r="E21" s="6">
        <v>26</v>
      </c>
      <c r="F21" s="7">
        <f>([1]innoculation!$D$8*2.5)/1000</f>
        <v>1396.4333333333334</v>
      </c>
      <c r="G21" s="6">
        <v>1499</v>
      </c>
      <c r="H21" s="6">
        <v>1723</v>
      </c>
      <c r="I21" s="6">
        <v>3232</v>
      </c>
      <c r="J21" s="6">
        <v>6959</v>
      </c>
      <c r="K21" s="6">
        <v>19077</v>
      </c>
      <c r="L21" s="6">
        <v>57368</v>
      </c>
      <c r="M21" s="6">
        <f>8393*20</f>
        <v>167860</v>
      </c>
      <c r="N21" s="6">
        <f>18821*20</f>
        <v>376420</v>
      </c>
      <c r="O21" s="6">
        <f>23328*20</f>
        <v>466560</v>
      </c>
      <c r="P21" s="6">
        <f>41141*20</f>
        <v>822820</v>
      </c>
      <c r="Q21" s="6">
        <f>59391*20</f>
        <v>1187820</v>
      </c>
      <c r="R21" s="6">
        <f>59273*20</f>
        <v>1185460</v>
      </c>
      <c r="S21" s="6"/>
      <c r="T21" s="6"/>
      <c r="U21" s="6"/>
      <c r="V21" s="6"/>
      <c r="W21" s="6"/>
      <c r="Y21"/>
    </row>
    <row r="22" spans="1:25" x14ac:dyDescent="0.2">
      <c r="A22" s="5" t="s">
        <v>84</v>
      </c>
      <c r="B22" s="5" t="s">
        <v>140</v>
      </c>
      <c r="C22" s="6" t="s">
        <v>80</v>
      </c>
      <c r="D22" s="6">
        <v>100</v>
      </c>
      <c r="E22" s="6">
        <v>26</v>
      </c>
      <c r="F22" s="7">
        <f>([1]innoculation!$D$8*2.5)/1000</f>
        <v>1396.4333333333334</v>
      </c>
      <c r="G22" s="6">
        <v>1509</v>
      </c>
      <c r="H22" s="6">
        <v>1696</v>
      </c>
      <c r="I22" s="6">
        <v>3337</v>
      </c>
      <c r="J22" s="6">
        <v>7108</v>
      </c>
      <c r="K22" s="6">
        <v>19215</v>
      </c>
      <c r="L22" s="6">
        <v>59112</v>
      </c>
      <c r="M22" s="6">
        <f>8815*20</f>
        <v>176300</v>
      </c>
      <c r="N22" s="6">
        <f>19178*20</f>
        <v>383560</v>
      </c>
      <c r="O22" s="6">
        <f>24470*20</f>
        <v>489400</v>
      </c>
      <c r="P22" s="6">
        <f>41629*20</f>
        <v>832580</v>
      </c>
      <c r="Q22" s="6">
        <f>61124*20</f>
        <v>1222480</v>
      </c>
      <c r="R22" s="6">
        <f>59186*20</f>
        <v>1183720</v>
      </c>
      <c r="S22" s="6"/>
      <c r="T22" s="6"/>
      <c r="U22" s="6"/>
      <c r="V22" s="6"/>
      <c r="W22" s="6"/>
      <c r="Y22"/>
    </row>
    <row r="23" spans="1:25" x14ac:dyDescent="0.2">
      <c r="A23" s="5" t="s">
        <v>85</v>
      </c>
      <c r="B23" s="5" t="s">
        <v>140</v>
      </c>
      <c r="C23" s="6" t="s">
        <v>80</v>
      </c>
      <c r="D23" s="6">
        <v>100</v>
      </c>
      <c r="E23" s="6">
        <v>26</v>
      </c>
      <c r="F23" s="7">
        <f>([1]innoculation!$D$8*2.5)/1000</f>
        <v>1396.4333333333334</v>
      </c>
      <c r="G23" s="6">
        <v>1845</v>
      </c>
      <c r="H23" s="6">
        <v>1687</v>
      </c>
      <c r="I23" s="6">
        <v>2902</v>
      </c>
      <c r="J23" s="6">
        <v>6945</v>
      </c>
      <c r="K23" s="6">
        <v>18031</v>
      </c>
      <c r="L23" s="6">
        <v>47642</v>
      </c>
      <c r="M23" s="6">
        <f>7279*20</f>
        <v>145580</v>
      </c>
      <c r="N23" s="6">
        <f>16818*20</f>
        <v>336360</v>
      </c>
      <c r="O23" s="6">
        <f>21332*20</f>
        <v>426640</v>
      </c>
      <c r="P23" s="6">
        <f>36102*20</f>
        <v>722040</v>
      </c>
      <c r="Q23" s="6">
        <f>50553*20</f>
        <v>1011060</v>
      </c>
      <c r="R23" s="6">
        <f>56841*20</f>
        <v>1136820</v>
      </c>
      <c r="S23" s="6"/>
      <c r="T23" s="6"/>
      <c r="U23" s="6"/>
      <c r="V23" s="6"/>
      <c r="W23" s="6"/>
      <c r="Y23"/>
    </row>
    <row r="24" spans="1:25" x14ac:dyDescent="0.2">
      <c r="A24" s="5" t="s">
        <v>85</v>
      </c>
      <c r="B24" s="5" t="s">
        <v>140</v>
      </c>
      <c r="C24" s="6" t="s">
        <v>80</v>
      </c>
      <c r="D24" s="6">
        <v>100</v>
      </c>
      <c r="E24" s="6">
        <v>26</v>
      </c>
      <c r="F24" s="7">
        <f>([1]innoculation!$D$8*2.5)/1000</f>
        <v>1396.4333333333334</v>
      </c>
      <c r="G24" s="6">
        <v>1790</v>
      </c>
      <c r="H24" s="6">
        <v>1629</v>
      </c>
      <c r="I24" s="6">
        <v>2930</v>
      </c>
      <c r="J24" s="6">
        <v>6603</v>
      </c>
      <c r="K24" s="6">
        <v>17449</v>
      </c>
      <c r="L24" s="6">
        <v>52180</v>
      </c>
      <c r="M24" s="6">
        <f>7119*20</f>
        <v>142380</v>
      </c>
      <c r="N24" s="6">
        <f>16831*20</f>
        <v>336620</v>
      </c>
      <c r="O24" s="6">
        <f>21726*20</f>
        <v>434520</v>
      </c>
      <c r="P24" s="6">
        <f>36381*20</f>
        <v>727620</v>
      </c>
      <c r="Q24" s="6">
        <f>49656*20</f>
        <v>993120</v>
      </c>
      <c r="R24" s="6">
        <f>56957*20</f>
        <v>1139140</v>
      </c>
      <c r="S24" s="6"/>
      <c r="T24" s="6"/>
      <c r="U24" s="6"/>
      <c r="V24" s="6"/>
      <c r="W24" s="6"/>
      <c r="Y24"/>
    </row>
    <row r="25" spans="1:25" x14ac:dyDescent="0.2">
      <c r="A25" s="5" t="s">
        <v>85</v>
      </c>
      <c r="B25" s="5" t="s">
        <v>140</v>
      </c>
      <c r="C25" s="6" t="s">
        <v>80</v>
      </c>
      <c r="D25" s="6">
        <v>100</v>
      </c>
      <c r="E25" s="6">
        <v>26</v>
      </c>
      <c r="F25" s="7">
        <f>([1]innoculation!$D$8*2.5)/1000</f>
        <v>1396.4333333333334</v>
      </c>
      <c r="G25" s="6">
        <v>1788</v>
      </c>
      <c r="H25" s="6">
        <v>1695</v>
      </c>
      <c r="I25" s="6">
        <v>2761</v>
      </c>
      <c r="J25" s="6">
        <v>6492</v>
      </c>
      <c r="K25" s="6">
        <v>17547</v>
      </c>
      <c r="L25" s="6">
        <v>50946</v>
      </c>
      <c r="M25" s="6">
        <f>7002*20</f>
        <v>140040</v>
      </c>
      <c r="N25" s="6">
        <f>17144*20</f>
        <v>342880</v>
      </c>
      <c r="O25" s="6">
        <f>21465*20</f>
        <v>429300</v>
      </c>
      <c r="P25" s="6">
        <f>36683*20</f>
        <v>733660</v>
      </c>
      <c r="Q25" s="6">
        <f>49678*20</f>
        <v>993560</v>
      </c>
      <c r="R25" s="6">
        <f>56785*20</f>
        <v>1135700</v>
      </c>
      <c r="S25" s="6"/>
      <c r="T25" s="6"/>
      <c r="U25" s="6"/>
      <c r="V25" s="6"/>
      <c r="W25" s="6"/>
      <c r="Y25"/>
    </row>
    <row r="26" spans="1:25" x14ac:dyDescent="0.2">
      <c r="A26" s="5" t="s">
        <v>86</v>
      </c>
      <c r="B26" s="5" t="s">
        <v>140</v>
      </c>
      <c r="C26" s="6" t="s">
        <v>80</v>
      </c>
      <c r="D26" s="6">
        <v>100</v>
      </c>
      <c r="E26" s="6">
        <v>26</v>
      </c>
      <c r="F26" s="7">
        <f>([1]innoculation!$D$8*2.5)/1000</f>
        <v>1396.4333333333334</v>
      </c>
      <c r="G26" s="6">
        <v>1305</v>
      </c>
      <c r="H26" s="6">
        <v>1409</v>
      </c>
      <c r="I26" s="6">
        <v>2820</v>
      </c>
      <c r="J26" s="6">
        <v>6346</v>
      </c>
      <c r="K26" s="6">
        <v>15664</v>
      </c>
      <c r="L26" s="6">
        <v>55090</v>
      </c>
      <c r="M26" s="6">
        <f>10064*20</f>
        <v>201280</v>
      </c>
      <c r="N26" s="6">
        <f>22055*20</f>
        <v>441100</v>
      </c>
      <c r="O26" s="6">
        <f>27365*20</f>
        <v>547300</v>
      </c>
      <c r="P26" s="6">
        <f>42757*20</f>
        <v>855140</v>
      </c>
      <c r="Q26" s="6">
        <f>54000*20</f>
        <v>1080000</v>
      </c>
      <c r="R26" s="6">
        <f>60371*20</f>
        <v>1207420</v>
      </c>
      <c r="S26" s="6"/>
      <c r="T26" s="6"/>
      <c r="U26" s="6"/>
      <c r="V26" s="6"/>
      <c r="W26" s="6"/>
      <c r="Y26"/>
    </row>
    <row r="27" spans="1:25" x14ac:dyDescent="0.2">
      <c r="A27" s="5" t="s">
        <v>86</v>
      </c>
      <c r="B27" s="5" t="s">
        <v>140</v>
      </c>
      <c r="C27" s="6" t="s">
        <v>80</v>
      </c>
      <c r="D27" s="6">
        <v>100</v>
      </c>
      <c r="E27" s="6">
        <v>26</v>
      </c>
      <c r="F27" s="7">
        <f>([1]innoculation!$D$8*2.5)/1000</f>
        <v>1396.4333333333334</v>
      </c>
      <c r="G27" s="6">
        <v>1251</v>
      </c>
      <c r="H27" s="6">
        <v>1343</v>
      </c>
      <c r="I27" s="6">
        <v>2690</v>
      </c>
      <c r="J27" s="6">
        <v>6541</v>
      </c>
      <c r="K27" s="6">
        <v>15966</v>
      </c>
      <c r="L27" s="6">
        <v>57228</v>
      </c>
      <c r="M27" s="6">
        <f>10494*20</f>
        <v>209880</v>
      </c>
      <c r="N27" s="6">
        <f>21355*20</f>
        <v>427100</v>
      </c>
      <c r="O27" s="6">
        <f>27143*20</f>
        <v>542860</v>
      </c>
      <c r="P27" s="6">
        <f>41651*20</f>
        <v>833020</v>
      </c>
      <c r="Q27" s="6">
        <f>54464*20</f>
        <v>1089280</v>
      </c>
      <c r="R27" s="6">
        <f>60288*20</f>
        <v>1205760</v>
      </c>
      <c r="S27" s="6"/>
      <c r="T27" s="6"/>
      <c r="U27" s="6"/>
      <c r="V27" s="6"/>
      <c r="W27" s="6"/>
      <c r="Y27"/>
    </row>
    <row r="28" spans="1:25" x14ac:dyDescent="0.2">
      <c r="A28" s="5" t="s">
        <v>86</v>
      </c>
      <c r="B28" s="5" t="s">
        <v>140</v>
      </c>
      <c r="C28" s="6" t="s">
        <v>80</v>
      </c>
      <c r="D28" s="6">
        <v>100</v>
      </c>
      <c r="E28" s="6">
        <v>26</v>
      </c>
      <c r="F28" s="7">
        <f>([1]innoculation!$D$8*2.5)/1000</f>
        <v>1396.4333333333334</v>
      </c>
      <c r="G28" s="6">
        <v>1209</v>
      </c>
      <c r="H28" s="6">
        <v>1287</v>
      </c>
      <c r="I28" s="6">
        <v>2634</v>
      </c>
      <c r="J28" s="6">
        <v>6669</v>
      </c>
      <c r="K28" s="6">
        <v>15989</v>
      </c>
      <c r="L28" s="6">
        <v>53413</v>
      </c>
      <c r="M28" s="6">
        <f>9852*20</f>
        <v>197040</v>
      </c>
      <c r="N28" s="6">
        <f>22142*20</f>
        <v>442840</v>
      </c>
      <c r="O28" s="6">
        <f>26770*20</f>
        <v>535400</v>
      </c>
      <c r="P28" s="6">
        <f>40946*20</f>
        <v>818920</v>
      </c>
      <c r="Q28" s="6">
        <f>54760*20</f>
        <v>1095200</v>
      </c>
      <c r="R28" s="6">
        <f>60303*20</f>
        <v>1206060</v>
      </c>
      <c r="S28" s="6"/>
      <c r="T28" s="6"/>
      <c r="U28" s="6"/>
      <c r="V28" s="6"/>
      <c r="W28" s="6"/>
      <c r="Y28"/>
    </row>
    <row r="29" spans="1:25" x14ac:dyDescent="0.2">
      <c r="A29" s="12" t="s">
        <v>87</v>
      </c>
      <c r="B29" s="12" t="s">
        <v>141</v>
      </c>
      <c r="C29" s="13" t="s">
        <v>80</v>
      </c>
      <c r="D29" s="13">
        <v>50</v>
      </c>
      <c r="E29" s="13">
        <v>26</v>
      </c>
      <c r="F29" s="14">
        <f>([1]innoculation!$D$9*5)/1000</f>
        <v>1245.9666666666665</v>
      </c>
      <c r="G29" s="13">
        <v>2122</v>
      </c>
      <c r="H29" s="13">
        <v>4670</v>
      </c>
      <c r="I29" s="13">
        <v>13193</v>
      </c>
      <c r="J29" s="13">
        <v>35409</v>
      </c>
      <c r="K29" s="13">
        <f>5354*20</f>
        <v>107080</v>
      </c>
      <c r="L29" s="13">
        <f>8434*20</f>
        <v>168680</v>
      </c>
      <c r="M29" s="13">
        <f>25040*20</f>
        <v>500800</v>
      </c>
      <c r="N29" s="13">
        <f>32544*20</f>
        <v>650880</v>
      </c>
      <c r="O29" s="13"/>
      <c r="P29" s="13"/>
      <c r="Q29" s="13"/>
      <c r="R29" s="13"/>
      <c r="S29" s="13"/>
      <c r="T29" s="13"/>
      <c r="U29" s="13"/>
      <c r="V29" s="13"/>
      <c r="W29" s="13"/>
      <c r="Y29"/>
    </row>
    <row r="30" spans="1:25" x14ac:dyDescent="0.2">
      <c r="A30" s="12" t="s">
        <v>87</v>
      </c>
      <c r="B30" s="12" t="s">
        <v>141</v>
      </c>
      <c r="C30" s="13" t="s">
        <v>80</v>
      </c>
      <c r="D30" s="13">
        <v>50</v>
      </c>
      <c r="E30" s="13">
        <v>26</v>
      </c>
      <c r="F30" s="14">
        <f>([1]innoculation!$D$9*5)/1000</f>
        <v>1245.9666666666665</v>
      </c>
      <c r="G30" s="13">
        <v>1998</v>
      </c>
      <c r="H30" s="13">
        <v>4425</v>
      </c>
      <c r="I30" s="13">
        <v>12537</v>
      </c>
      <c r="J30" s="13">
        <v>36260</v>
      </c>
      <c r="K30" s="13">
        <f>5126*20</f>
        <v>102520</v>
      </c>
      <c r="L30" s="13">
        <f>8667*20</f>
        <v>173340</v>
      </c>
      <c r="M30" s="13">
        <f>25539*20</f>
        <v>510780</v>
      </c>
      <c r="N30" s="13">
        <f>32161*20</f>
        <v>643220</v>
      </c>
      <c r="O30" s="13"/>
      <c r="P30" s="13"/>
      <c r="Q30" s="13"/>
      <c r="R30" s="13"/>
      <c r="S30" s="13"/>
      <c r="T30" s="13"/>
      <c r="U30" s="13"/>
      <c r="V30" s="13"/>
      <c r="W30" s="13"/>
      <c r="Y30"/>
    </row>
    <row r="31" spans="1:25" x14ac:dyDescent="0.2">
      <c r="A31" s="12" t="s">
        <v>87</v>
      </c>
      <c r="B31" s="12" t="s">
        <v>141</v>
      </c>
      <c r="C31" s="13" t="s">
        <v>80</v>
      </c>
      <c r="D31" s="13">
        <v>50</v>
      </c>
      <c r="E31" s="13">
        <v>26</v>
      </c>
      <c r="F31" s="14">
        <f>([1]innoculation!$D$9*5)/1000</f>
        <v>1245.9666666666665</v>
      </c>
      <c r="G31" s="13">
        <v>2122</v>
      </c>
      <c r="H31" s="13">
        <v>4514</v>
      </c>
      <c r="I31" s="13">
        <v>12432</v>
      </c>
      <c r="J31" s="13">
        <v>34990</v>
      </c>
      <c r="K31" s="13">
        <f>5144*20</f>
        <v>102880</v>
      </c>
      <c r="L31" s="13">
        <f>8600*20</f>
        <v>172000</v>
      </c>
      <c r="M31" s="13">
        <f>24669*20</f>
        <v>493380</v>
      </c>
      <c r="N31" s="13">
        <f>32363*20</f>
        <v>647260</v>
      </c>
      <c r="O31" s="13"/>
      <c r="P31" s="13"/>
      <c r="Q31" s="13"/>
      <c r="R31" s="13"/>
      <c r="S31" s="13"/>
      <c r="T31" s="13"/>
      <c r="U31" s="13"/>
      <c r="V31" s="13"/>
      <c r="W31" s="13"/>
      <c r="Y31"/>
    </row>
    <row r="32" spans="1:25" x14ac:dyDescent="0.2">
      <c r="A32" s="12" t="s">
        <v>88</v>
      </c>
      <c r="B32" s="12" t="s">
        <v>141</v>
      </c>
      <c r="C32" s="13" t="s">
        <v>80</v>
      </c>
      <c r="D32" s="13">
        <v>50</v>
      </c>
      <c r="E32" s="13">
        <v>26</v>
      </c>
      <c r="F32" s="14">
        <f>([1]innoculation!$D$9*5)/1000</f>
        <v>1245.9666666666665</v>
      </c>
      <c r="G32" s="13">
        <v>2184</v>
      </c>
      <c r="H32" s="13">
        <v>4997</v>
      </c>
      <c r="I32" s="13">
        <v>12274</v>
      </c>
      <c r="J32" s="13">
        <v>30283</v>
      </c>
      <c r="K32" s="13">
        <f>4971*20</f>
        <v>99420</v>
      </c>
      <c r="L32" s="13">
        <f>8747*20</f>
        <v>174940</v>
      </c>
      <c r="M32" s="13">
        <f>24252*20</f>
        <v>485040</v>
      </c>
      <c r="N32" s="13">
        <f>30865*20</f>
        <v>617300</v>
      </c>
      <c r="O32" s="13"/>
      <c r="P32" s="13"/>
      <c r="Q32" s="13"/>
      <c r="R32" s="13"/>
      <c r="S32" s="13"/>
      <c r="T32" s="13"/>
      <c r="U32" s="13"/>
      <c r="V32" s="13"/>
      <c r="W32" s="13"/>
      <c r="Y32"/>
    </row>
    <row r="33" spans="1:25" x14ac:dyDescent="0.2">
      <c r="A33" s="12" t="s">
        <v>88</v>
      </c>
      <c r="B33" s="12" t="s">
        <v>141</v>
      </c>
      <c r="C33" s="13" t="s">
        <v>80</v>
      </c>
      <c r="D33" s="13">
        <v>50</v>
      </c>
      <c r="E33" s="13">
        <v>26</v>
      </c>
      <c r="F33" s="14">
        <f>([1]innoculation!$D$9*5)/1000</f>
        <v>1245.9666666666665</v>
      </c>
      <c r="G33" s="13">
        <v>2209</v>
      </c>
      <c r="H33" s="13">
        <v>4779</v>
      </c>
      <c r="I33" s="13">
        <v>12181</v>
      </c>
      <c r="J33" s="13">
        <v>29933</v>
      </c>
      <c r="K33" s="13">
        <f>5116*20</f>
        <v>102320</v>
      </c>
      <c r="L33" s="13">
        <f>8701*20</f>
        <v>174020</v>
      </c>
      <c r="M33" s="13">
        <f>23535*20</f>
        <v>470700</v>
      </c>
      <c r="N33" s="13">
        <f>30335*20</f>
        <v>606700</v>
      </c>
      <c r="O33" s="13"/>
      <c r="P33" s="13"/>
      <c r="Q33" s="13"/>
      <c r="R33" s="13"/>
      <c r="S33" s="13"/>
      <c r="T33" s="13"/>
      <c r="U33" s="13"/>
      <c r="V33" s="13"/>
      <c r="W33" s="13"/>
      <c r="Y33"/>
    </row>
    <row r="34" spans="1:25" x14ac:dyDescent="0.2">
      <c r="A34" s="12" t="s">
        <v>88</v>
      </c>
      <c r="B34" s="12" t="s">
        <v>141</v>
      </c>
      <c r="C34" s="13" t="s">
        <v>80</v>
      </c>
      <c r="D34" s="13">
        <v>50</v>
      </c>
      <c r="E34" s="13">
        <v>26</v>
      </c>
      <c r="F34" s="14">
        <f>([1]innoculation!$D$9*5)/1000</f>
        <v>1245.9666666666665</v>
      </c>
      <c r="G34" s="13">
        <v>1972</v>
      </c>
      <c r="H34" s="13">
        <v>4580</v>
      </c>
      <c r="I34" s="13">
        <v>11952</v>
      </c>
      <c r="J34" s="13">
        <v>30091</v>
      </c>
      <c r="K34" s="13">
        <f>5004*20</f>
        <v>100080</v>
      </c>
      <c r="L34" s="13">
        <f>8609*20</f>
        <v>172180</v>
      </c>
      <c r="M34" s="13">
        <f>23245*20</f>
        <v>464900</v>
      </c>
      <c r="N34" s="13">
        <f>30421*20</f>
        <v>608420</v>
      </c>
      <c r="O34" s="13"/>
      <c r="P34" s="13"/>
      <c r="Q34" s="13"/>
      <c r="R34" s="13"/>
      <c r="S34" s="13"/>
      <c r="T34" s="13"/>
      <c r="U34" s="13"/>
      <c r="V34" s="13"/>
      <c r="W34" s="13"/>
      <c r="Y34"/>
    </row>
    <row r="35" spans="1:25" x14ac:dyDescent="0.2">
      <c r="A35" s="12" t="s">
        <v>89</v>
      </c>
      <c r="B35" s="12" t="s">
        <v>141</v>
      </c>
      <c r="C35" s="13" t="s">
        <v>80</v>
      </c>
      <c r="D35" s="13">
        <v>50</v>
      </c>
      <c r="E35" s="13">
        <v>26</v>
      </c>
      <c r="F35" s="14">
        <f>([1]innoculation!$D$9*5)/1000</f>
        <v>1245.9666666666665</v>
      </c>
      <c r="G35" s="13">
        <v>2205</v>
      </c>
      <c r="H35" s="13">
        <v>4884</v>
      </c>
      <c r="I35" s="13">
        <v>15477</v>
      </c>
      <c r="J35" s="13">
        <v>40647</v>
      </c>
      <c r="K35" s="13">
        <f>5675*20</f>
        <v>113500</v>
      </c>
      <c r="L35" s="13">
        <f>8973*20</f>
        <v>179460</v>
      </c>
      <c r="M35" s="13">
        <f>22447*20</f>
        <v>448940</v>
      </c>
      <c r="N35" s="13">
        <f>30913*20</f>
        <v>618260</v>
      </c>
      <c r="O35" s="13"/>
      <c r="P35" s="13"/>
      <c r="Q35" s="13"/>
      <c r="R35" s="13"/>
      <c r="S35" s="13"/>
      <c r="T35" s="13"/>
      <c r="U35" s="13"/>
      <c r="V35" s="13"/>
      <c r="W35" s="13"/>
      <c r="Y35"/>
    </row>
    <row r="36" spans="1:25" x14ac:dyDescent="0.2">
      <c r="A36" s="12" t="s">
        <v>89</v>
      </c>
      <c r="B36" s="12" t="s">
        <v>141</v>
      </c>
      <c r="C36" s="13" t="s">
        <v>80</v>
      </c>
      <c r="D36" s="13">
        <v>50</v>
      </c>
      <c r="E36" s="13">
        <v>26</v>
      </c>
      <c r="F36" s="14">
        <f>([1]innoculation!$D$9*5)/1000</f>
        <v>1245.9666666666665</v>
      </c>
      <c r="G36" s="13">
        <v>2146</v>
      </c>
      <c r="H36" s="13">
        <v>4885</v>
      </c>
      <c r="I36" s="13">
        <v>15696</v>
      </c>
      <c r="J36" s="13">
        <v>41314</v>
      </c>
      <c r="K36" s="13">
        <f>5784*20</f>
        <v>115680</v>
      </c>
      <c r="L36" s="13">
        <f>8825*20</f>
        <v>176500</v>
      </c>
      <c r="M36" s="13">
        <f>21721*20</f>
        <v>434420</v>
      </c>
      <c r="N36" s="13">
        <f>30888*20</f>
        <v>617760</v>
      </c>
      <c r="O36" s="13"/>
      <c r="P36" s="13"/>
      <c r="Q36" s="13"/>
      <c r="R36" s="13"/>
      <c r="S36" s="13"/>
      <c r="T36" s="13"/>
      <c r="U36" s="13"/>
      <c r="V36" s="13"/>
      <c r="W36" s="13"/>
      <c r="Y36"/>
    </row>
    <row r="37" spans="1:25" x14ac:dyDescent="0.2">
      <c r="A37" s="12" t="s">
        <v>89</v>
      </c>
      <c r="B37" s="12" t="s">
        <v>141</v>
      </c>
      <c r="C37" s="13" t="s">
        <v>80</v>
      </c>
      <c r="D37" s="13">
        <v>50</v>
      </c>
      <c r="E37" s="13">
        <v>26</v>
      </c>
      <c r="F37" s="14">
        <f>([1]innoculation!$D$9*5)/1000</f>
        <v>1245.9666666666665</v>
      </c>
      <c r="G37" s="13">
        <v>1982</v>
      </c>
      <c r="H37" s="13">
        <v>4798</v>
      </c>
      <c r="I37" s="13">
        <v>14896</v>
      </c>
      <c r="J37" s="13">
        <v>41939</v>
      </c>
      <c r="K37" s="13">
        <f>5675*20</f>
        <v>113500</v>
      </c>
      <c r="L37" s="13">
        <f>8842*20</f>
        <v>176840</v>
      </c>
      <c r="M37" s="13">
        <f>21451*20</f>
        <v>429020</v>
      </c>
      <c r="N37" s="13">
        <f>30763*20</f>
        <v>615260</v>
      </c>
      <c r="O37" s="13"/>
      <c r="P37" s="13"/>
      <c r="Q37" s="13"/>
      <c r="R37" s="13"/>
      <c r="S37" s="13"/>
      <c r="T37" s="13"/>
      <c r="U37" s="13"/>
      <c r="V37" s="13"/>
      <c r="W37" s="13"/>
      <c r="Y37"/>
    </row>
    <row r="38" spans="1:25" x14ac:dyDescent="0.2">
      <c r="A38" s="19" t="s">
        <v>90</v>
      </c>
      <c r="B38" s="19" t="s">
        <v>142</v>
      </c>
      <c r="C38" s="11" t="s">
        <v>76</v>
      </c>
      <c r="D38" s="11">
        <v>50</v>
      </c>
      <c r="E38" s="11">
        <v>28</v>
      </c>
      <c r="F38" s="20">
        <f>([1]innoculation!$D$14*1.4)/1000</f>
        <v>1229.06</v>
      </c>
      <c r="G38" s="11">
        <v>2520</v>
      </c>
      <c r="H38" s="11">
        <v>3503</v>
      </c>
      <c r="I38" s="11">
        <v>4240</v>
      </c>
      <c r="J38" s="11">
        <v>19371</v>
      </c>
      <c r="K38" s="11">
        <v>50733</v>
      </c>
      <c r="L38" s="11">
        <f>7211*20</f>
        <v>144220</v>
      </c>
      <c r="M38" s="11">
        <f>14600*20</f>
        <v>292000</v>
      </c>
      <c r="N38" s="11">
        <f>26434*20</f>
        <v>528680</v>
      </c>
      <c r="O38" s="11">
        <f>40120*20</f>
        <v>802400</v>
      </c>
      <c r="P38" s="11">
        <f>51278*20</f>
        <v>1025560</v>
      </c>
      <c r="Q38" s="11">
        <f>59972*20</f>
        <v>1199440</v>
      </c>
      <c r="U38" s="11"/>
      <c r="V38" s="11"/>
      <c r="W38" s="11"/>
      <c r="Y38"/>
    </row>
    <row r="39" spans="1:25" x14ac:dyDescent="0.2">
      <c r="A39" s="19" t="s">
        <v>90</v>
      </c>
      <c r="B39" s="19" t="s">
        <v>142</v>
      </c>
      <c r="C39" s="11" t="s">
        <v>76</v>
      </c>
      <c r="D39" s="11">
        <v>50</v>
      </c>
      <c r="E39" s="11">
        <v>28</v>
      </c>
      <c r="F39" s="20">
        <f>([1]innoculation!$D$14*1.4)/1000</f>
        <v>1229.06</v>
      </c>
      <c r="G39" s="11">
        <v>2402</v>
      </c>
      <c r="H39" s="11">
        <v>3483</v>
      </c>
      <c r="I39" s="11">
        <v>4104</v>
      </c>
      <c r="J39" s="11">
        <v>19067</v>
      </c>
      <c r="K39" s="11">
        <v>50944</v>
      </c>
      <c r="L39" s="11">
        <f>7068*20</f>
        <v>141360</v>
      </c>
      <c r="M39" s="11">
        <f>13820*20</f>
        <v>276400</v>
      </c>
      <c r="N39" s="11">
        <f>25916*20</f>
        <v>518320</v>
      </c>
      <c r="O39" s="11">
        <f>39574*20</f>
        <v>791480</v>
      </c>
      <c r="P39" s="11">
        <f>51408*20</f>
        <v>1028160</v>
      </c>
      <c r="Q39" s="11">
        <f>60351*20</f>
        <v>1207020</v>
      </c>
      <c r="U39" s="11"/>
      <c r="V39" s="11"/>
      <c r="W39" s="11"/>
      <c r="Y39"/>
    </row>
    <row r="40" spans="1:25" x14ac:dyDescent="0.2">
      <c r="A40" s="19" t="s">
        <v>90</v>
      </c>
      <c r="B40" s="19" t="s">
        <v>142</v>
      </c>
      <c r="C40" s="11" t="s">
        <v>76</v>
      </c>
      <c r="D40" s="11">
        <v>50</v>
      </c>
      <c r="E40" s="11">
        <v>28</v>
      </c>
      <c r="F40" s="20">
        <f>([1]innoculation!$D$14*1.4)/1000</f>
        <v>1229.06</v>
      </c>
      <c r="G40" s="11">
        <v>2460</v>
      </c>
      <c r="H40" s="11">
        <v>3173</v>
      </c>
      <c r="I40" s="11">
        <v>3901</v>
      </c>
      <c r="J40" s="11">
        <v>19654</v>
      </c>
      <c r="K40" s="11">
        <v>51419</v>
      </c>
      <c r="L40" s="11">
        <f>6830*20</f>
        <v>136600</v>
      </c>
      <c r="M40" s="11">
        <f>13569*20</f>
        <v>271380</v>
      </c>
      <c r="N40" s="11">
        <f>26309*20</f>
        <v>526180</v>
      </c>
      <c r="O40" s="11">
        <f>39243*20</f>
        <v>784860</v>
      </c>
      <c r="P40" s="11">
        <f>50679*20</f>
        <v>1013580</v>
      </c>
      <c r="Q40" s="11">
        <f>59825*20</f>
        <v>1196500</v>
      </c>
      <c r="U40" s="11"/>
      <c r="V40" s="11"/>
      <c r="W40" s="11"/>
      <c r="Y40"/>
    </row>
    <row r="41" spans="1:25" x14ac:dyDescent="0.2">
      <c r="A41" s="19" t="s">
        <v>91</v>
      </c>
      <c r="B41" s="19" t="s">
        <v>142</v>
      </c>
      <c r="C41" s="11" t="s">
        <v>76</v>
      </c>
      <c r="D41" s="11">
        <v>50</v>
      </c>
      <c r="E41" s="11">
        <v>28</v>
      </c>
      <c r="F41" s="20">
        <f>([1]innoculation!$D$14*1.4)/1000</f>
        <v>1229.06</v>
      </c>
      <c r="G41" s="11">
        <v>1921</v>
      </c>
      <c r="H41" s="11">
        <v>3576</v>
      </c>
      <c r="I41" s="11">
        <v>4833</v>
      </c>
      <c r="J41" s="11">
        <v>23183</v>
      </c>
      <c r="K41" s="11">
        <v>61632</v>
      </c>
      <c r="L41" s="11">
        <f>8190*20</f>
        <v>163800</v>
      </c>
      <c r="M41" s="11">
        <f>17918*20</f>
        <v>358360</v>
      </c>
      <c r="N41" s="11">
        <f>31224*20</f>
        <v>624480</v>
      </c>
      <c r="O41" s="11">
        <f>45570*20</f>
        <v>911400</v>
      </c>
      <c r="P41" s="11">
        <f>53237*20</f>
        <v>1064740</v>
      </c>
      <c r="Q41" s="11">
        <f>56882*20</f>
        <v>1137640</v>
      </c>
      <c r="U41" s="11"/>
      <c r="V41" s="11"/>
      <c r="W41" s="11"/>
      <c r="Y41"/>
    </row>
    <row r="42" spans="1:25" x14ac:dyDescent="0.2">
      <c r="A42" s="19" t="s">
        <v>91</v>
      </c>
      <c r="B42" s="19" t="s">
        <v>142</v>
      </c>
      <c r="C42" s="11" t="s">
        <v>76</v>
      </c>
      <c r="D42" s="11">
        <v>50</v>
      </c>
      <c r="E42" s="11">
        <v>28</v>
      </c>
      <c r="F42" s="20">
        <f>([1]innoculation!$D$14*1.4)/1000</f>
        <v>1229.06</v>
      </c>
      <c r="G42" s="11">
        <v>2102</v>
      </c>
      <c r="H42" s="11">
        <v>3498</v>
      </c>
      <c r="I42" s="11">
        <v>4698</v>
      </c>
      <c r="J42" s="11">
        <v>23944</v>
      </c>
      <c r="K42" s="11">
        <v>62362</v>
      </c>
      <c r="L42" s="11">
        <f>8309*20</f>
        <v>166180</v>
      </c>
      <c r="M42" s="11">
        <f>17010*20</f>
        <v>340200</v>
      </c>
      <c r="N42" s="11">
        <f>31178*20</f>
        <v>623560</v>
      </c>
      <c r="O42" s="11">
        <f>45995*20</f>
        <v>919900</v>
      </c>
      <c r="P42" s="11">
        <f>53086*20</f>
        <v>1061720</v>
      </c>
      <c r="Q42" s="11">
        <f>56711*20</f>
        <v>1134220</v>
      </c>
      <c r="U42" s="11"/>
      <c r="V42" s="11"/>
      <c r="W42" s="11"/>
      <c r="Y42"/>
    </row>
    <row r="43" spans="1:25" x14ac:dyDescent="0.2">
      <c r="A43" s="19" t="s">
        <v>91</v>
      </c>
      <c r="B43" s="19" t="s">
        <v>142</v>
      </c>
      <c r="C43" s="11" t="s">
        <v>76</v>
      </c>
      <c r="D43" s="11">
        <v>50</v>
      </c>
      <c r="E43" s="11">
        <v>28</v>
      </c>
      <c r="F43" s="20">
        <f>([1]innoculation!$D$14*1.4)/1000</f>
        <v>1229.06</v>
      </c>
      <c r="G43" s="11">
        <v>2021</v>
      </c>
      <c r="H43" s="11">
        <v>3469</v>
      </c>
      <c r="I43" s="11">
        <v>4838</v>
      </c>
      <c r="J43" s="11">
        <v>23109</v>
      </c>
      <c r="K43" s="11">
        <v>60257</v>
      </c>
      <c r="L43" s="11">
        <f>7534*20</f>
        <v>150680</v>
      </c>
      <c r="M43" s="11">
        <f>17560*20</f>
        <v>351200</v>
      </c>
      <c r="N43" s="11">
        <f>31209*20</f>
        <v>624180</v>
      </c>
      <c r="O43" s="11">
        <f>45494*20</f>
        <v>909880</v>
      </c>
      <c r="P43" s="11">
        <f>52572*20</f>
        <v>1051440</v>
      </c>
      <c r="Q43" s="11">
        <f>57245*20</f>
        <v>1144900</v>
      </c>
      <c r="U43" s="11"/>
      <c r="V43" s="11"/>
      <c r="W43" s="11"/>
      <c r="Y43"/>
    </row>
    <row r="44" spans="1:25" x14ac:dyDescent="0.2">
      <c r="A44" s="19" t="s">
        <v>92</v>
      </c>
      <c r="B44" s="19" t="s">
        <v>142</v>
      </c>
      <c r="C44" s="11" t="s">
        <v>76</v>
      </c>
      <c r="D44" s="11">
        <v>50</v>
      </c>
      <c r="E44" s="11">
        <v>28</v>
      </c>
      <c r="F44" s="20">
        <f>([1]innoculation!$D$14*1.4)/1000</f>
        <v>1229.06</v>
      </c>
      <c r="G44" s="11">
        <v>2330</v>
      </c>
      <c r="H44" s="11">
        <v>3294</v>
      </c>
      <c r="I44" s="11">
        <v>4833</v>
      </c>
      <c r="J44" s="11">
        <v>22899</v>
      </c>
      <c r="K44" s="11">
        <v>61019</v>
      </c>
      <c r="L44" s="11">
        <f>8097*20</f>
        <v>161940</v>
      </c>
      <c r="M44" s="11">
        <f>18272*20</f>
        <v>365440</v>
      </c>
      <c r="N44" s="11">
        <f>30348*20</f>
        <v>606960</v>
      </c>
      <c r="O44" s="11">
        <f>43645*20</f>
        <v>872900</v>
      </c>
      <c r="P44" s="11">
        <f>54787*20</f>
        <v>1095740</v>
      </c>
      <c r="Q44" s="11">
        <f>65267*20</f>
        <v>1305340</v>
      </c>
      <c r="U44" s="11"/>
      <c r="V44" s="11"/>
      <c r="W44" s="11"/>
      <c r="Y44"/>
    </row>
    <row r="45" spans="1:25" x14ac:dyDescent="0.2">
      <c r="A45" s="19" t="s">
        <v>92</v>
      </c>
      <c r="B45" s="19" t="s">
        <v>142</v>
      </c>
      <c r="C45" s="11" t="s">
        <v>76</v>
      </c>
      <c r="D45" s="11">
        <v>50</v>
      </c>
      <c r="E45" s="11">
        <v>28</v>
      </c>
      <c r="F45" s="20">
        <f>([1]innoculation!$D$14*1.4)/1000</f>
        <v>1229.06</v>
      </c>
      <c r="G45" s="11">
        <v>2266</v>
      </c>
      <c r="H45" s="11">
        <v>3069</v>
      </c>
      <c r="I45" s="11">
        <v>4752</v>
      </c>
      <c r="J45" s="11">
        <v>22268</v>
      </c>
      <c r="K45" s="11">
        <v>60342</v>
      </c>
      <c r="L45" s="11">
        <f>7959*20</f>
        <v>159180</v>
      </c>
      <c r="M45" s="11">
        <f>18191*20</f>
        <v>363820</v>
      </c>
      <c r="N45" s="11">
        <f>30993*20</f>
        <v>619860</v>
      </c>
      <c r="O45" s="11">
        <f>44531*20</f>
        <v>890620</v>
      </c>
      <c r="P45" s="11">
        <f>54321*20</f>
        <v>1086420</v>
      </c>
      <c r="Q45" s="11">
        <f>65549*20</f>
        <v>1310980</v>
      </c>
      <c r="U45" s="11"/>
      <c r="V45" s="11"/>
      <c r="W45" s="11"/>
      <c r="Y45"/>
    </row>
    <row r="46" spans="1:25" x14ac:dyDescent="0.2">
      <c r="A46" s="19" t="s">
        <v>92</v>
      </c>
      <c r="B46" s="19" t="s">
        <v>142</v>
      </c>
      <c r="C46" s="11" t="s">
        <v>76</v>
      </c>
      <c r="D46" s="11">
        <v>50</v>
      </c>
      <c r="E46" s="11">
        <v>28</v>
      </c>
      <c r="F46" s="20">
        <f>([1]innoculation!$D$14*1.4)/1000</f>
        <v>1229.06</v>
      </c>
      <c r="G46" s="11">
        <v>2217</v>
      </c>
      <c r="H46" s="11">
        <v>3152</v>
      </c>
      <c r="I46" s="11">
        <v>4601</v>
      </c>
      <c r="J46" s="11">
        <v>22630</v>
      </c>
      <c r="K46" s="11">
        <v>60558</v>
      </c>
      <c r="L46" s="11">
        <f>7708*20</f>
        <v>154160</v>
      </c>
      <c r="M46" s="11">
        <f>18200*20</f>
        <v>364000</v>
      </c>
      <c r="N46" s="11">
        <f>31018*20</f>
        <v>620360</v>
      </c>
      <c r="O46" s="11">
        <f>43686*20</f>
        <v>873720</v>
      </c>
      <c r="P46" s="11">
        <f>54730*20</f>
        <v>1094600</v>
      </c>
      <c r="Q46" s="11">
        <f>65413*20</f>
        <v>1308260</v>
      </c>
      <c r="U46" s="11"/>
      <c r="V46" s="11"/>
      <c r="W46" s="11"/>
      <c r="Y46"/>
    </row>
    <row r="47" spans="1:25" x14ac:dyDescent="0.2">
      <c r="A47" s="22" t="s">
        <v>93</v>
      </c>
      <c r="B47" s="22" t="s">
        <v>144</v>
      </c>
      <c r="C47" s="13" t="s">
        <v>76</v>
      </c>
      <c r="D47" s="13">
        <v>100</v>
      </c>
      <c r="E47" s="13">
        <v>28</v>
      </c>
      <c r="F47" s="14">
        <f>([1]innoculation!$D$15*1.4)/1000</f>
        <v>1313.9</v>
      </c>
      <c r="G47" s="13">
        <v>2546</v>
      </c>
      <c r="H47" s="13">
        <v>3766</v>
      </c>
      <c r="I47" s="13">
        <v>4231</v>
      </c>
      <c r="J47" s="13">
        <v>22475</v>
      </c>
      <c r="K47" s="13">
        <v>60260</v>
      </c>
      <c r="L47" s="13">
        <f>8703*20</f>
        <v>174060</v>
      </c>
      <c r="M47" s="13">
        <f>18728*20</f>
        <v>374560</v>
      </c>
      <c r="N47" s="13">
        <f>31583*20</f>
        <v>631660</v>
      </c>
      <c r="O47" s="13">
        <f>48807*20</f>
        <v>976140</v>
      </c>
      <c r="P47" s="13">
        <f>56753*20</f>
        <v>1135060</v>
      </c>
      <c r="Q47" s="13">
        <f>63667*20</f>
        <v>1273340</v>
      </c>
      <c r="R47" s="13"/>
      <c r="S47" s="13"/>
      <c r="T47" s="13"/>
      <c r="U47" s="13"/>
      <c r="V47" s="13"/>
      <c r="W47" s="13"/>
      <c r="Y47"/>
    </row>
    <row r="48" spans="1:25" x14ac:dyDescent="0.2">
      <c r="A48" s="22" t="s">
        <v>93</v>
      </c>
      <c r="B48" s="22" t="s">
        <v>144</v>
      </c>
      <c r="C48" s="13" t="s">
        <v>76</v>
      </c>
      <c r="D48" s="13">
        <v>100</v>
      </c>
      <c r="E48" s="13">
        <v>28</v>
      </c>
      <c r="F48" s="14">
        <f>([1]innoculation!$D$15*1.4)/1000</f>
        <v>1313.9</v>
      </c>
      <c r="G48" s="13">
        <v>2546</v>
      </c>
      <c r="H48" s="13">
        <v>3721</v>
      </c>
      <c r="I48" s="13">
        <v>4383</v>
      </c>
      <c r="J48" s="13">
        <v>22578</v>
      </c>
      <c r="K48" s="13">
        <v>62309</v>
      </c>
      <c r="L48" s="13">
        <f>8560*20</f>
        <v>171200</v>
      </c>
      <c r="M48" s="13">
        <f>17997*20</f>
        <v>359940</v>
      </c>
      <c r="N48" s="13">
        <f>31064*20</f>
        <v>621280</v>
      </c>
      <c r="O48" s="13">
        <f>48575*20</f>
        <v>971500</v>
      </c>
      <c r="P48" s="13">
        <f>56482*20</f>
        <v>1129640</v>
      </c>
      <c r="Q48" s="13">
        <f>63409*20</f>
        <v>1268180</v>
      </c>
      <c r="R48" s="13"/>
      <c r="S48" s="13"/>
      <c r="T48" s="13"/>
      <c r="U48" s="13"/>
      <c r="V48" s="13"/>
      <c r="W48" s="13"/>
      <c r="Y48"/>
    </row>
    <row r="49" spans="1:25" x14ac:dyDescent="0.2">
      <c r="A49" s="22" t="s">
        <v>93</v>
      </c>
      <c r="B49" s="22" t="s">
        <v>144</v>
      </c>
      <c r="C49" s="13" t="s">
        <v>76</v>
      </c>
      <c r="D49" s="13">
        <v>100</v>
      </c>
      <c r="E49" s="13">
        <v>28</v>
      </c>
      <c r="F49" s="14">
        <f>([1]innoculation!$D$15*1.4)/1000</f>
        <v>1313.9</v>
      </c>
      <c r="G49" s="13">
        <v>2524</v>
      </c>
      <c r="H49" s="13">
        <v>3891</v>
      </c>
      <c r="I49" s="13">
        <v>4289</v>
      </c>
      <c r="J49" s="13">
        <v>22169</v>
      </c>
      <c r="K49" s="13">
        <v>61565</v>
      </c>
      <c r="L49" s="13">
        <f>8570*20</f>
        <v>171400</v>
      </c>
      <c r="M49" s="13">
        <f>17990*20</f>
        <v>359800</v>
      </c>
      <c r="N49" s="13">
        <f>30845*20</f>
        <v>616900</v>
      </c>
      <c r="O49" s="13">
        <f>48854*20</f>
        <v>977080</v>
      </c>
      <c r="P49" s="13">
        <f>56575*20</f>
        <v>1131500</v>
      </c>
      <c r="Q49" s="13">
        <f>62720*20</f>
        <v>1254400</v>
      </c>
      <c r="R49" s="13"/>
      <c r="S49" s="13"/>
      <c r="T49" s="13"/>
      <c r="U49" s="13"/>
      <c r="V49" s="13"/>
      <c r="W49" s="13"/>
      <c r="Y49"/>
    </row>
    <row r="50" spans="1:25" x14ac:dyDescent="0.2">
      <c r="A50" s="22" t="s">
        <v>94</v>
      </c>
      <c r="B50" s="22" t="s">
        <v>144</v>
      </c>
      <c r="C50" s="13" t="s">
        <v>76</v>
      </c>
      <c r="D50" s="13">
        <v>100</v>
      </c>
      <c r="E50" s="13">
        <v>28</v>
      </c>
      <c r="F50" s="14">
        <f>([1]innoculation!$D$15*1.4)/1000</f>
        <v>1313.9</v>
      </c>
      <c r="G50" s="13">
        <v>2140</v>
      </c>
      <c r="H50" s="13">
        <v>3444</v>
      </c>
      <c r="I50" s="13">
        <v>4451</v>
      </c>
      <c r="J50" s="13">
        <v>23004</v>
      </c>
      <c r="K50" s="13">
        <v>57953</v>
      </c>
      <c r="L50" s="13">
        <f>8210*20</f>
        <v>164200</v>
      </c>
      <c r="M50" s="13">
        <f>18828*20</f>
        <v>376560</v>
      </c>
      <c r="N50" s="13">
        <f>31517*20</f>
        <v>630340</v>
      </c>
      <c r="O50" s="13">
        <f>46831*20</f>
        <v>936620</v>
      </c>
      <c r="P50" s="13">
        <f>56132*20</f>
        <v>1122640</v>
      </c>
      <c r="Q50" s="13">
        <f>61063*20</f>
        <v>1221260</v>
      </c>
      <c r="R50" s="13"/>
      <c r="S50" s="13"/>
      <c r="T50" s="13"/>
      <c r="U50" s="13"/>
      <c r="V50" s="13"/>
      <c r="W50" s="13"/>
      <c r="Y50"/>
    </row>
    <row r="51" spans="1:25" x14ac:dyDescent="0.2">
      <c r="A51" s="22" t="s">
        <v>94</v>
      </c>
      <c r="B51" s="22" t="s">
        <v>144</v>
      </c>
      <c r="C51" s="13" t="s">
        <v>76</v>
      </c>
      <c r="D51" s="13">
        <v>100</v>
      </c>
      <c r="E51" s="13">
        <v>28</v>
      </c>
      <c r="F51" s="14">
        <f>([1]innoculation!$D$15*1.4)/1000</f>
        <v>1313.9</v>
      </c>
      <c r="G51" s="13">
        <v>1983</v>
      </c>
      <c r="H51" s="13">
        <v>3373</v>
      </c>
      <c r="I51" s="13">
        <v>4418</v>
      </c>
      <c r="J51" s="13">
        <v>23912</v>
      </c>
      <c r="K51" s="13">
        <v>59526</v>
      </c>
      <c r="L51" s="13">
        <f>8234*20</f>
        <v>164680</v>
      </c>
      <c r="M51" s="13">
        <f>18411*20</f>
        <v>368220</v>
      </c>
      <c r="N51" s="13">
        <f>31056*20</f>
        <v>621120</v>
      </c>
      <c r="O51" s="13">
        <f>46761*20</f>
        <v>935220</v>
      </c>
      <c r="P51" s="13">
        <f>55860*20</f>
        <v>1117200</v>
      </c>
      <c r="Q51" s="13">
        <f>60531*20</f>
        <v>1210620</v>
      </c>
      <c r="R51" s="13"/>
      <c r="S51" s="13"/>
      <c r="T51" s="13"/>
      <c r="U51" s="13"/>
      <c r="V51" s="13"/>
      <c r="W51" s="13"/>
      <c r="Y51"/>
    </row>
    <row r="52" spans="1:25" x14ac:dyDescent="0.2">
      <c r="A52" s="22" t="s">
        <v>94</v>
      </c>
      <c r="B52" s="22" t="s">
        <v>144</v>
      </c>
      <c r="C52" s="13" t="s">
        <v>76</v>
      </c>
      <c r="D52" s="13">
        <v>100</v>
      </c>
      <c r="E52" s="13">
        <v>28</v>
      </c>
      <c r="F52" s="14">
        <f>([1]innoculation!$D$15*1.4)/1000</f>
        <v>1313.9</v>
      </c>
      <c r="G52" s="13">
        <v>1958</v>
      </c>
      <c r="H52" s="13">
        <v>3250</v>
      </c>
      <c r="I52" s="13">
        <v>4438</v>
      </c>
      <c r="J52" s="13">
        <v>22966</v>
      </c>
      <c r="K52" s="13">
        <v>59504</v>
      </c>
      <c r="L52" s="13">
        <f>8195*20</f>
        <v>163900</v>
      </c>
      <c r="M52" s="13">
        <f>18420*20</f>
        <v>368400</v>
      </c>
      <c r="N52" s="13">
        <f>31639*20</f>
        <v>632780</v>
      </c>
      <c r="O52" s="13">
        <f>47237*20</f>
        <v>944740</v>
      </c>
      <c r="P52" s="13">
        <f>56202*20</f>
        <v>1124040</v>
      </c>
      <c r="Q52" s="13">
        <f>61677*20</f>
        <v>1233540</v>
      </c>
      <c r="R52" s="13"/>
      <c r="S52" s="13"/>
      <c r="T52" s="13"/>
      <c r="U52" s="13"/>
      <c r="V52" s="13"/>
      <c r="W52" s="13"/>
      <c r="Y52"/>
    </row>
    <row r="53" spans="1:25" x14ac:dyDescent="0.2">
      <c r="A53" s="22" t="s">
        <v>95</v>
      </c>
      <c r="B53" s="22" t="s">
        <v>144</v>
      </c>
      <c r="C53" s="13" t="s">
        <v>76</v>
      </c>
      <c r="D53" s="13">
        <v>100</v>
      </c>
      <c r="E53" s="13">
        <v>28</v>
      </c>
      <c r="F53" s="14">
        <f>([1]innoculation!$D$15*1.4)/1000</f>
        <v>1313.9</v>
      </c>
      <c r="G53" s="13">
        <v>2138</v>
      </c>
      <c r="H53" s="13">
        <v>3512</v>
      </c>
      <c r="I53" s="13">
        <v>4813</v>
      </c>
      <c r="J53" s="13">
        <v>22243</v>
      </c>
      <c r="K53" s="13">
        <v>60671</v>
      </c>
      <c r="L53" s="13">
        <f>8760*20</f>
        <v>175200</v>
      </c>
      <c r="M53" s="13">
        <f>18409*20</f>
        <v>368180</v>
      </c>
      <c r="N53" s="13">
        <f>32512*20</f>
        <v>650240</v>
      </c>
      <c r="O53" s="13">
        <f>47093*20</f>
        <v>941860</v>
      </c>
      <c r="P53" s="13">
        <f>56955*20</f>
        <v>1139100</v>
      </c>
      <c r="Q53" s="13">
        <f>63724*20</f>
        <v>1274480</v>
      </c>
      <c r="R53" s="13"/>
      <c r="S53" s="13"/>
      <c r="T53" s="13"/>
      <c r="U53" s="13"/>
      <c r="V53" s="13"/>
      <c r="W53" s="13"/>
      <c r="Y53"/>
    </row>
    <row r="54" spans="1:25" x14ac:dyDescent="0.2">
      <c r="A54" s="22" t="s">
        <v>95</v>
      </c>
      <c r="B54" s="22" t="s">
        <v>144</v>
      </c>
      <c r="C54" s="13" t="s">
        <v>76</v>
      </c>
      <c r="D54" s="13">
        <v>100</v>
      </c>
      <c r="E54" s="13">
        <v>28</v>
      </c>
      <c r="F54" s="14">
        <f>([1]innoculation!$D$15*1.4)/1000</f>
        <v>1313.9</v>
      </c>
      <c r="G54" s="13">
        <v>2161</v>
      </c>
      <c r="H54" s="13">
        <v>3517</v>
      </c>
      <c r="I54" s="13">
        <v>4326</v>
      </c>
      <c r="J54" s="13">
        <v>21280</v>
      </c>
      <c r="K54" s="13">
        <v>60834</v>
      </c>
      <c r="L54" s="13">
        <f>8849*20</f>
        <v>176980</v>
      </c>
      <c r="M54" s="13">
        <f>18116*20</f>
        <v>362320</v>
      </c>
      <c r="N54" s="13">
        <f>32627*20</f>
        <v>652540</v>
      </c>
      <c r="O54" s="13">
        <f>47047*20</f>
        <v>940940</v>
      </c>
      <c r="P54" s="13">
        <f>56999*20</f>
        <v>1139980</v>
      </c>
      <c r="Q54" s="13">
        <f>63342*20</f>
        <v>1266840</v>
      </c>
      <c r="R54" s="13"/>
      <c r="S54" s="13"/>
      <c r="T54" s="13"/>
      <c r="U54" s="13"/>
      <c r="V54" s="13"/>
      <c r="W54" s="13"/>
      <c r="Y54"/>
    </row>
    <row r="55" spans="1:25" x14ac:dyDescent="0.2">
      <c r="A55" s="22" t="s">
        <v>95</v>
      </c>
      <c r="B55" s="22" t="s">
        <v>144</v>
      </c>
      <c r="C55" s="13" t="s">
        <v>76</v>
      </c>
      <c r="D55" s="13">
        <v>100</v>
      </c>
      <c r="E55" s="13">
        <v>28</v>
      </c>
      <c r="F55" s="14">
        <f>([1]innoculation!$D$15*1.4)/1000</f>
        <v>1313.9</v>
      </c>
      <c r="G55" s="13">
        <v>2114</v>
      </c>
      <c r="H55" s="13">
        <v>3449</v>
      </c>
      <c r="I55" s="13">
        <v>4330</v>
      </c>
      <c r="J55" s="13">
        <v>20827</v>
      </c>
      <c r="K55" s="13">
        <v>61411</v>
      </c>
      <c r="L55" s="13">
        <f>9290*20</f>
        <v>185800</v>
      </c>
      <c r="M55" s="13">
        <f>18110*20</f>
        <v>362200</v>
      </c>
      <c r="N55" s="13">
        <f>32601*20</f>
        <v>652020</v>
      </c>
      <c r="O55" s="13">
        <f>47757*20</f>
        <v>955140</v>
      </c>
      <c r="P55" s="13">
        <f>56869*20</f>
        <v>1137380</v>
      </c>
      <c r="Q55" s="13">
        <f>63469*20</f>
        <v>1269380</v>
      </c>
      <c r="R55" s="13"/>
      <c r="S55" s="13"/>
      <c r="T55" s="13"/>
      <c r="U55" s="13"/>
      <c r="V55" s="13"/>
      <c r="W55" s="13"/>
      <c r="Y55"/>
    </row>
    <row r="56" spans="1:25" x14ac:dyDescent="0.2">
      <c r="A56" s="22" t="s">
        <v>96</v>
      </c>
      <c r="B56" s="22" t="s">
        <v>145</v>
      </c>
      <c r="C56" s="13" t="s">
        <v>80</v>
      </c>
      <c r="D56" s="13">
        <v>50</v>
      </c>
      <c r="E56" s="13">
        <v>28</v>
      </c>
      <c r="F56" s="14">
        <f>([1]innoculation!$D$17*2)/1000</f>
        <v>1124.94</v>
      </c>
      <c r="G56" s="13">
        <v>1586</v>
      </c>
      <c r="H56" s="13">
        <v>3460</v>
      </c>
      <c r="I56" s="13">
        <v>2900</v>
      </c>
      <c r="J56" s="13">
        <v>29187</v>
      </c>
      <c r="K56" s="13">
        <v>79314</v>
      </c>
      <c r="L56" s="13">
        <f>10681*20</f>
        <v>213620</v>
      </c>
      <c r="M56" s="13">
        <f>18669*20</f>
        <v>373380</v>
      </c>
      <c r="N56" s="13">
        <f>23697*20</f>
        <v>473940</v>
      </c>
      <c r="O56" s="13">
        <f>21399*20</f>
        <v>427980</v>
      </c>
      <c r="P56" s="13"/>
      <c r="Q56" s="13"/>
      <c r="R56" s="13"/>
      <c r="S56" s="13"/>
      <c r="T56" s="13"/>
      <c r="U56" s="13"/>
      <c r="V56" s="13"/>
      <c r="W56" s="13"/>
      <c r="Y56"/>
    </row>
    <row r="57" spans="1:25" x14ac:dyDescent="0.2">
      <c r="A57" s="22" t="s">
        <v>96</v>
      </c>
      <c r="B57" s="22" t="s">
        <v>145</v>
      </c>
      <c r="C57" s="13" t="s">
        <v>80</v>
      </c>
      <c r="D57" s="13">
        <v>50</v>
      </c>
      <c r="E57" s="13">
        <v>28</v>
      </c>
      <c r="F57" s="14">
        <f>([1]innoculation!$D$17*2)/1000</f>
        <v>1124.94</v>
      </c>
      <c r="G57" s="13">
        <v>1558</v>
      </c>
      <c r="H57" s="13">
        <v>3461</v>
      </c>
      <c r="I57" s="13">
        <v>2564</v>
      </c>
      <c r="J57" s="13">
        <v>29014</v>
      </c>
      <c r="K57" s="13">
        <v>75558</v>
      </c>
      <c r="L57" s="13">
        <f>10317*20</f>
        <v>206340</v>
      </c>
      <c r="M57" s="13">
        <f>18451*20</f>
        <v>369020</v>
      </c>
      <c r="N57" s="13">
        <f>23360*20</f>
        <v>467200</v>
      </c>
      <c r="O57" s="13">
        <f>20925*20</f>
        <v>418500</v>
      </c>
      <c r="P57" s="13"/>
      <c r="Q57" s="13"/>
      <c r="R57" s="13"/>
      <c r="S57" s="13"/>
      <c r="T57" s="13"/>
      <c r="U57" s="13"/>
      <c r="V57" s="13"/>
      <c r="W57" s="13"/>
      <c r="Y57"/>
    </row>
    <row r="58" spans="1:25" x14ac:dyDescent="0.2">
      <c r="A58" s="22" t="s">
        <v>96</v>
      </c>
      <c r="B58" s="22" t="s">
        <v>145</v>
      </c>
      <c r="C58" s="13" t="s">
        <v>80</v>
      </c>
      <c r="D58" s="13">
        <v>50</v>
      </c>
      <c r="E58" s="13">
        <v>28</v>
      </c>
      <c r="F58" s="14">
        <f>([1]innoculation!$D$17*2)/1000</f>
        <v>1124.94</v>
      </c>
      <c r="G58" s="13">
        <v>1542</v>
      </c>
      <c r="H58" s="13">
        <v>3393</v>
      </c>
      <c r="I58" s="13">
        <v>2580</v>
      </c>
      <c r="J58" s="13">
        <v>31831</v>
      </c>
      <c r="K58" s="13">
        <v>76233</v>
      </c>
      <c r="L58" s="13">
        <f>10404*20</f>
        <v>208080</v>
      </c>
      <c r="M58" s="13">
        <f>18941*20</f>
        <v>378820</v>
      </c>
      <c r="N58" s="13">
        <f>23049*20</f>
        <v>460980</v>
      </c>
      <c r="O58" s="13">
        <f>20967*20</f>
        <v>419340</v>
      </c>
      <c r="P58" s="13"/>
      <c r="Q58" s="13"/>
      <c r="R58" s="13"/>
      <c r="S58" s="13"/>
      <c r="T58" s="13"/>
      <c r="U58" s="13"/>
      <c r="V58" s="13"/>
      <c r="W58" s="13"/>
      <c r="Y58"/>
    </row>
    <row r="59" spans="1:25" x14ac:dyDescent="0.2">
      <c r="A59" s="22" t="s">
        <v>97</v>
      </c>
      <c r="B59" s="22" t="s">
        <v>145</v>
      </c>
      <c r="C59" s="13" t="s">
        <v>80</v>
      </c>
      <c r="D59" s="13">
        <v>50</v>
      </c>
      <c r="E59" s="13">
        <v>28</v>
      </c>
      <c r="F59" s="14">
        <f>([1]innoculation!$D$17*2)/1000</f>
        <v>1124.94</v>
      </c>
      <c r="G59" s="13">
        <v>1720</v>
      </c>
      <c r="H59" s="13">
        <v>5501</v>
      </c>
      <c r="I59" s="13">
        <v>4501</v>
      </c>
      <c r="J59" s="13">
        <v>26445</v>
      </c>
      <c r="K59" s="13">
        <v>85808</v>
      </c>
      <c r="L59" s="13">
        <f>11199*20</f>
        <v>223980</v>
      </c>
      <c r="M59" s="13">
        <f>20549*20</f>
        <v>410980</v>
      </c>
      <c r="N59" s="13">
        <f>28876*20</f>
        <v>577520</v>
      </c>
      <c r="O59" s="13">
        <f>24931*20</f>
        <v>498620</v>
      </c>
      <c r="P59" s="13"/>
      <c r="Q59" s="13"/>
      <c r="R59" s="13"/>
      <c r="S59" s="13"/>
      <c r="T59" s="13"/>
      <c r="U59" s="13"/>
      <c r="V59" s="13"/>
      <c r="W59" s="13"/>
      <c r="Y59"/>
    </row>
    <row r="60" spans="1:25" x14ac:dyDescent="0.2">
      <c r="A60" s="22" t="s">
        <v>97</v>
      </c>
      <c r="B60" s="22" t="s">
        <v>145</v>
      </c>
      <c r="C60" s="13" t="s">
        <v>80</v>
      </c>
      <c r="D60" s="13">
        <v>50</v>
      </c>
      <c r="E60" s="13">
        <v>28</v>
      </c>
      <c r="F60" s="14">
        <f>([1]innoculation!$D$17*2)/1000</f>
        <v>1124.94</v>
      </c>
      <c r="G60" s="13">
        <v>1643</v>
      </c>
      <c r="H60" s="13">
        <v>5647</v>
      </c>
      <c r="I60" s="13">
        <v>4732</v>
      </c>
      <c r="J60" s="13">
        <v>27628</v>
      </c>
      <c r="K60" s="13">
        <v>84749</v>
      </c>
      <c r="L60" s="13">
        <f>11111*20</f>
        <v>222220</v>
      </c>
      <c r="M60" s="13">
        <f>19980*20</f>
        <v>399600</v>
      </c>
      <c r="N60" s="13">
        <f>28674*20</f>
        <v>573480</v>
      </c>
      <c r="O60" s="13">
        <f>24914*20</f>
        <v>498280</v>
      </c>
      <c r="P60" s="13"/>
      <c r="Q60" s="13"/>
      <c r="R60" s="13"/>
      <c r="S60" s="13"/>
      <c r="T60" s="13"/>
      <c r="U60" s="13"/>
      <c r="V60" s="13"/>
      <c r="W60" s="13"/>
      <c r="Y60"/>
    </row>
    <row r="61" spans="1:25" x14ac:dyDescent="0.2">
      <c r="A61" s="22" t="s">
        <v>97</v>
      </c>
      <c r="B61" s="22" t="s">
        <v>145</v>
      </c>
      <c r="C61" s="13" t="s">
        <v>80</v>
      </c>
      <c r="D61" s="13">
        <v>50</v>
      </c>
      <c r="E61" s="13">
        <v>28</v>
      </c>
      <c r="F61" s="14">
        <f>([1]innoculation!$D$17*2)/1000</f>
        <v>1124.94</v>
      </c>
      <c r="G61" s="13">
        <v>1702</v>
      </c>
      <c r="H61" s="13">
        <v>5948</v>
      </c>
      <c r="I61" s="13">
        <v>4814</v>
      </c>
      <c r="J61" s="13">
        <v>29303</v>
      </c>
      <c r="K61" s="13">
        <v>86174</v>
      </c>
      <c r="L61" s="13">
        <f>10997*20</f>
        <v>219940</v>
      </c>
      <c r="M61" s="13">
        <f>20058*20</f>
        <v>401160</v>
      </c>
      <c r="N61" s="13">
        <f>28068*20</f>
        <v>561360</v>
      </c>
      <c r="O61" s="13">
        <f>25374*20</f>
        <v>507480</v>
      </c>
      <c r="P61" s="13"/>
      <c r="Q61" s="13"/>
      <c r="R61" s="13"/>
      <c r="S61" s="13"/>
      <c r="T61" s="13"/>
      <c r="U61" s="13"/>
      <c r="V61" s="13"/>
      <c r="W61" s="13"/>
      <c r="Y61"/>
    </row>
    <row r="62" spans="1:25" x14ac:dyDescent="0.2">
      <c r="A62" s="22" t="s">
        <v>98</v>
      </c>
      <c r="B62" s="22" t="s">
        <v>145</v>
      </c>
      <c r="C62" s="13" t="s">
        <v>80</v>
      </c>
      <c r="D62" s="13">
        <v>50</v>
      </c>
      <c r="E62" s="13">
        <v>28</v>
      </c>
      <c r="F62" s="14">
        <f>([1]innoculation!$D$17*2)/1000</f>
        <v>1124.94</v>
      </c>
      <c r="G62" s="13">
        <v>1892</v>
      </c>
      <c r="H62" s="13">
        <v>3782</v>
      </c>
      <c r="I62" s="13">
        <v>3799</v>
      </c>
      <c r="J62" s="13">
        <v>25180</v>
      </c>
      <c r="K62" s="13">
        <v>86605</v>
      </c>
      <c r="L62" s="13">
        <f>10335*20</f>
        <v>206700</v>
      </c>
      <c r="M62" s="13">
        <f>20819*20</f>
        <v>416380</v>
      </c>
      <c r="N62" s="13">
        <f>29734*20</f>
        <v>594680</v>
      </c>
      <c r="O62" s="13">
        <f>29546*20</f>
        <v>590920</v>
      </c>
      <c r="P62" s="13"/>
      <c r="Q62" s="13"/>
      <c r="R62" s="13"/>
      <c r="S62" s="13"/>
      <c r="T62" s="13"/>
      <c r="U62" s="13"/>
      <c r="V62" s="13"/>
      <c r="W62" s="13"/>
      <c r="Y62"/>
    </row>
    <row r="63" spans="1:25" x14ac:dyDescent="0.2">
      <c r="A63" s="22" t="s">
        <v>98</v>
      </c>
      <c r="B63" s="22" t="s">
        <v>145</v>
      </c>
      <c r="C63" s="13" t="s">
        <v>80</v>
      </c>
      <c r="D63" s="13">
        <v>50</v>
      </c>
      <c r="E63" s="13">
        <v>28</v>
      </c>
      <c r="F63" s="14">
        <f>([1]innoculation!$D$17*2)/1000</f>
        <v>1124.94</v>
      </c>
      <c r="G63" s="13">
        <v>1903</v>
      </c>
      <c r="H63" s="13">
        <v>3851</v>
      </c>
      <c r="I63" s="13">
        <v>4311</v>
      </c>
      <c r="J63" s="13">
        <v>26901</v>
      </c>
      <c r="K63" s="13">
        <v>91563</v>
      </c>
      <c r="L63" s="13">
        <f>10472*20</f>
        <v>209440</v>
      </c>
      <c r="M63" s="13">
        <f>21482*20</f>
        <v>429640</v>
      </c>
      <c r="N63" s="13">
        <f>29178*20</f>
        <v>583560</v>
      </c>
      <c r="O63" s="13">
        <f>29729*20</f>
        <v>594580</v>
      </c>
      <c r="P63" s="13"/>
      <c r="Q63" s="13"/>
      <c r="R63" s="13"/>
      <c r="S63" s="13"/>
      <c r="T63" s="13"/>
      <c r="U63" s="13"/>
      <c r="V63" s="13"/>
      <c r="W63" s="13"/>
      <c r="Y63"/>
    </row>
    <row r="64" spans="1:25" x14ac:dyDescent="0.2">
      <c r="A64" s="22" t="s">
        <v>98</v>
      </c>
      <c r="B64" s="22" t="s">
        <v>145</v>
      </c>
      <c r="C64" s="13" t="s">
        <v>80</v>
      </c>
      <c r="D64" s="13">
        <v>50</v>
      </c>
      <c r="E64" s="13">
        <v>28</v>
      </c>
      <c r="F64" s="14">
        <f>([1]innoculation!$D$17*2)/1000</f>
        <v>1124.94</v>
      </c>
      <c r="G64" s="13">
        <v>1882</v>
      </c>
      <c r="H64" s="13">
        <v>3774</v>
      </c>
      <c r="I64" s="13">
        <v>4039</v>
      </c>
      <c r="J64" s="13">
        <v>27915</v>
      </c>
      <c r="K64" s="13">
        <v>90044</v>
      </c>
      <c r="L64" s="13">
        <f>9941*20</f>
        <v>198820</v>
      </c>
      <c r="M64" s="13">
        <f>22174*20</f>
        <v>443480</v>
      </c>
      <c r="N64" s="13">
        <f>29044*20</f>
        <v>580880</v>
      </c>
      <c r="O64" s="13">
        <f>29290*20</f>
        <v>585800</v>
      </c>
      <c r="P64" s="13"/>
      <c r="Q64" s="13"/>
      <c r="R64" s="13"/>
      <c r="S64" s="13"/>
      <c r="T64" s="13"/>
      <c r="U64" s="13"/>
      <c r="V64" s="13"/>
      <c r="W64" s="13"/>
      <c r="Y64"/>
    </row>
    <row r="65" spans="1:25" x14ac:dyDescent="0.2">
      <c r="A65" s="19" t="s">
        <v>99</v>
      </c>
      <c r="B65" s="19" t="s">
        <v>146</v>
      </c>
      <c r="C65" s="11" t="s">
        <v>80</v>
      </c>
      <c r="D65" s="11">
        <v>100</v>
      </c>
      <c r="E65" s="11">
        <v>28</v>
      </c>
      <c r="F65" s="20">
        <f>([1]innoculation!$D$18*2.3)/1000</f>
        <v>1247.2439999999999</v>
      </c>
      <c r="G65" s="11">
        <v>1661</v>
      </c>
      <c r="H65" s="11">
        <v>2782</v>
      </c>
      <c r="I65" s="11">
        <v>3405</v>
      </c>
      <c r="J65" s="11">
        <v>22628</v>
      </c>
      <c r="K65" s="11">
        <v>68016</v>
      </c>
      <c r="L65" s="11">
        <f>9257*20</f>
        <v>185140</v>
      </c>
      <c r="M65" s="11">
        <f>16300*20</f>
        <v>326000</v>
      </c>
      <c r="N65" s="11">
        <f>22960*20</f>
        <v>459200</v>
      </c>
      <c r="O65" s="11">
        <f>27893*20</f>
        <v>557860</v>
      </c>
      <c r="U65" s="11"/>
      <c r="V65" s="11"/>
      <c r="W65" s="11"/>
      <c r="Y65"/>
    </row>
    <row r="66" spans="1:25" x14ac:dyDescent="0.2">
      <c r="A66" s="19" t="s">
        <v>99</v>
      </c>
      <c r="B66" s="19" t="s">
        <v>146</v>
      </c>
      <c r="C66" s="11" t="s">
        <v>80</v>
      </c>
      <c r="D66" s="11">
        <v>100</v>
      </c>
      <c r="E66" s="11">
        <v>28</v>
      </c>
      <c r="F66" s="20">
        <f>([1]innoculation!$D$18*2.3)/1000</f>
        <v>1247.2439999999999</v>
      </c>
      <c r="G66" s="11">
        <v>1671</v>
      </c>
      <c r="H66" s="11">
        <v>2760</v>
      </c>
      <c r="I66" s="11">
        <v>3426</v>
      </c>
      <c r="J66" s="11">
        <v>22869</v>
      </c>
      <c r="K66" s="11">
        <v>71492</v>
      </c>
      <c r="L66" s="11">
        <f>8885*20</f>
        <v>177700</v>
      </c>
      <c r="M66" s="11">
        <f>16514*20</f>
        <v>330280</v>
      </c>
      <c r="N66" s="11">
        <f>23388*20</f>
        <v>467760</v>
      </c>
      <c r="O66" s="11">
        <f>28300*20</f>
        <v>566000</v>
      </c>
      <c r="U66" s="11"/>
      <c r="V66" s="11"/>
      <c r="W66" s="11"/>
      <c r="Y66"/>
    </row>
    <row r="67" spans="1:25" x14ac:dyDescent="0.2">
      <c r="A67" s="19" t="s">
        <v>99</v>
      </c>
      <c r="B67" s="19" t="s">
        <v>146</v>
      </c>
      <c r="C67" s="11" t="s">
        <v>80</v>
      </c>
      <c r="D67" s="11">
        <v>100</v>
      </c>
      <c r="E67" s="11">
        <v>28</v>
      </c>
      <c r="F67" s="20">
        <f>([1]innoculation!$D$18*2.3)/1000</f>
        <v>1247.2439999999999</v>
      </c>
      <c r="G67" s="11">
        <v>1802</v>
      </c>
      <c r="H67" s="11">
        <v>2686</v>
      </c>
      <c r="I67" s="11">
        <v>3700</v>
      </c>
      <c r="J67" s="11">
        <v>23242</v>
      </c>
      <c r="K67" s="11">
        <v>69726</v>
      </c>
      <c r="L67" s="11">
        <f>8706*20</f>
        <v>174120</v>
      </c>
      <c r="M67" s="11">
        <f>17345*20</f>
        <v>346900</v>
      </c>
      <c r="N67" s="11">
        <f>23259*20</f>
        <v>465180</v>
      </c>
      <c r="O67" s="11">
        <f>28137*20</f>
        <v>562740</v>
      </c>
      <c r="U67" s="11"/>
      <c r="V67" s="11"/>
      <c r="W67" s="11"/>
      <c r="Y67"/>
    </row>
    <row r="68" spans="1:25" x14ac:dyDescent="0.2">
      <c r="A68" s="19" t="s">
        <v>100</v>
      </c>
      <c r="B68" s="19" t="s">
        <v>146</v>
      </c>
      <c r="C68" s="11" t="s">
        <v>80</v>
      </c>
      <c r="D68" s="11">
        <v>100</v>
      </c>
      <c r="E68" s="11">
        <v>28</v>
      </c>
      <c r="F68" s="20">
        <f>([1]innoculation!$D$18*2.3)/1000</f>
        <v>1247.2439999999999</v>
      </c>
      <c r="G68" s="11">
        <v>1566</v>
      </c>
      <c r="H68" s="11">
        <v>2249</v>
      </c>
      <c r="I68" s="11">
        <v>2754</v>
      </c>
      <c r="J68" s="11">
        <v>18534</v>
      </c>
      <c r="K68" s="11">
        <v>57682</v>
      </c>
      <c r="L68" s="11">
        <f>7653*20</f>
        <v>153060</v>
      </c>
      <c r="M68" s="11">
        <f>14259*20</f>
        <v>285180</v>
      </c>
      <c r="N68" s="11">
        <f>20759*20</f>
        <v>415180</v>
      </c>
      <c r="O68" s="11">
        <f>26846*20</f>
        <v>536920</v>
      </c>
      <c r="U68" s="11"/>
      <c r="V68" s="11"/>
      <c r="W68" s="11"/>
      <c r="Y68"/>
    </row>
    <row r="69" spans="1:25" x14ac:dyDescent="0.2">
      <c r="A69" s="19" t="s">
        <v>100</v>
      </c>
      <c r="B69" s="19" t="s">
        <v>146</v>
      </c>
      <c r="C69" s="11" t="s">
        <v>80</v>
      </c>
      <c r="D69" s="11">
        <v>100</v>
      </c>
      <c r="E69" s="11">
        <v>28</v>
      </c>
      <c r="F69" s="20">
        <f>([1]innoculation!$D$18*2.3)/1000</f>
        <v>1247.2439999999999</v>
      </c>
      <c r="G69" s="11">
        <v>1493</v>
      </c>
      <c r="H69" s="11">
        <v>2170</v>
      </c>
      <c r="I69" s="11">
        <v>2480</v>
      </c>
      <c r="J69" s="11">
        <v>19247</v>
      </c>
      <c r="K69" s="11">
        <v>60579</v>
      </c>
      <c r="L69" s="11">
        <f>7382*20</f>
        <v>147640</v>
      </c>
      <c r="M69" s="11">
        <f>14088*20</f>
        <v>281760</v>
      </c>
      <c r="N69" s="11">
        <f>20527*20</f>
        <v>410540</v>
      </c>
      <c r="O69" s="11">
        <f>26738*20</f>
        <v>534760</v>
      </c>
      <c r="U69" s="11"/>
      <c r="V69" s="11"/>
      <c r="W69" s="11"/>
      <c r="Y69"/>
    </row>
    <row r="70" spans="1:25" x14ac:dyDescent="0.2">
      <c r="A70" s="19" t="s">
        <v>100</v>
      </c>
      <c r="B70" s="19" t="s">
        <v>146</v>
      </c>
      <c r="C70" s="11" t="s">
        <v>80</v>
      </c>
      <c r="D70" s="11">
        <v>100</v>
      </c>
      <c r="E70" s="11">
        <v>28</v>
      </c>
      <c r="F70" s="20">
        <f>([1]innoculation!$D$18*2.3)/1000</f>
        <v>1247.2439999999999</v>
      </c>
      <c r="G70" s="11">
        <v>1530</v>
      </c>
      <c r="H70" s="11">
        <v>2213</v>
      </c>
      <c r="I70" s="11">
        <v>2634</v>
      </c>
      <c r="J70" s="11">
        <v>18964</v>
      </c>
      <c r="K70" s="11">
        <v>59385</v>
      </c>
      <c r="L70" s="11">
        <f>7459*20</f>
        <v>149180</v>
      </c>
      <c r="M70" s="11">
        <f>14910*20</f>
        <v>298200</v>
      </c>
      <c r="N70" s="11">
        <f>20596*20</f>
        <v>411920</v>
      </c>
      <c r="O70" s="11">
        <f>27140*20</f>
        <v>542800</v>
      </c>
      <c r="U70" s="11"/>
      <c r="V70" s="11"/>
      <c r="W70" s="11"/>
      <c r="Y70"/>
    </row>
    <row r="71" spans="1:25" x14ac:dyDescent="0.2">
      <c r="A71" s="19" t="s">
        <v>101</v>
      </c>
      <c r="B71" s="19" t="s">
        <v>146</v>
      </c>
      <c r="C71" s="11" t="s">
        <v>80</v>
      </c>
      <c r="D71" s="11">
        <v>100</v>
      </c>
      <c r="E71" s="11">
        <v>28</v>
      </c>
      <c r="F71" s="20">
        <f>([1]innoculation!$D$18*2.3)/1000</f>
        <v>1247.2439999999999</v>
      </c>
      <c r="G71" s="11">
        <v>1897</v>
      </c>
      <c r="H71" s="11">
        <v>2542</v>
      </c>
      <c r="I71" s="11">
        <v>3597</v>
      </c>
      <c r="J71" s="11">
        <v>23229</v>
      </c>
      <c r="K71" s="11">
        <v>62312</v>
      </c>
      <c r="L71" s="11">
        <f>9544*20</f>
        <v>190880</v>
      </c>
      <c r="M71" s="11">
        <f>16784*20</f>
        <v>335680</v>
      </c>
      <c r="N71" s="11">
        <f>24174*20</f>
        <v>483480</v>
      </c>
      <c r="O71" s="11">
        <f>26731*20</f>
        <v>534620</v>
      </c>
      <c r="U71" s="11"/>
      <c r="V71" s="11"/>
      <c r="W71" s="11"/>
      <c r="Y71"/>
    </row>
    <row r="72" spans="1:25" x14ac:dyDescent="0.2">
      <c r="A72" s="19" t="s">
        <v>101</v>
      </c>
      <c r="B72" s="19" t="s">
        <v>146</v>
      </c>
      <c r="C72" s="11" t="s">
        <v>80</v>
      </c>
      <c r="D72" s="11">
        <v>100</v>
      </c>
      <c r="E72" s="11">
        <v>28</v>
      </c>
      <c r="F72" s="20">
        <f>([1]innoculation!$D$18*2.3)/1000</f>
        <v>1247.2439999999999</v>
      </c>
      <c r="G72" s="11">
        <v>1927</v>
      </c>
      <c r="H72" s="11">
        <v>2443</v>
      </c>
      <c r="I72" s="11">
        <v>3431</v>
      </c>
      <c r="J72" s="11">
        <v>22035</v>
      </c>
      <c r="K72" s="11">
        <v>65203</v>
      </c>
      <c r="L72" s="11">
        <f>9344*20</f>
        <v>186880</v>
      </c>
      <c r="M72" s="11">
        <f>17286*20</f>
        <v>345720</v>
      </c>
      <c r="N72" s="11">
        <f>23978*20</f>
        <v>479560</v>
      </c>
      <c r="O72" s="11">
        <f>26275*20</f>
        <v>525500</v>
      </c>
      <c r="U72" s="11"/>
      <c r="V72" s="11"/>
      <c r="W72" s="11"/>
      <c r="Y72"/>
    </row>
    <row r="73" spans="1:25" x14ac:dyDescent="0.2">
      <c r="A73" s="19" t="s">
        <v>101</v>
      </c>
      <c r="B73" s="19" t="s">
        <v>146</v>
      </c>
      <c r="C73" s="11" t="s">
        <v>80</v>
      </c>
      <c r="D73" s="11">
        <v>100</v>
      </c>
      <c r="E73" s="11">
        <v>28</v>
      </c>
      <c r="F73" s="20">
        <f>([1]innoculation!$D$18*2.3)/1000</f>
        <v>1247.2439999999999</v>
      </c>
      <c r="G73" s="11">
        <v>1873</v>
      </c>
      <c r="H73" s="11">
        <v>2562</v>
      </c>
      <c r="I73" s="11">
        <v>3519</v>
      </c>
      <c r="J73" s="11">
        <v>21495</v>
      </c>
      <c r="K73" s="11">
        <v>64662</v>
      </c>
      <c r="L73" s="11">
        <f>9138*20</f>
        <v>182760</v>
      </c>
      <c r="M73" s="11">
        <f>16894*20</f>
        <v>337880</v>
      </c>
      <c r="N73" s="11">
        <f>24122*20</f>
        <v>482440</v>
      </c>
      <c r="O73" s="11">
        <f>26712*20</f>
        <v>534240</v>
      </c>
      <c r="U73" s="11"/>
      <c r="V73" s="11"/>
      <c r="W73" s="11"/>
      <c r="Y73"/>
    </row>
    <row r="74" spans="1:25" x14ac:dyDescent="0.2">
      <c r="A74" s="23" t="s">
        <v>102</v>
      </c>
      <c r="B74" s="23" t="s">
        <v>147</v>
      </c>
      <c r="C74" s="13" t="s">
        <v>76</v>
      </c>
      <c r="D74" s="13">
        <v>50</v>
      </c>
      <c r="E74" s="13">
        <v>30</v>
      </c>
      <c r="F74" s="14">
        <f>([1]innoculation!$D$19*1.5)/1000</f>
        <v>1185.2850000000001</v>
      </c>
      <c r="G74" s="13">
        <v>2131</v>
      </c>
      <c r="H74" s="13">
        <v>2296</v>
      </c>
      <c r="I74" s="13">
        <v>2111</v>
      </c>
      <c r="J74" s="13">
        <v>3354</v>
      </c>
      <c r="K74" s="13">
        <v>4330</v>
      </c>
      <c r="L74" s="13"/>
      <c r="M74" s="13">
        <v>17966</v>
      </c>
      <c r="N74" s="13">
        <v>42116</v>
      </c>
      <c r="O74" s="13">
        <f>6074*20</f>
        <v>121480</v>
      </c>
      <c r="P74" s="13">
        <f>9864*20</f>
        <v>197280</v>
      </c>
      <c r="Q74" s="13">
        <f>12545*20</f>
        <v>250900</v>
      </c>
      <c r="R74" s="13">
        <f>16808*20</f>
        <v>336160</v>
      </c>
      <c r="S74" s="13">
        <f>21524*20</f>
        <v>430480</v>
      </c>
      <c r="T74" s="13">
        <f>26478*20</f>
        <v>529560</v>
      </c>
      <c r="U74" s="13"/>
      <c r="V74" s="13"/>
      <c r="W74" s="13"/>
      <c r="Y74"/>
    </row>
    <row r="75" spans="1:25" x14ac:dyDescent="0.2">
      <c r="A75" s="23" t="s">
        <v>102</v>
      </c>
      <c r="B75" s="23" t="s">
        <v>147</v>
      </c>
      <c r="C75" s="13" t="s">
        <v>76</v>
      </c>
      <c r="D75" s="13">
        <v>50</v>
      </c>
      <c r="E75" s="13">
        <v>30</v>
      </c>
      <c r="F75" s="14">
        <f>([1]innoculation!$D$19*1.5)/1000</f>
        <v>1185.2850000000001</v>
      </c>
      <c r="G75" s="13">
        <v>2163</v>
      </c>
      <c r="H75" s="13">
        <v>2250</v>
      </c>
      <c r="I75" s="13">
        <v>2093</v>
      </c>
      <c r="J75" s="13">
        <v>3386</v>
      </c>
      <c r="K75" s="13">
        <v>4401</v>
      </c>
      <c r="L75" s="13"/>
      <c r="M75" s="13">
        <v>17601</v>
      </c>
      <c r="N75" s="13">
        <v>40795</v>
      </c>
      <c r="O75" s="13">
        <f>6069*20</f>
        <v>121380</v>
      </c>
      <c r="P75" s="13">
        <f>9572*20</f>
        <v>191440</v>
      </c>
      <c r="Q75" s="13">
        <f>12647*20</f>
        <v>252940</v>
      </c>
      <c r="R75" s="13">
        <f>17042*20</f>
        <v>340840</v>
      </c>
      <c r="S75" s="13">
        <f>21662*20</f>
        <v>433240</v>
      </c>
      <c r="T75" s="13">
        <f>26162*20</f>
        <v>523240</v>
      </c>
      <c r="U75" s="13"/>
      <c r="V75" s="13"/>
      <c r="W75" s="13"/>
      <c r="Y75"/>
    </row>
    <row r="76" spans="1:25" x14ac:dyDescent="0.2">
      <c r="A76" s="23" t="s">
        <v>102</v>
      </c>
      <c r="B76" s="23" t="s">
        <v>147</v>
      </c>
      <c r="C76" s="13" t="s">
        <v>76</v>
      </c>
      <c r="D76" s="13">
        <v>50</v>
      </c>
      <c r="E76" s="13">
        <v>30</v>
      </c>
      <c r="F76" s="14">
        <f>([1]innoculation!$D$19*1.5)/1000</f>
        <v>1185.2850000000001</v>
      </c>
      <c r="G76" s="13">
        <v>2095</v>
      </c>
      <c r="H76" s="13">
        <v>2229</v>
      </c>
      <c r="I76" s="13">
        <v>1978</v>
      </c>
      <c r="J76" s="13">
        <v>3508</v>
      </c>
      <c r="K76" s="13">
        <v>4376</v>
      </c>
      <c r="L76" s="13"/>
      <c r="M76" s="13">
        <v>16741</v>
      </c>
      <c r="N76" s="13">
        <v>41569</v>
      </c>
      <c r="O76" s="13">
        <f>6170*20</f>
        <v>123400</v>
      </c>
      <c r="P76" s="13">
        <f>9591*20</f>
        <v>191820</v>
      </c>
      <c r="Q76" s="13">
        <f>12409*20</f>
        <v>248180</v>
      </c>
      <c r="R76" s="13">
        <f>17054*20</f>
        <v>341080</v>
      </c>
      <c r="S76" s="13">
        <f>21539*20</f>
        <v>430780</v>
      </c>
      <c r="T76" s="13">
        <f>26274*20</f>
        <v>525480</v>
      </c>
      <c r="U76" s="13"/>
      <c r="V76" s="13"/>
      <c r="W76" s="13"/>
      <c r="Y76"/>
    </row>
    <row r="77" spans="1:25" x14ac:dyDescent="0.2">
      <c r="A77" s="23" t="s">
        <v>103</v>
      </c>
      <c r="B77" s="23" t="s">
        <v>147</v>
      </c>
      <c r="C77" s="13" t="s">
        <v>76</v>
      </c>
      <c r="D77" s="13">
        <v>50</v>
      </c>
      <c r="E77" s="13">
        <v>30</v>
      </c>
      <c r="F77" s="14">
        <f>([1]innoculation!$D$19*1.5)/1000</f>
        <v>1185.2850000000001</v>
      </c>
      <c r="G77" s="13">
        <v>874</v>
      </c>
      <c r="H77" s="13">
        <v>2229</v>
      </c>
      <c r="I77" s="13">
        <v>2115</v>
      </c>
      <c r="J77" s="13">
        <v>2344</v>
      </c>
      <c r="K77" s="13">
        <v>1985</v>
      </c>
      <c r="L77" s="13"/>
      <c r="M77" s="13">
        <v>4818</v>
      </c>
      <c r="N77" s="13">
        <v>8449</v>
      </c>
      <c r="O77" s="13">
        <v>13552</v>
      </c>
      <c r="P77" s="13">
        <v>22575</v>
      </c>
      <c r="Q77" s="13">
        <v>37594</v>
      </c>
      <c r="R77" s="13">
        <f>3806*20</f>
        <v>76120</v>
      </c>
      <c r="S77" s="13">
        <f>4963*20</f>
        <v>99260</v>
      </c>
      <c r="T77" s="13">
        <f>6792*20</f>
        <v>135840</v>
      </c>
      <c r="U77" s="13"/>
      <c r="V77" s="13"/>
      <c r="W77" s="13"/>
      <c r="Y77"/>
    </row>
    <row r="78" spans="1:25" x14ac:dyDescent="0.2">
      <c r="A78" s="23" t="s">
        <v>103</v>
      </c>
      <c r="B78" s="23" t="s">
        <v>147</v>
      </c>
      <c r="C78" s="13" t="s">
        <v>76</v>
      </c>
      <c r="D78" s="13">
        <v>50</v>
      </c>
      <c r="E78" s="13">
        <v>30</v>
      </c>
      <c r="F78" s="14">
        <f>([1]innoculation!$D$19*1.5)/1000</f>
        <v>1185.2850000000001</v>
      </c>
      <c r="G78" s="13">
        <v>1847</v>
      </c>
      <c r="H78" s="13">
        <v>2019</v>
      </c>
      <c r="I78" s="13">
        <v>1993</v>
      </c>
      <c r="J78" s="13">
        <v>2423</v>
      </c>
      <c r="K78" s="13">
        <v>2077</v>
      </c>
      <c r="L78" s="13"/>
      <c r="M78" s="13">
        <v>4706</v>
      </c>
      <c r="N78" s="13">
        <v>8796</v>
      </c>
      <c r="O78" s="13">
        <v>13415</v>
      </c>
      <c r="P78" s="13">
        <v>22642</v>
      </c>
      <c r="Q78" s="13">
        <v>37562</v>
      </c>
      <c r="R78" s="13">
        <f>3560*20</f>
        <v>71200</v>
      </c>
      <c r="S78" s="13">
        <f>4897*20</f>
        <v>97940</v>
      </c>
      <c r="T78" s="13">
        <f>6632*20</f>
        <v>132640</v>
      </c>
      <c r="U78" s="13"/>
      <c r="V78" s="13"/>
      <c r="W78" s="13"/>
      <c r="Y78"/>
    </row>
    <row r="79" spans="1:25" x14ac:dyDescent="0.2">
      <c r="A79" s="23" t="s">
        <v>103</v>
      </c>
      <c r="B79" s="23" t="s">
        <v>147</v>
      </c>
      <c r="C79" s="13" t="s">
        <v>76</v>
      </c>
      <c r="D79" s="13">
        <v>50</v>
      </c>
      <c r="E79" s="13">
        <v>30</v>
      </c>
      <c r="F79" s="14">
        <f>([1]innoculation!$D$19*1.5)/1000</f>
        <v>1185.2850000000001</v>
      </c>
      <c r="G79" s="13">
        <v>1754</v>
      </c>
      <c r="H79" s="13">
        <v>1977</v>
      </c>
      <c r="I79" s="13">
        <v>2049</v>
      </c>
      <c r="J79" s="13">
        <v>2437</v>
      </c>
      <c r="K79" s="13">
        <v>1974</v>
      </c>
      <c r="L79" s="13"/>
      <c r="M79" s="13">
        <v>4752</v>
      </c>
      <c r="N79" s="13">
        <v>9913</v>
      </c>
      <c r="O79" s="13">
        <v>13316</v>
      </c>
      <c r="P79" s="13">
        <v>22745</v>
      </c>
      <c r="Q79" s="13">
        <v>37818</v>
      </c>
      <c r="R79" s="13">
        <f>3610*20</f>
        <v>72200</v>
      </c>
      <c r="S79" s="13">
        <f>5092*20</f>
        <v>101840</v>
      </c>
      <c r="T79" s="13">
        <f>6714*20</f>
        <v>134280</v>
      </c>
      <c r="U79" s="13"/>
      <c r="V79" s="13"/>
      <c r="W79" s="13"/>
      <c r="Y79"/>
    </row>
    <row r="80" spans="1:25" x14ac:dyDescent="0.2">
      <c r="A80" s="23" t="s">
        <v>104</v>
      </c>
      <c r="B80" s="23" t="s">
        <v>147</v>
      </c>
      <c r="C80" s="13" t="s">
        <v>76</v>
      </c>
      <c r="D80" s="13">
        <v>50</v>
      </c>
      <c r="E80" s="13">
        <v>30</v>
      </c>
      <c r="F80" s="14">
        <f>([1]innoculation!$D$19*1.5)/1000</f>
        <v>1185.2850000000001</v>
      </c>
      <c r="G80" s="13">
        <v>1786</v>
      </c>
      <c r="H80" s="13">
        <v>1781</v>
      </c>
      <c r="I80" s="13">
        <v>3171</v>
      </c>
      <c r="J80" s="13">
        <v>2301</v>
      </c>
      <c r="K80" s="13">
        <v>3122</v>
      </c>
      <c r="L80" s="13"/>
      <c r="M80" s="13">
        <v>5102</v>
      </c>
      <c r="N80" s="13">
        <v>7941</v>
      </c>
      <c r="O80" s="13">
        <v>12919</v>
      </c>
      <c r="P80" s="13">
        <v>23079</v>
      </c>
      <c r="Q80" s="13">
        <v>42793</v>
      </c>
      <c r="R80" s="13">
        <f>4467*20</f>
        <v>89340</v>
      </c>
      <c r="S80" s="13">
        <f>6404*20</f>
        <v>128080</v>
      </c>
      <c r="T80" s="13">
        <f>9820*20</f>
        <v>196400</v>
      </c>
      <c r="U80" s="13"/>
      <c r="V80" s="13"/>
      <c r="W80" s="13"/>
      <c r="Y80"/>
    </row>
    <row r="81" spans="1:25" x14ac:dyDescent="0.2">
      <c r="A81" s="23" t="s">
        <v>104</v>
      </c>
      <c r="B81" s="23" t="s">
        <v>147</v>
      </c>
      <c r="C81" s="13" t="s">
        <v>76</v>
      </c>
      <c r="D81" s="13">
        <v>50</v>
      </c>
      <c r="E81" s="13">
        <v>30</v>
      </c>
      <c r="F81" s="14">
        <f>([1]innoculation!$D$19*1.5)/1000</f>
        <v>1185.2850000000001</v>
      </c>
      <c r="G81" s="13">
        <v>1836</v>
      </c>
      <c r="H81" s="13">
        <v>1811</v>
      </c>
      <c r="I81" s="13">
        <v>3211</v>
      </c>
      <c r="J81" s="13">
        <v>2928</v>
      </c>
      <c r="K81" s="13">
        <v>3042</v>
      </c>
      <c r="L81" s="13"/>
      <c r="M81" s="13">
        <v>5025</v>
      </c>
      <c r="N81" s="13">
        <v>7893</v>
      </c>
      <c r="O81" s="13">
        <v>12922</v>
      </c>
      <c r="P81" s="13">
        <v>22781</v>
      </c>
      <c r="Q81" s="13">
        <v>42900</v>
      </c>
      <c r="R81" s="13">
        <f>4439*20</f>
        <v>88780</v>
      </c>
      <c r="S81" s="13">
        <f>6894*20</f>
        <v>137880</v>
      </c>
      <c r="T81" s="13">
        <f>9833*20</f>
        <v>196660</v>
      </c>
      <c r="U81" s="13"/>
      <c r="V81" s="13"/>
      <c r="W81" s="13"/>
      <c r="Y81"/>
    </row>
    <row r="82" spans="1:25" x14ac:dyDescent="0.2">
      <c r="A82" s="23" t="s">
        <v>104</v>
      </c>
      <c r="B82" s="23" t="s">
        <v>147</v>
      </c>
      <c r="C82" s="13" t="s">
        <v>76</v>
      </c>
      <c r="D82" s="13">
        <v>50</v>
      </c>
      <c r="E82" s="13">
        <v>30</v>
      </c>
      <c r="F82" s="14">
        <f>([1]innoculation!$D$19*1.5)/1000</f>
        <v>1185.2850000000001</v>
      </c>
      <c r="G82" s="13">
        <v>1799</v>
      </c>
      <c r="H82" s="13">
        <v>1909</v>
      </c>
      <c r="I82" s="13">
        <v>3137</v>
      </c>
      <c r="J82" s="13">
        <v>2827</v>
      </c>
      <c r="K82" s="13">
        <v>3119</v>
      </c>
      <c r="L82" s="13"/>
      <c r="M82" s="13">
        <v>5133</v>
      </c>
      <c r="N82" s="13">
        <v>7769</v>
      </c>
      <c r="O82" s="13">
        <v>13018</v>
      </c>
      <c r="P82" s="13">
        <v>22761</v>
      </c>
      <c r="Q82" s="13">
        <v>42610</v>
      </c>
      <c r="R82" s="13">
        <f>4376*20</f>
        <v>87520</v>
      </c>
      <c r="S82" s="13">
        <f>6600*20</f>
        <v>132000</v>
      </c>
      <c r="T82" s="13">
        <f>9964*20</f>
        <v>199280</v>
      </c>
      <c r="U82" s="13"/>
      <c r="V82" s="13"/>
      <c r="W82" s="13"/>
      <c r="Y82"/>
    </row>
    <row r="83" spans="1:25" x14ac:dyDescent="0.2">
      <c r="A83" s="24" t="s">
        <v>105</v>
      </c>
      <c r="B83" s="24" t="s">
        <v>149</v>
      </c>
      <c r="C83" s="11" t="s">
        <v>76</v>
      </c>
      <c r="D83" s="11">
        <v>100</v>
      </c>
      <c r="E83" s="11">
        <v>30</v>
      </c>
      <c r="F83" s="20">
        <f>([1]innoculation!$D$20*2)/1000</f>
        <v>1334.64</v>
      </c>
      <c r="G83" s="11">
        <v>2102</v>
      </c>
      <c r="H83" s="11">
        <v>1672</v>
      </c>
      <c r="I83" s="11">
        <v>2891</v>
      </c>
      <c r="J83" s="11">
        <v>3614</v>
      </c>
      <c r="K83" s="11">
        <v>4549</v>
      </c>
      <c r="L83" s="11"/>
      <c r="M83" s="11">
        <v>9946</v>
      </c>
      <c r="N83" s="11">
        <v>20199</v>
      </c>
      <c r="O83" s="11">
        <v>31155</v>
      </c>
      <c r="P83" s="11">
        <f>3352*20</f>
        <v>67040</v>
      </c>
      <c r="Q83" s="11">
        <f>5206*20</f>
        <v>104120</v>
      </c>
      <c r="R83" s="11">
        <f>8859*20</f>
        <v>177180</v>
      </c>
      <c r="S83" s="11">
        <f>13586*20</f>
        <v>271720</v>
      </c>
      <c r="T83" s="11">
        <f>19708*20</f>
        <v>394160</v>
      </c>
      <c r="U83" s="11">
        <f>28323*20</f>
        <v>566460</v>
      </c>
      <c r="V83" s="11">
        <f>31747*20</f>
        <v>634940</v>
      </c>
      <c r="W83" s="11">
        <f>40988*20</f>
        <v>819760</v>
      </c>
      <c r="Y83"/>
    </row>
    <row r="84" spans="1:25" x14ac:dyDescent="0.2">
      <c r="A84" s="24" t="s">
        <v>105</v>
      </c>
      <c r="B84" s="24" t="s">
        <v>149</v>
      </c>
      <c r="C84" s="11" t="s">
        <v>76</v>
      </c>
      <c r="D84" s="11">
        <v>100</v>
      </c>
      <c r="E84" s="11">
        <v>30</v>
      </c>
      <c r="F84" s="20">
        <f>([1]innoculation!$D$20*2)/1000</f>
        <v>1334.64</v>
      </c>
      <c r="G84" s="11">
        <v>2192</v>
      </c>
      <c r="H84" s="11">
        <v>1945</v>
      </c>
      <c r="I84" s="11">
        <v>2878</v>
      </c>
      <c r="J84" s="11">
        <v>3655</v>
      </c>
      <c r="K84" s="11">
        <v>4466</v>
      </c>
      <c r="L84" s="11"/>
      <c r="M84" s="11">
        <v>9997</v>
      </c>
      <c r="N84" s="11">
        <v>20039</v>
      </c>
      <c r="O84" s="11">
        <v>31333</v>
      </c>
      <c r="P84" s="11">
        <f>3399*20</f>
        <v>67980</v>
      </c>
      <c r="Q84" s="11">
        <f>5283*20</f>
        <v>105660</v>
      </c>
      <c r="R84" s="11">
        <f>8762*20</f>
        <v>175240</v>
      </c>
      <c r="S84" s="11">
        <f>14335*20</f>
        <v>286700</v>
      </c>
      <c r="T84" s="11">
        <f>19398*20</f>
        <v>387960</v>
      </c>
      <c r="U84" s="11">
        <f>28050*20</f>
        <v>561000</v>
      </c>
      <c r="V84" s="11">
        <f>31636*20</f>
        <v>632720</v>
      </c>
      <c r="W84" s="11">
        <f>41028*20</f>
        <v>820560</v>
      </c>
      <c r="Y84"/>
    </row>
    <row r="85" spans="1:25" x14ac:dyDescent="0.2">
      <c r="A85" s="24" t="s">
        <v>105</v>
      </c>
      <c r="B85" s="24" t="s">
        <v>149</v>
      </c>
      <c r="C85" s="11" t="s">
        <v>76</v>
      </c>
      <c r="D85" s="11">
        <v>100</v>
      </c>
      <c r="E85" s="11">
        <v>30</v>
      </c>
      <c r="F85" s="20">
        <f>([1]innoculation!$D$20*2)/1000</f>
        <v>1334.64</v>
      </c>
      <c r="G85" s="11">
        <v>2161</v>
      </c>
      <c r="H85" s="11">
        <v>1602</v>
      </c>
      <c r="I85" s="11">
        <v>2922</v>
      </c>
      <c r="J85" s="11">
        <v>3548</v>
      </c>
      <c r="K85" s="11">
        <v>4405</v>
      </c>
      <c r="L85" s="11"/>
      <c r="M85" s="11">
        <v>9880</v>
      </c>
      <c r="N85" s="11">
        <v>20045</v>
      </c>
      <c r="O85" s="11">
        <v>30944</v>
      </c>
      <c r="P85" s="11">
        <f>3313*20</f>
        <v>66260</v>
      </c>
      <c r="Q85" s="11">
        <f>5333*20</f>
        <v>106660</v>
      </c>
      <c r="R85" s="11">
        <f>8761*20</f>
        <v>175220</v>
      </c>
      <c r="S85" s="11">
        <f>12450*20</f>
        <v>249000</v>
      </c>
      <c r="T85" s="11">
        <f>19531*20</f>
        <v>390620</v>
      </c>
      <c r="U85" s="11">
        <f>27862*20</f>
        <v>557240</v>
      </c>
      <c r="V85" s="11">
        <f>31816*20</f>
        <v>636320</v>
      </c>
      <c r="W85" s="11">
        <f>40807*20</f>
        <v>816140</v>
      </c>
      <c r="Y85"/>
    </row>
    <row r="86" spans="1:25" x14ac:dyDescent="0.2">
      <c r="A86" s="24" t="s">
        <v>106</v>
      </c>
      <c r="B86" s="24" t="s">
        <v>149</v>
      </c>
      <c r="C86" s="11" t="s">
        <v>76</v>
      </c>
      <c r="D86" s="11">
        <v>100</v>
      </c>
      <c r="E86" s="11">
        <v>30</v>
      </c>
      <c r="F86" s="20">
        <f>([1]innoculation!$D$20*2)/1000</f>
        <v>1334.64</v>
      </c>
      <c r="G86" s="11">
        <v>1924</v>
      </c>
      <c r="H86" s="11">
        <v>1999</v>
      </c>
      <c r="I86" s="11">
        <v>2194</v>
      </c>
      <c r="J86" s="11">
        <v>1808</v>
      </c>
      <c r="K86" s="11">
        <v>1869</v>
      </c>
      <c r="L86" s="11"/>
      <c r="M86" s="11">
        <v>1854</v>
      </c>
      <c r="N86" s="11">
        <v>2529</v>
      </c>
      <c r="O86" s="11">
        <v>4347</v>
      </c>
      <c r="P86" s="11">
        <f>581*20</f>
        <v>11620</v>
      </c>
      <c r="Q86" s="11">
        <v>10563</v>
      </c>
      <c r="R86" s="11">
        <v>18461</v>
      </c>
      <c r="S86" s="11">
        <v>31742</v>
      </c>
      <c r="T86" s="11">
        <v>48734</v>
      </c>
      <c r="U86" s="11">
        <f>5053*20</f>
        <v>101060</v>
      </c>
      <c r="V86" s="11">
        <f>6801*20</f>
        <v>136020</v>
      </c>
      <c r="W86" s="11">
        <f>10893*20</f>
        <v>217860</v>
      </c>
      <c r="Y86"/>
    </row>
    <row r="87" spans="1:25" x14ac:dyDescent="0.2">
      <c r="A87" s="24" t="s">
        <v>106</v>
      </c>
      <c r="B87" s="24" t="s">
        <v>149</v>
      </c>
      <c r="C87" s="11" t="s">
        <v>76</v>
      </c>
      <c r="D87" s="11">
        <v>100</v>
      </c>
      <c r="E87" s="11">
        <v>30</v>
      </c>
      <c r="F87" s="20">
        <f>([1]innoculation!$D$20*2)/1000</f>
        <v>1334.64</v>
      </c>
      <c r="G87" s="11">
        <v>2021</v>
      </c>
      <c r="H87" s="11">
        <v>2005</v>
      </c>
      <c r="I87" s="11">
        <v>2176</v>
      </c>
      <c r="J87" s="11">
        <v>1835</v>
      </c>
      <c r="K87" s="11">
        <v>1825</v>
      </c>
      <c r="L87" s="11"/>
      <c r="M87" s="11">
        <v>1719</v>
      </c>
      <c r="N87" s="11">
        <v>2561</v>
      </c>
      <c r="O87" s="11">
        <v>4239</v>
      </c>
      <c r="P87" s="11">
        <f>591*20</f>
        <v>11820</v>
      </c>
      <c r="Q87" s="11">
        <v>10439</v>
      </c>
      <c r="R87" s="11">
        <v>18463</v>
      </c>
      <c r="S87" s="11">
        <v>31262</v>
      </c>
      <c r="T87" s="11">
        <v>48722</v>
      </c>
      <c r="U87" s="11">
        <f>5754*20</f>
        <v>115080</v>
      </c>
      <c r="V87" s="11">
        <f>6775*20</f>
        <v>135500</v>
      </c>
      <c r="W87" s="11">
        <f>10655*20</f>
        <v>213100</v>
      </c>
      <c r="Y87"/>
    </row>
    <row r="88" spans="1:25" x14ac:dyDescent="0.2">
      <c r="A88" s="24" t="s">
        <v>106</v>
      </c>
      <c r="B88" s="24" t="s">
        <v>149</v>
      </c>
      <c r="C88" s="11" t="s">
        <v>76</v>
      </c>
      <c r="D88" s="11">
        <v>100</v>
      </c>
      <c r="E88" s="11">
        <v>30</v>
      </c>
      <c r="F88" s="20">
        <f>([1]innoculation!$D$20*2)/1000</f>
        <v>1334.64</v>
      </c>
      <c r="G88" s="11">
        <v>2017</v>
      </c>
      <c r="H88" s="11">
        <v>2004</v>
      </c>
      <c r="I88" s="11">
        <v>2050</v>
      </c>
      <c r="J88" s="11">
        <v>1809</v>
      </c>
      <c r="K88" s="11">
        <v>1778</v>
      </c>
      <c r="L88" s="11"/>
      <c r="M88" s="11">
        <v>1786</v>
      </c>
      <c r="N88" s="11">
        <v>2605</v>
      </c>
      <c r="O88" s="11">
        <v>4259</v>
      </c>
      <c r="P88" s="11">
        <f>551*20</f>
        <v>11020</v>
      </c>
      <c r="Q88" s="11">
        <v>10359</v>
      </c>
      <c r="R88" s="11">
        <v>18377</v>
      </c>
      <c r="S88" s="11">
        <v>31231</v>
      </c>
      <c r="T88" s="11">
        <v>48772</v>
      </c>
      <c r="U88" s="11">
        <f>5744*20</f>
        <v>114880</v>
      </c>
      <c r="V88" s="11">
        <f>6678*20</f>
        <v>133560</v>
      </c>
      <c r="W88" s="11">
        <f>10728*20</f>
        <v>214560</v>
      </c>
      <c r="Y88"/>
    </row>
    <row r="89" spans="1:25" x14ac:dyDescent="0.2">
      <c r="A89" s="24" t="s">
        <v>107</v>
      </c>
      <c r="B89" s="24" t="s">
        <v>149</v>
      </c>
      <c r="C89" s="11" t="s">
        <v>76</v>
      </c>
      <c r="D89" s="11">
        <v>100</v>
      </c>
      <c r="E89" s="11">
        <v>30</v>
      </c>
      <c r="F89" s="20">
        <f>([1]innoculation!$D$20*2)/1000</f>
        <v>1334.64</v>
      </c>
      <c r="G89" s="11">
        <v>1929</v>
      </c>
      <c r="H89" s="11">
        <v>1747</v>
      </c>
      <c r="I89" s="11">
        <v>1444</v>
      </c>
      <c r="J89" s="11">
        <v>1736</v>
      </c>
      <c r="K89" s="11">
        <v>1287</v>
      </c>
      <c r="L89" s="11"/>
      <c r="M89" s="11">
        <v>1194</v>
      </c>
      <c r="N89" s="11">
        <v>1439</v>
      </c>
      <c r="O89" s="11">
        <v>1738</v>
      </c>
      <c r="P89" s="11">
        <v>1938</v>
      </c>
      <c r="Q89" s="11">
        <v>2750</v>
      </c>
      <c r="R89" s="11">
        <v>3899</v>
      </c>
      <c r="S89" s="11">
        <v>5422</v>
      </c>
      <c r="T89" s="11">
        <v>8074</v>
      </c>
      <c r="U89" s="11">
        <v>14589</v>
      </c>
      <c r="V89" s="11">
        <v>16812</v>
      </c>
      <c r="W89" s="11">
        <v>19452</v>
      </c>
      <c r="Y89"/>
    </row>
    <row r="90" spans="1:25" x14ac:dyDescent="0.2">
      <c r="A90" s="24" t="s">
        <v>107</v>
      </c>
      <c r="B90" s="24" t="s">
        <v>149</v>
      </c>
      <c r="C90" s="11" t="s">
        <v>76</v>
      </c>
      <c r="D90" s="11">
        <v>100</v>
      </c>
      <c r="E90" s="11">
        <v>30</v>
      </c>
      <c r="F90" s="20">
        <f>([1]innoculation!$D$20*2)/1000</f>
        <v>1334.64</v>
      </c>
      <c r="G90" s="11">
        <v>1975</v>
      </c>
      <c r="H90" s="11">
        <v>1741</v>
      </c>
      <c r="I90" s="11">
        <v>1445</v>
      </c>
      <c r="J90" s="11">
        <v>1832</v>
      </c>
      <c r="K90" s="11">
        <v>1166</v>
      </c>
      <c r="L90" s="11"/>
      <c r="M90" s="11">
        <v>1178</v>
      </c>
      <c r="N90" s="11">
        <v>1545</v>
      </c>
      <c r="O90" s="11">
        <v>1781</v>
      </c>
      <c r="P90" s="11">
        <v>1921</v>
      </c>
      <c r="Q90" s="11">
        <v>2578</v>
      </c>
      <c r="R90" s="11">
        <v>4016</v>
      </c>
      <c r="S90" s="11">
        <v>5464</v>
      </c>
      <c r="T90" s="11">
        <v>7983</v>
      </c>
      <c r="U90" s="11">
        <v>14800</v>
      </c>
      <c r="V90" s="11">
        <v>16788</v>
      </c>
      <c r="W90" s="11">
        <v>19688</v>
      </c>
      <c r="Y90"/>
    </row>
    <row r="91" spans="1:25" x14ac:dyDescent="0.2">
      <c r="A91" s="24" t="s">
        <v>107</v>
      </c>
      <c r="B91" s="24" t="s">
        <v>149</v>
      </c>
      <c r="C91" s="11" t="s">
        <v>76</v>
      </c>
      <c r="D91" s="11">
        <v>100</v>
      </c>
      <c r="E91" s="11">
        <v>30</v>
      </c>
      <c r="F91" s="20">
        <f>([1]innoculation!$D$20*2)/1000</f>
        <v>1334.64</v>
      </c>
      <c r="G91" s="11">
        <v>1968</v>
      </c>
      <c r="H91" s="11">
        <v>1795</v>
      </c>
      <c r="I91" s="11">
        <v>1417</v>
      </c>
      <c r="J91" s="11">
        <v>1757</v>
      </c>
      <c r="K91" s="11">
        <v>1236</v>
      </c>
      <c r="L91" s="11"/>
      <c r="M91" s="11">
        <v>1179</v>
      </c>
      <c r="N91" s="11">
        <v>1562</v>
      </c>
      <c r="O91" s="11">
        <v>1661</v>
      </c>
      <c r="P91" s="11">
        <v>1923</v>
      </c>
      <c r="Q91" s="11">
        <v>2701</v>
      </c>
      <c r="R91" s="11">
        <v>3971</v>
      </c>
      <c r="S91" s="11">
        <v>5496</v>
      </c>
      <c r="T91" s="11">
        <v>7918</v>
      </c>
      <c r="U91" s="11">
        <v>14941</v>
      </c>
      <c r="V91" s="11">
        <v>16985</v>
      </c>
      <c r="W91" s="11">
        <v>19627</v>
      </c>
      <c r="Y91"/>
    </row>
    <row r="92" spans="1:25" x14ac:dyDescent="0.2">
      <c r="A92" s="24" t="s">
        <v>108</v>
      </c>
      <c r="B92" s="24" t="s">
        <v>150</v>
      </c>
      <c r="C92" s="11" t="s">
        <v>80</v>
      </c>
      <c r="D92" s="11">
        <v>50</v>
      </c>
      <c r="E92" s="11">
        <v>30</v>
      </c>
      <c r="F92" s="20">
        <f>([1]innoculation!$D$22*3)/1000</f>
        <v>1244.07</v>
      </c>
      <c r="G92" s="11">
        <v>1607</v>
      </c>
      <c r="H92" s="11">
        <v>2592</v>
      </c>
      <c r="I92" s="11">
        <v>2102</v>
      </c>
      <c r="J92" s="11">
        <v>1828</v>
      </c>
      <c r="K92" s="11">
        <v>1478</v>
      </c>
      <c r="L92" s="11"/>
      <c r="M92" s="11">
        <v>2701</v>
      </c>
      <c r="N92" s="11">
        <v>5910</v>
      </c>
      <c r="O92" s="11">
        <v>14925</v>
      </c>
      <c r="P92" s="11">
        <v>37915</v>
      </c>
      <c r="Q92" s="11">
        <v>70875</v>
      </c>
      <c r="R92" s="11">
        <f>6605*20</f>
        <v>132100</v>
      </c>
      <c r="S92" s="11">
        <f>16410*20</f>
        <v>328200</v>
      </c>
      <c r="U92" s="11"/>
      <c r="V92" s="11"/>
      <c r="W92" s="11"/>
      <c r="Y92"/>
    </row>
    <row r="93" spans="1:25" x14ac:dyDescent="0.2">
      <c r="A93" s="24" t="s">
        <v>108</v>
      </c>
      <c r="B93" s="24" t="s">
        <v>150</v>
      </c>
      <c r="C93" s="11" t="s">
        <v>80</v>
      </c>
      <c r="D93" s="11">
        <v>50</v>
      </c>
      <c r="E93" s="11">
        <v>30</v>
      </c>
      <c r="F93" s="20">
        <f>([1]innoculation!$D$22*3)/1000</f>
        <v>1244.07</v>
      </c>
      <c r="G93" s="11">
        <v>1711</v>
      </c>
      <c r="H93" s="11">
        <v>2458</v>
      </c>
      <c r="I93" s="11">
        <v>2094</v>
      </c>
      <c r="J93" s="11">
        <v>1791</v>
      </c>
      <c r="K93" s="11">
        <v>1579</v>
      </c>
      <c r="L93" s="11"/>
      <c r="M93" s="11">
        <v>2584</v>
      </c>
      <c r="N93" s="11">
        <v>5430</v>
      </c>
      <c r="O93" s="11">
        <v>14460</v>
      </c>
      <c r="P93" s="11">
        <v>37255</v>
      </c>
      <c r="Q93" s="11">
        <v>69175</v>
      </c>
      <c r="R93" s="11">
        <f>6546*20</f>
        <v>130920</v>
      </c>
      <c r="S93" s="11">
        <f>16813*20</f>
        <v>336260</v>
      </c>
      <c r="U93" s="11"/>
      <c r="V93" s="11"/>
      <c r="W93" s="11"/>
      <c r="Y93"/>
    </row>
    <row r="94" spans="1:25" x14ac:dyDescent="0.2">
      <c r="A94" s="24" t="s">
        <v>108</v>
      </c>
      <c r="B94" s="24" t="s">
        <v>150</v>
      </c>
      <c r="C94" s="11" t="s">
        <v>80</v>
      </c>
      <c r="D94" s="11">
        <v>50</v>
      </c>
      <c r="E94" s="11">
        <v>30</v>
      </c>
      <c r="F94" s="20">
        <f>([1]innoculation!$D$22*3)/1000</f>
        <v>1244.07</v>
      </c>
      <c r="G94" s="11">
        <v>1610</v>
      </c>
      <c r="H94" s="11">
        <v>2463</v>
      </c>
      <c r="I94" s="11">
        <v>2033</v>
      </c>
      <c r="J94" s="11">
        <v>1826</v>
      </c>
      <c r="K94" s="11">
        <v>1606</v>
      </c>
      <c r="L94" s="11"/>
      <c r="M94" s="11">
        <v>2622</v>
      </c>
      <c r="N94" s="11">
        <v>5306</v>
      </c>
      <c r="O94" s="11">
        <v>14179</v>
      </c>
      <c r="P94" s="11">
        <v>36770</v>
      </c>
      <c r="Q94" s="11">
        <v>70031</v>
      </c>
      <c r="R94" s="11">
        <f>6551*20</f>
        <v>131020</v>
      </c>
      <c r="S94" s="11">
        <f>16445*20</f>
        <v>328900</v>
      </c>
      <c r="U94" s="11"/>
      <c r="V94" s="11"/>
      <c r="W94" s="11"/>
      <c r="Y94"/>
    </row>
    <row r="95" spans="1:25" x14ac:dyDescent="0.2">
      <c r="A95" s="24" t="s">
        <v>109</v>
      </c>
      <c r="B95" s="24" t="s">
        <v>150</v>
      </c>
      <c r="C95" s="11" t="s">
        <v>80</v>
      </c>
      <c r="D95" s="11">
        <v>50</v>
      </c>
      <c r="E95" s="11">
        <v>30</v>
      </c>
      <c r="F95" s="20">
        <f>([1]innoculation!$D$22*3)/1000</f>
        <v>1244.07</v>
      </c>
      <c r="G95" s="11">
        <v>1831</v>
      </c>
      <c r="H95" s="11">
        <v>2324</v>
      </c>
      <c r="I95" s="11">
        <v>1818</v>
      </c>
      <c r="J95" s="11">
        <v>1514</v>
      </c>
      <c r="K95" s="11">
        <v>1457</v>
      </c>
      <c r="L95" s="11"/>
      <c r="M95" s="11">
        <v>4944</v>
      </c>
      <c r="N95" s="11">
        <v>13388</v>
      </c>
      <c r="O95" s="11">
        <v>38053</v>
      </c>
      <c r="P95" s="11">
        <f>7098*20</f>
        <v>141960</v>
      </c>
      <c r="Q95" s="11">
        <f>7911*20</f>
        <v>158220</v>
      </c>
      <c r="R95" s="11">
        <f>12478*20</f>
        <v>249560</v>
      </c>
      <c r="S95" s="11">
        <f>19012*20</f>
        <v>380240</v>
      </c>
      <c r="U95" s="11"/>
      <c r="V95" s="11"/>
      <c r="W95" s="11"/>
      <c r="Y95"/>
    </row>
    <row r="96" spans="1:25" x14ac:dyDescent="0.2">
      <c r="A96" s="24" t="s">
        <v>109</v>
      </c>
      <c r="B96" s="24" t="s">
        <v>150</v>
      </c>
      <c r="C96" s="11" t="s">
        <v>80</v>
      </c>
      <c r="D96" s="11">
        <v>50</v>
      </c>
      <c r="E96" s="11">
        <v>30</v>
      </c>
      <c r="F96" s="20">
        <f>([1]innoculation!$D$22*3)/1000</f>
        <v>1244.07</v>
      </c>
      <c r="G96" s="11">
        <v>1836</v>
      </c>
      <c r="H96" s="11">
        <v>2338</v>
      </c>
      <c r="I96" s="11">
        <v>1940</v>
      </c>
      <c r="J96" s="11">
        <v>1485</v>
      </c>
      <c r="K96" s="11">
        <v>1525</v>
      </c>
      <c r="L96" s="11"/>
      <c r="M96" s="11">
        <v>4967</v>
      </c>
      <c r="N96" s="11">
        <v>13116</v>
      </c>
      <c r="O96" s="11">
        <v>37726</v>
      </c>
      <c r="P96" s="11">
        <f>7036*20</f>
        <v>140720</v>
      </c>
      <c r="Q96" s="11">
        <f>8114*20</f>
        <v>162280</v>
      </c>
      <c r="R96" s="11">
        <f>12320*20</f>
        <v>246400</v>
      </c>
      <c r="S96" s="11">
        <f>18964*20</f>
        <v>379280</v>
      </c>
      <c r="U96" s="11"/>
      <c r="V96" s="11"/>
      <c r="W96" s="11"/>
      <c r="Y96"/>
    </row>
    <row r="97" spans="1:25" x14ac:dyDescent="0.2">
      <c r="A97" s="24" t="s">
        <v>109</v>
      </c>
      <c r="B97" s="24" t="s">
        <v>150</v>
      </c>
      <c r="C97" s="11" t="s">
        <v>80</v>
      </c>
      <c r="D97" s="11">
        <v>50</v>
      </c>
      <c r="E97" s="11">
        <v>30</v>
      </c>
      <c r="F97" s="20">
        <f>([1]innoculation!$D$22*3)/1000</f>
        <v>1244.07</v>
      </c>
      <c r="G97" s="11">
        <v>1843</v>
      </c>
      <c r="H97" s="11">
        <v>2318</v>
      </c>
      <c r="I97" s="11">
        <v>1805</v>
      </c>
      <c r="J97" s="11">
        <v>1529</v>
      </c>
      <c r="K97" s="11">
        <v>1531</v>
      </c>
      <c r="L97" s="11"/>
      <c r="M97" s="11">
        <v>4910</v>
      </c>
      <c r="N97" s="11">
        <v>13768</v>
      </c>
      <c r="O97" s="11">
        <v>40215</v>
      </c>
      <c r="P97" s="11">
        <f>7121*20</f>
        <v>142420</v>
      </c>
      <c r="Q97" s="11">
        <f>8132*20</f>
        <v>162640</v>
      </c>
      <c r="R97" s="11">
        <f>12386*20</f>
        <v>247720</v>
      </c>
      <c r="S97" s="11">
        <f>18840*20</f>
        <v>376800</v>
      </c>
      <c r="U97" s="11"/>
      <c r="V97" s="11"/>
      <c r="W97" s="11"/>
      <c r="Y97"/>
    </row>
    <row r="98" spans="1:25" x14ac:dyDescent="0.2">
      <c r="A98" s="24" t="s">
        <v>110</v>
      </c>
      <c r="B98" s="24" t="s">
        <v>150</v>
      </c>
      <c r="C98" s="11" t="s">
        <v>80</v>
      </c>
      <c r="D98" s="11">
        <v>50</v>
      </c>
      <c r="E98" s="11">
        <v>30</v>
      </c>
      <c r="F98" s="20">
        <f>([1]innoculation!$D$22*3)/1000</f>
        <v>1244.07</v>
      </c>
      <c r="G98" s="11">
        <v>1861</v>
      </c>
      <c r="H98" s="11">
        <v>2125</v>
      </c>
      <c r="I98" s="11">
        <v>1257</v>
      </c>
      <c r="J98" s="11">
        <v>1138</v>
      </c>
      <c r="K98" s="11">
        <v>1008</v>
      </c>
      <c r="L98" s="11"/>
      <c r="M98" s="11">
        <v>2495</v>
      </c>
      <c r="N98" s="11">
        <v>6752</v>
      </c>
      <c r="O98" s="11">
        <v>15788</v>
      </c>
      <c r="P98" s="11">
        <v>43822</v>
      </c>
      <c r="Q98" s="11">
        <v>96628</v>
      </c>
      <c r="R98" s="11">
        <f>10080*20</f>
        <v>201600</v>
      </c>
      <c r="S98" s="11">
        <f>15468*20</f>
        <v>309360</v>
      </c>
      <c r="U98" s="11"/>
      <c r="V98" s="11"/>
      <c r="W98" s="11"/>
      <c r="Y98"/>
    </row>
    <row r="99" spans="1:25" x14ac:dyDescent="0.2">
      <c r="A99" s="24" t="s">
        <v>110</v>
      </c>
      <c r="B99" s="24" t="s">
        <v>150</v>
      </c>
      <c r="C99" s="11" t="s">
        <v>80</v>
      </c>
      <c r="D99" s="11">
        <v>50</v>
      </c>
      <c r="E99" s="11">
        <v>30</v>
      </c>
      <c r="F99" s="20">
        <f>([1]innoculation!$D$22*3)/1000</f>
        <v>1244.07</v>
      </c>
      <c r="G99" s="11">
        <v>1881</v>
      </c>
      <c r="H99" s="11">
        <v>2166</v>
      </c>
      <c r="I99" s="11">
        <v>1228</v>
      </c>
      <c r="J99" s="11">
        <v>1033</v>
      </c>
      <c r="K99" s="11">
        <v>996</v>
      </c>
      <c r="L99" s="11"/>
      <c r="M99" s="11">
        <v>2437</v>
      </c>
      <c r="N99" s="11">
        <v>6834</v>
      </c>
      <c r="O99" s="11">
        <v>16148</v>
      </c>
      <c r="P99" s="11">
        <v>45748</v>
      </c>
      <c r="Q99" s="11">
        <v>95670</v>
      </c>
      <c r="R99" s="11">
        <f>10117*20</f>
        <v>202340</v>
      </c>
      <c r="S99" s="11">
        <f>15269*20</f>
        <v>305380</v>
      </c>
      <c r="U99" s="11"/>
      <c r="V99" s="11"/>
      <c r="W99" s="11"/>
      <c r="Y99"/>
    </row>
    <row r="100" spans="1:25" x14ac:dyDescent="0.2">
      <c r="A100" s="24" t="s">
        <v>110</v>
      </c>
      <c r="B100" s="24" t="s">
        <v>150</v>
      </c>
      <c r="C100" s="11" t="s">
        <v>80</v>
      </c>
      <c r="D100" s="11">
        <v>50</v>
      </c>
      <c r="E100" s="11">
        <v>30</v>
      </c>
      <c r="F100" s="20">
        <f>([1]innoculation!$D$22*3)/1000</f>
        <v>1244.07</v>
      </c>
      <c r="G100" s="11">
        <v>1859</v>
      </c>
      <c r="H100" s="11">
        <v>2132</v>
      </c>
      <c r="I100" s="11">
        <v>1217</v>
      </c>
      <c r="J100" s="11">
        <v>1055</v>
      </c>
      <c r="K100" s="11">
        <v>984</v>
      </c>
      <c r="L100" s="11"/>
      <c r="M100" s="11">
        <v>2376</v>
      </c>
      <c r="N100" s="11">
        <v>6406</v>
      </c>
      <c r="O100" s="11">
        <v>15564</v>
      </c>
      <c r="P100" s="11">
        <v>44798</v>
      </c>
      <c r="Q100" s="11">
        <v>95960</v>
      </c>
      <c r="R100" s="11">
        <f>10038*20</f>
        <v>200760</v>
      </c>
      <c r="S100" s="11">
        <f>15195*20</f>
        <v>303900</v>
      </c>
      <c r="U100" s="11"/>
      <c r="V100" s="11"/>
      <c r="W100" s="11"/>
      <c r="Y100"/>
    </row>
    <row r="101" spans="1:25" x14ac:dyDescent="0.2">
      <c r="A101" s="23" t="s">
        <v>111</v>
      </c>
      <c r="B101" s="23" t="s">
        <v>151</v>
      </c>
      <c r="C101" s="13" t="s">
        <v>80</v>
      </c>
      <c r="D101" s="13">
        <v>100</v>
      </c>
      <c r="E101" s="13">
        <v>30</v>
      </c>
      <c r="F101" s="14">
        <f>([1]innoculation!$D$23*3.5)/1000</f>
        <v>1372.21</v>
      </c>
      <c r="G101" s="13">
        <v>1788</v>
      </c>
      <c r="H101" s="13">
        <v>1661</v>
      </c>
      <c r="I101" s="13">
        <v>1983</v>
      </c>
      <c r="J101" s="13">
        <v>1267</v>
      </c>
      <c r="K101" s="13">
        <v>1257</v>
      </c>
      <c r="L101" s="13"/>
      <c r="M101" s="13">
        <v>1809</v>
      </c>
      <c r="N101" s="13">
        <v>3570</v>
      </c>
      <c r="O101" s="13">
        <v>8276</v>
      </c>
      <c r="P101" s="13">
        <v>16584</v>
      </c>
      <c r="Q101" s="13">
        <v>37218</v>
      </c>
      <c r="R101" s="13">
        <f>4039*20</f>
        <v>80780</v>
      </c>
      <c r="S101" s="13">
        <f>6757*20</f>
        <v>135140</v>
      </c>
      <c r="T101" s="13">
        <f>12295*20</f>
        <v>245900</v>
      </c>
      <c r="U101" s="13"/>
      <c r="V101" s="13"/>
      <c r="W101" s="13"/>
      <c r="Y101"/>
    </row>
    <row r="102" spans="1:25" x14ac:dyDescent="0.2">
      <c r="A102" s="23" t="s">
        <v>111</v>
      </c>
      <c r="B102" s="23" t="s">
        <v>151</v>
      </c>
      <c r="C102" s="13" t="s">
        <v>80</v>
      </c>
      <c r="D102" s="13">
        <v>100</v>
      </c>
      <c r="E102" s="13">
        <v>30</v>
      </c>
      <c r="F102" s="14">
        <f>([1]innoculation!$D$23*3.5)/1000</f>
        <v>1372.21</v>
      </c>
      <c r="G102" s="13">
        <v>1834</v>
      </c>
      <c r="H102" s="13">
        <v>1643</v>
      </c>
      <c r="I102" s="13">
        <v>1978</v>
      </c>
      <c r="J102" s="13">
        <v>1217</v>
      </c>
      <c r="K102" s="13">
        <v>1171</v>
      </c>
      <c r="L102" s="13"/>
      <c r="M102" s="13">
        <v>1739</v>
      </c>
      <c r="N102" s="13">
        <v>3600</v>
      </c>
      <c r="O102" s="13">
        <v>8114</v>
      </c>
      <c r="P102" s="13">
        <v>16902</v>
      </c>
      <c r="Q102" s="13">
        <v>36766</v>
      </c>
      <c r="R102" s="13">
        <f>4120*20</f>
        <v>82400</v>
      </c>
      <c r="S102" s="13">
        <f>6749*20</f>
        <v>134980</v>
      </c>
      <c r="T102" s="13">
        <f>12404*20</f>
        <v>248080</v>
      </c>
      <c r="U102" s="13"/>
      <c r="V102" s="13"/>
      <c r="W102" s="13"/>
      <c r="Y102"/>
    </row>
    <row r="103" spans="1:25" x14ac:dyDescent="0.2">
      <c r="A103" s="23" t="s">
        <v>111</v>
      </c>
      <c r="B103" s="23" t="s">
        <v>151</v>
      </c>
      <c r="C103" s="13" t="s">
        <v>80</v>
      </c>
      <c r="D103" s="13">
        <v>100</v>
      </c>
      <c r="E103" s="13">
        <v>30</v>
      </c>
      <c r="F103" s="14">
        <f>([1]innoculation!$D$23*3.5)/1000</f>
        <v>1372.21</v>
      </c>
      <c r="G103" s="13">
        <v>1730</v>
      </c>
      <c r="H103" s="13">
        <v>1615</v>
      </c>
      <c r="I103" s="13">
        <v>1887</v>
      </c>
      <c r="J103" s="13">
        <v>1232</v>
      </c>
      <c r="K103" s="13">
        <v>1179</v>
      </c>
      <c r="L103" s="13"/>
      <c r="M103" s="13">
        <v>1704</v>
      </c>
      <c r="N103" s="13">
        <v>3774</v>
      </c>
      <c r="O103" s="13">
        <v>9143</v>
      </c>
      <c r="P103" s="13">
        <v>16823</v>
      </c>
      <c r="Q103" s="13">
        <v>36403</v>
      </c>
      <c r="R103" s="13">
        <f>4031*20</f>
        <v>80620</v>
      </c>
      <c r="S103" s="13">
        <f>6797*20</f>
        <v>135940</v>
      </c>
      <c r="T103" s="13">
        <f>11987*20</f>
        <v>239740</v>
      </c>
      <c r="U103" s="13"/>
      <c r="V103" s="13"/>
      <c r="W103" s="13"/>
      <c r="Y103"/>
    </row>
    <row r="104" spans="1:25" x14ac:dyDescent="0.2">
      <c r="A104" s="23" t="s">
        <v>112</v>
      </c>
      <c r="B104" s="23" t="s">
        <v>151</v>
      </c>
      <c r="C104" s="13" t="s">
        <v>80</v>
      </c>
      <c r="D104" s="13">
        <v>100</v>
      </c>
      <c r="E104" s="13">
        <v>30</v>
      </c>
      <c r="F104" s="14">
        <f>([1]innoculation!$D$23*3.5)/1000</f>
        <v>1372.21</v>
      </c>
      <c r="G104" s="13">
        <v>1443</v>
      </c>
      <c r="H104" s="13">
        <v>2168</v>
      </c>
      <c r="I104" s="13">
        <v>2341</v>
      </c>
      <c r="J104" s="13">
        <v>1429</v>
      </c>
      <c r="K104" s="13">
        <v>993</v>
      </c>
      <c r="L104" s="13"/>
      <c r="M104" s="13">
        <v>1918</v>
      </c>
      <c r="N104" s="13">
        <v>3374</v>
      </c>
      <c r="O104" s="13">
        <v>7981</v>
      </c>
      <c r="P104" s="13">
        <v>17016</v>
      </c>
      <c r="Q104" s="13">
        <v>36275</v>
      </c>
      <c r="R104" s="13">
        <f>3686*20</f>
        <v>73720</v>
      </c>
      <c r="S104" s="13">
        <f>6111*20</f>
        <v>122220</v>
      </c>
      <c r="T104" s="13">
        <f>10717*20</f>
        <v>214340</v>
      </c>
      <c r="U104" s="13"/>
      <c r="V104" s="13"/>
      <c r="W104" s="13"/>
      <c r="Y104"/>
    </row>
    <row r="105" spans="1:25" x14ac:dyDescent="0.2">
      <c r="A105" s="23" t="s">
        <v>112</v>
      </c>
      <c r="B105" s="23" t="s">
        <v>151</v>
      </c>
      <c r="C105" s="13" t="s">
        <v>80</v>
      </c>
      <c r="D105" s="13">
        <v>100</v>
      </c>
      <c r="E105" s="13">
        <v>30</v>
      </c>
      <c r="F105" s="14">
        <f>([1]innoculation!$D$23*3.5)/1000</f>
        <v>1372.21</v>
      </c>
      <c r="G105" s="13">
        <v>1953</v>
      </c>
      <c r="H105" s="13">
        <v>2156</v>
      </c>
      <c r="I105" s="13">
        <v>2156</v>
      </c>
      <c r="J105" s="13">
        <v>1473</v>
      </c>
      <c r="K105" s="13">
        <v>976</v>
      </c>
      <c r="L105" s="13"/>
      <c r="M105" s="13">
        <v>1908</v>
      </c>
      <c r="N105" s="13">
        <v>3423</v>
      </c>
      <c r="O105" s="13">
        <v>7849</v>
      </c>
      <c r="P105" s="13">
        <v>16706</v>
      </c>
      <c r="Q105" s="13">
        <v>37357</v>
      </c>
      <c r="R105" s="13">
        <f>3584*20</f>
        <v>71680</v>
      </c>
      <c r="S105" s="13">
        <f>6134*20</f>
        <v>122680</v>
      </c>
      <c r="T105" s="13">
        <f>10811*20</f>
        <v>216220</v>
      </c>
      <c r="U105" s="13"/>
      <c r="V105" s="13"/>
      <c r="W105" s="13"/>
      <c r="Y105"/>
    </row>
    <row r="106" spans="1:25" x14ac:dyDescent="0.2">
      <c r="A106" s="23" t="s">
        <v>112</v>
      </c>
      <c r="B106" s="23" t="s">
        <v>151</v>
      </c>
      <c r="C106" s="13" t="s">
        <v>80</v>
      </c>
      <c r="D106" s="13">
        <v>100</v>
      </c>
      <c r="E106" s="13">
        <v>30</v>
      </c>
      <c r="F106" s="14">
        <f>([1]innoculation!$D$23*3.5)/1000</f>
        <v>1372.21</v>
      </c>
      <c r="G106" s="13">
        <v>1675</v>
      </c>
      <c r="H106" s="13">
        <v>2199</v>
      </c>
      <c r="I106" s="13">
        <v>2126</v>
      </c>
      <c r="J106" s="13">
        <v>1439</v>
      </c>
      <c r="K106" s="13">
        <v>995</v>
      </c>
      <c r="L106" s="13"/>
      <c r="M106" s="13">
        <v>1880</v>
      </c>
      <c r="N106" s="13">
        <v>3373</v>
      </c>
      <c r="O106" s="13">
        <v>7708</v>
      </c>
      <c r="P106" s="13">
        <v>16630</v>
      </c>
      <c r="Q106" s="13">
        <v>37403</v>
      </c>
      <c r="R106" s="13">
        <f>3673*20</f>
        <v>73460</v>
      </c>
      <c r="S106" s="13">
        <f>6153*20</f>
        <v>123060</v>
      </c>
      <c r="T106" s="13">
        <f>10749*20</f>
        <v>214980</v>
      </c>
      <c r="U106" s="13"/>
      <c r="V106" s="13"/>
      <c r="W106" s="13"/>
      <c r="Y106"/>
    </row>
    <row r="107" spans="1:25" x14ac:dyDescent="0.2">
      <c r="A107" s="23" t="s">
        <v>113</v>
      </c>
      <c r="B107" s="23" t="s">
        <v>151</v>
      </c>
      <c r="C107" s="13" t="s">
        <v>80</v>
      </c>
      <c r="D107" s="13">
        <v>100</v>
      </c>
      <c r="E107" s="13">
        <v>30</v>
      </c>
      <c r="F107" s="14">
        <f>([1]innoculation!$D$23*3.5)/1000</f>
        <v>1372.21</v>
      </c>
      <c r="G107" s="13">
        <v>1591</v>
      </c>
      <c r="H107" s="13">
        <v>2034</v>
      </c>
      <c r="I107" s="13">
        <v>2521</v>
      </c>
      <c r="J107" s="13">
        <v>1704</v>
      </c>
      <c r="K107" s="13">
        <v>1851</v>
      </c>
      <c r="L107" s="13"/>
      <c r="M107" s="13">
        <v>3437</v>
      </c>
      <c r="N107" s="13">
        <v>6666</v>
      </c>
      <c r="O107" s="13">
        <v>14143</v>
      </c>
      <c r="P107" s="13">
        <v>26170</v>
      </c>
      <c r="Q107" s="13">
        <v>47311</v>
      </c>
      <c r="R107" s="13">
        <f>4520*20</f>
        <v>90400</v>
      </c>
      <c r="S107" s="13">
        <f>7280*20</f>
        <v>145600</v>
      </c>
      <c r="T107" s="13">
        <f>15590*20</f>
        <v>311800</v>
      </c>
      <c r="U107" s="13"/>
      <c r="V107" s="13"/>
      <c r="W107" s="13"/>
      <c r="Y107"/>
    </row>
    <row r="108" spans="1:25" x14ac:dyDescent="0.2">
      <c r="A108" s="23" t="s">
        <v>113</v>
      </c>
      <c r="B108" s="23" t="s">
        <v>151</v>
      </c>
      <c r="C108" s="13" t="s">
        <v>80</v>
      </c>
      <c r="D108" s="13">
        <v>100</v>
      </c>
      <c r="E108" s="13">
        <v>30</v>
      </c>
      <c r="F108" s="14">
        <f>([1]innoculation!$D$23*3.5)/1000</f>
        <v>1372.21</v>
      </c>
      <c r="G108" s="13">
        <v>1582</v>
      </c>
      <c r="H108" s="13">
        <v>1909</v>
      </c>
      <c r="I108" s="13">
        <v>2428</v>
      </c>
      <c r="J108" s="13">
        <v>1707</v>
      </c>
      <c r="K108" s="13">
        <v>1793</v>
      </c>
      <c r="L108" s="13"/>
      <c r="M108" s="13">
        <v>3336</v>
      </c>
      <c r="N108" s="13">
        <v>6797</v>
      </c>
      <c r="O108" s="13">
        <v>13992</v>
      </c>
      <c r="P108" s="13">
        <v>26230</v>
      </c>
      <c r="Q108" s="13">
        <v>47718</v>
      </c>
      <c r="R108" s="13">
        <f>4546*20</f>
        <v>90920</v>
      </c>
      <c r="S108" s="13">
        <f>7471*20</f>
        <v>149420</v>
      </c>
      <c r="T108" s="13">
        <f>15478</f>
        <v>15478</v>
      </c>
      <c r="U108" s="22"/>
      <c r="V108" s="22"/>
      <c r="W108" s="22"/>
      <c r="Y108"/>
    </row>
    <row r="109" spans="1:25" x14ac:dyDescent="0.2">
      <c r="A109" s="23" t="s">
        <v>113</v>
      </c>
      <c r="B109" s="23" t="s">
        <v>151</v>
      </c>
      <c r="C109" s="13" t="s">
        <v>80</v>
      </c>
      <c r="D109" s="13">
        <v>100</v>
      </c>
      <c r="E109" s="13">
        <v>30</v>
      </c>
      <c r="F109" s="14">
        <f>([1]innoculation!$D$23*3.5)/1000</f>
        <v>1372.21</v>
      </c>
      <c r="G109" s="13">
        <v>1559</v>
      </c>
      <c r="H109" s="13">
        <v>1929</v>
      </c>
      <c r="I109" s="13">
        <v>2434</v>
      </c>
      <c r="J109" s="13">
        <v>1684</v>
      </c>
      <c r="K109" s="13">
        <v>1859</v>
      </c>
      <c r="L109" s="13"/>
      <c r="M109" s="13">
        <v>3117</v>
      </c>
      <c r="N109" s="13">
        <v>6847</v>
      </c>
      <c r="O109" s="13">
        <v>14676</v>
      </c>
      <c r="P109" s="13">
        <v>25943</v>
      </c>
      <c r="Q109" s="13">
        <v>47771</v>
      </c>
      <c r="R109" s="13">
        <f>4634*20</f>
        <v>92680</v>
      </c>
      <c r="S109" s="13">
        <f>7237*20</f>
        <v>144740</v>
      </c>
      <c r="T109" s="13">
        <f>15676</f>
        <v>15676</v>
      </c>
      <c r="U109" s="22"/>
      <c r="V109" s="22"/>
      <c r="W109" s="22"/>
      <c r="Y109"/>
    </row>
    <row r="110" spans="1:25" x14ac:dyDescent="0.2">
      <c r="A110" s="12" t="s">
        <v>114</v>
      </c>
      <c r="B110" s="12" t="s">
        <v>152</v>
      </c>
      <c r="C110" s="13" t="s">
        <v>76</v>
      </c>
      <c r="D110" s="13">
        <v>10</v>
      </c>
      <c r="E110" s="13">
        <v>26</v>
      </c>
      <c r="F110" s="14">
        <f>([1]innoculation!$D$26*0.7)/1000</f>
        <v>1353.0509999999999</v>
      </c>
      <c r="G110" s="13">
        <v>1865</v>
      </c>
      <c r="H110" s="13">
        <v>2352</v>
      </c>
      <c r="I110" s="13"/>
      <c r="J110" s="13">
        <v>12396</v>
      </c>
      <c r="K110" s="13">
        <v>34152</v>
      </c>
      <c r="L110" s="13">
        <f>4735*20</f>
        <v>94700</v>
      </c>
      <c r="M110" s="13">
        <f>9005*20</f>
        <v>180100</v>
      </c>
      <c r="N110" s="13">
        <f>15140*20</f>
        <v>302800</v>
      </c>
      <c r="O110" s="13">
        <f>27777*20</f>
        <v>555540</v>
      </c>
      <c r="P110" s="13">
        <f>44413*20</f>
        <v>888260</v>
      </c>
      <c r="Q110" s="13"/>
      <c r="R110" s="13"/>
      <c r="S110" s="13"/>
      <c r="T110" s="13"/>
      <c r="U110" s="13"/>
      <c r="V110" s="13"/>
      <c r="W110" s="13"/>
      <c r="Y110"/>
    </row>
    <row r="111" spans="1:25" x14ac:dyDescent="0.2">
      <c r="A111" s="12" t="s">
        <v>114</v>
      </c>
      <c r="B111" s="12" t="s">
        <v>152</v>
      </c>
      <c r="C111" s="13" t="s">
        <v>76</v>
      </c>
      <c r="D111" s="13">
        <v>10</v>
      </c>
      <c r="E111" s="13">
        <v>26</v>
      </c>
      <c r="F111" s="14">
        <f>([1]innoculation!$D$26*0.7)/1000</f>
        <v>1353.0509999999999</v>
      </c>
      <c r="G111" s="13">
        <v>1845</v>
      </c>
      <c r="H111" s="13">
        <v>2293</v>
      </c>
      <c r="I111" s="13"/>
      <c r="J111" s="13">
        <v>11256</v>
      </c>
      <c r="K111" s="13">
        <v>31910</v>
      </c>
      <c r="L111" s="13">
        <f>4495*20</f>
        <v>89900</v>
      </c>
      <c r="M111" s="13">
        <f>8458*20</f>
        <v>169160</v>
      </c>
      <c r="N111" s="13">
        <f>14647*20</f>
        <v>292940</v>
      </c>
      <c r="O111" s="13">
        <f>27312*20</f>
        <v>546240</v>
      </c>
      <c r="P111" s="13">
        <f>45301*20</f>
        <v>906020</v>
      </c>
      <c r="Q111" s="13"/>
      <c r="R111" s="13"/>
      <c r="S111" s="13"/>
      <c r="T111" s="13"/>
      <c r="U111" s="13"/>
      <c r="V111" s="13"/>
      <c r="W111" s="13"/>
      <c r="Y111"/>
    </row>
    <row r="112" spans="1:25" x14ac:dyDescent="0.2">
      <c r="A112" s="12" t="s">
        <v>114</v>
      </c>
      <c r="B112" s="12" t="s">
        <v>152</v>
      </c>
      <c r="C112" s="13" t="s">
        <v>76</v>
      </c>
      <c r="D112" s="13">
        <v>10</v>
      </c>
      <c r="E112" s="13">
        <v>26</v>
      </c>
      <c r="F112" s="14">
        <f>([1]innoculation!$D$26*0.7)/1000</f>
        <v>1353.0509999999999</v>
      </c>
      <c r="G112" s="13">
        <v>1801</v>
      </c>
      <c r="H112" s="13">
        <v>2113</v>
      </c>
      <c r="I112" s="13"/>
      <c r="J112" s="13">
        <v>10970</v>
      </c>
      <c r="K112" s="13">
        <v>31998</v>
      </c>
      <c r="L112" s="13">
        <f>4500*20</f>
        <v>90000</v>
      </c>
      <c r="M112" s="13">
        <f>8197*20</f>
        <v>163940</v>
      </c>
      <c r="N112" s="13">
        <f>14731*20</f>
        <v>294620</v>
      </c>
      <c r="O112" s="13">
        <f>27630*20</f>
        <v>552600</v>
      </c>
      <c r="P112" s="13">
        <f>44273*20</f>
        <v>885460</v>
      </c>
      <c r="Q112" s="13"/>
      <c r="R112" s="13"/>
      <c r="S112" s="13"/>
      <c r="T112" s="13"/>
      <c r="U112" s="13"/>
      <c r="V112" s="13"/>
      <c r="W112" s="13"/>
      <c r="Y112"/>
    </row>
    <row r="113" spans="1:25" x14ac:dyDescent="0.2">
      <c r="A113" s="12" t="s">
        <v>115</v>
      </c>
      <c r="B113" s="12" t="s">
        <v>152</v>
      </c>
      <c r="C113" s="13" t="s">
        <v>76</v>
      </c>
      <c r="D113" s="13">
        <v>10</v>
      </c>
      <c r="E113" s="13">
        <v>26</v>
      </c>
      <c r="F113" s="14">
        <f>([1]innoculation!$D$26*0.7)/1000</f>
        <v>1353.0509999999999</v>
      </c>
      <c r="G113" s="13">
        <v>1843</v>
      </c>
      <c r="H113" s="13">
        <v>2470</v>
      </c>
      <c r="I113" s="13"/>
      <c r="J113" s="13">
        <v>13191</v>
      </c>
      <c r="K113" s="13">
        <v>35989</v>
      </c>
      <c r="L113" s="13">
        <f>5130*20</f>
        <v>102600</v>
      </c>
      <c r="M113" s="13">
        <f>9601*20</f>
        <v>192020</v>
      </c>
      <c r="N113" s="13">
        <f>17821*20</f>
        <v>356420</v>
      </c>
      <c r="O113" s="13">
        <f>31699*20</f>
        <v>633980</v>
      </c>
      <c r="P113" s="13">
        <f>48880*20</f>
        <v>977600</v>
      </c>
      <c r="Q113" s="13"/>
      <c r="R113" s="13"/>
      <c r="S113" s="13"/>
      <c r="T113" s="13"/>
      <c r="U113" s="13"/>
      <c r="V113" s="13"/>
      <c r="W113" s="13"/>
      <c r="Y113"/>
    </row>
    <row r="114" spans="1:25" x14ac:dyDescent="0.2">
      <c r="A114" s="12" t="s">
        <v>115</v>
      </c>
      <c r="B114" s="12" t="s">
        <v>152</v>
      </c>
      <c r="C114" s="13" t="s">
        <v>76</v>
      </c>
      <c r="D114" s="13">
        <v>10</v>
      </c>
      <c r="E114" s="13">
        <v>26</v>
      </c>
      <c r="F114" s="14">
        <f>([1]innoculation!$D$26*0.7)/1000</f>
        <v>1353.0509999999999</v>
      </c>
      <c r="G114" s="13">
        <v>2028</v>
      </c>
      <c r="H114" s="13">
        <v>2568</v>
      </c>
      <c r="I114" s="13"/>
      <c r="J114" s="13">
        <v>12730</v>
      </c>
      <c r="K114" s="13">
        <v>34359</v>
      </c>
      <c r="L114" s="13">
        <f>4634*20</f>
        <v>92680</v>
      </c>
      <c r="M114" s="13">
        <f>9769*20</f>
        <v>195380</v>
      </c>
      <c r="N114" s="13">
        <f>18190*20</f>
        <v>363800</v>
      </c>
      <c r="O114" s="13">
        <f>32352*20</f>
        <v>647040</v>
      </c>
      <c r="P114" s="13">
        <f>47593*20</f>
        <v>951860</v>
      </c>
      <c r="Q114" s="13"/>
      <c r="R114" s="13"/>
      <c r="S114" s="13"/>
      <c r="T114" s="13"/>
      <c r="U114" s="13"/>
      <c r="V114" s="13"/>
      <c r="W114" s="13"/>
      <c r="Y114"/>
    </row>
    <row r="115" spans="1:25" x14ac:dyDescent="0.2">
      <c r="A115" s="12" t="s">
        <v>115</v>
      </c>
      <c r="B115" s="12" t="s">
        <v>152</v>
      </c>
      <c r="C115" s="13" t="s">
        <v>76</v>
      </c>
      <c r="D115" s="13">
        <v>10</v>
      </c>
      <c r="E115" s="13">
        <v>26</v>
      </c>
      <c r="F115" s="14">
        <f>([1]innoculation!$D$26*0.7)/1000</f>
        <v>1353.0509999999999</v>
      </c>
      <c r="G115" s="13">
        <v>1855</v>
      </c>
      <c r="H115" s="13">
        <v>2442</v>
      </c>
      <c r="I115" s="13"/>
      <c r="J115" s="13">
        <v>12991</v>
      </c>
      <c r="K115" s="13">
        <v>32912</v>
      </c>
      <c r="L115" s="13">
        <f>4913*20</f>
        <v>98260</v>
      </c>
      <c r="M115" s="13">
        <f>9549*20</f>
        <v>190980</v>
      </c>
      <c r="N115" s="13">
        <f>18301*20</f>
        <v>366020</v>
      </c>
      <c r="O115" s="13">
        <f>32144*20</f>
        <v>642880</v>
      </c>
      <c r="P115" s="13">
        <f>48022*20</f>
        <v>960440</v>
      </c>
      <c r="Q115" s="13"/>
      <c r="R115" s="13"/>
      <c r="S115" s="13"/>
      <c r="T115" s="13"/>
      <c r="U115" s="13"/>
      <c r="V115" s="13"/>
      <c r="W115" s="13"/>
      <c r="Y115"/>
    </row>
    <row r="116" spans="1:25" x14ac:dyDescent="0.2">
      <c r="A116" s="12" t="s">
        <v>116</v>
      </c>
      <c r="B116" s="12" t="s">
        <v>152</v>
      </c>
      <c r="C116" s="13" t="s">
        <v>76</v>
      </c>
      <c r="D116" s="13">
        <v>10</v>
      </c>
      <c r="E116" s="13">
        <v>26</v>
      </c>
      <c r="F116" s="14">
        <f>([1]innoculation!$D$26*0.7)/1000</f>
        <v>1353.0509999999999</v>
      </c>
      <c r="G116" s="13">
        <v>1825</v>
      </c>
      <c r="H116" s="13">
        <v>2521</v>
      </c>
      <c r="I116" s="13"/>
      <c r="J116" s="13">
        <v>13174</v>
      </c>
      <c r="K116" s="13">
        <v>35416</v>
      </c>
      <c r="L116" s="13">
        <f>4852*20</f>
        <v>97040</v>
      </c>
      <c r="M116" s="13">
        <f>9480*20</f>
        <v>189600</v>
      </c>
      <c r="N116" s="13">
        <f>15993*20</f>
        <v>319860</v>
      </c>
      <c r="O116" s="13">
        <f>30946*20</f>
        <v>618920</v>
      </c>
      <c r="P116" s="13">
        <f>47500*20</f>
        <v>950000</v>
      </c>
      <c r="Q116" s="13"/>
      <c r="R116" s="13"/>
      <c r="S116" s="13"/>
      <c r="T116" s="13"/>
      <c r="U116" s="13"/>
      <c r="V116" s="13"/>
      <c r="W116" s="13"/>
      <c r="Y116"/>
    </row>
    <row r="117" spans="1:25" x14ac:dyDescent="0.2">
      <c r="A117" s="12" t="s">
        <v>116</v>
      </c>
      <c r="B117" s="12" t="s">
        <v>152</v>
      </c>
      <c r="C117" s="13" t="s">
        <v>76</v>
      </c>
      <c r="D117" s="13">
        <v>10</v>
      </c>
      <c r="E117" s="13">
        <v>26</v>
      </c>
      <c r="F117" s="14">
        <f>([1]innoculation!$D$26*0.7)/1000</f>
        <v>1353.0509999999999</v>
      </c>
      <c r="G117" s="13">
        <v>1905</v>
      </c>
      <c r="H117" s="13">
        <v>2460</v>
      </c>
      <c r="I117" s="13"/>
      <c r="J117" s="13">
        <v>12843</v>
      </c>
      <c r="K117" s="13">
        <v>33575</v>
      </c>
      <c r="L117" s="13">
        <f>4650*20</f>
        <v>93000</v>
      </c>
      <c r="M117" s="13">
        <f>9207*20</f>
        <v>184140</v>
      </c>
      <c r="N117" s="13">
        <f>16094*20</f>
        <v>321880</v>
      </c>
      <c r="O117" s="13">
        <f>30768*20</f>
        <v>615360</v>
      </c>
      <c r="P117" s="13">
        <f>47771*20</f>
        <v>955420</v>
      </c>
      <c r="Q117" s="13"/>
      <c r="R117" s="13"/>
      <c r="S117" s="13"/>
      <c r="T117" s="13"/>
      <c r="U117" s="13"/>
      <c r="V117" s="13"/>
      <c r="W117" s="13"/>
      <c r="Y117"/>
    </row>
    <row r="118" spans="1:25" x14ac:dyDescent="0.2">
      <c r="A118" s="12" t="s">
        <v>116</v>
      </c>
      <c r="B118" s="12" t="s">
        <v>152</v>
      </c>
      <c r="C118" s="13" t="s">
        <v>76</v>
      </c>
      <c r="D118" s="13">
        <v>10</v>
      </c>
      <c r="E118" s="13">
        <v>26</v>
      </c>
      <c r="F118" s="14">
        <f>([1]innoculation!$D$26*0.7)/1000</f>
        <v>1353.0509999999999</v>
      </c>
      <c r="G118" s="13">
        <v>1872</v>
      </c>
      <c r="H118" s="13">
        <v>2383</v>
      </c>
      <c r="I118" s="13"/>
      <c r="J118" s="13">
        <v>13209</v>
      </c>
      <c r="K118" s="13">
        <v>33341</v>
      </c>
      <c r="L118" s="13">
        <f>4514*20</f>
        <v>90280</v>
      </c>
      <c r="M118" s="13">
        <f>9426*20</f>
        <v>188520</v>
      </c>
      <c r="N118" s="13">
        <f>15896*20</f>
        <v>317920</v>
      </c>
      <c r="O118" s="13">
        <f>30489*20</f>
        <v>609780</v>
      </c>
      <c r="P118" s="13">
        <f>48465*20</f>
        <v>969300</v>
      </c>
      <c r="Q118" s="13"/>
      <c r="R118" s="13"/>
      <c r="S118" s="13"/>
      <c r="T118" s="13"/>
      <c r="U118" s="13"/>
      <c r="V118" s="13"/>
      <c r="W118" s="13"/>
      <c r="Y118"/>
    </row>
    <row r="119" spans="1:25" x14ac:dyDescent="0.2">
      <c r="A119" s="19" t="s">
        <v>117</v>
      </c>
      <c r="B119" s="19" t="s">
        <v>153</v>
      </c>
      <c r="C119" s="11" t="s">
        <v>76</v>
      </c>
      <c r="D119" s="11">
        <v>10</v>
      </c>
      <c r="E119" s="11">
        <v>28</v>
      </c>
      <c r="F119" s="20">
        <f>([1]innoculation!$D$28*1)/1000</f>
        <v>1350.45</v>
      </c>
      <c r="G119" s="11">
        <v>1917</v>
      </c>
      <c r="H119" s="11">
        <v>1807</v>
      </c>
      <c r="I119" s="11"/>
      <c r="J119" s="11">
        <v>5111</v>
      </c>
      <c r="K119" s="11">
        <v>11305</v>
      </c>
      <c r="L119" s="11">
        <v>23476</v>
      </c>
      <c r="M119" s="11">
        <v>49340</v>
      </c>
      <c r="N119" s="11">
        <f>6884*20</f>
        <v>137680</v>
      </c>
      <c r="O119" s="11">
        <f>15025*20</f>
        <v>300500</v>
      </c>
      <c r="P119" s="11">
        <f>27835*20</f>
        <v>556700</v>
      </c>
      <c r="Q119" s="11">
        <f>44530*20</f>
        <v>890600</v>
      </c>
      <c r="U119" s="11"/>
      <c r="V119" s="11"/>
      <c r="W119" s="11"/>
      <c r="Y119"/>
    </row>
    <row r="120" spans="1:25" x14ac:dyDescent="0.2">
      <c r="A120" s="19" t="s">
        <v>117</v>
      </c>
      <c r="B120" s="19" t="s">
        <v>153</v>
      </c>
      <c r="C120" s="11" t="s">
        <v>76</v>
      </c>
      <c r="D120" s="11">
        <v>10</v>
      </c>
      <c r="E120" s="11">
        <v>28</v>
      </c>
      <c r="F120" s="20">
        <f>([1]innoculation!$D$28*1)/1000</f>
        <v>1350.45</v>
      </c>
      <c r="G120" s="11">
        <v>1901</v>
      </c>
      <c r="H120" s="11">
        <v>1777</v>
      </c>
      <c r="I120" s="11"/>
      <c r="J120" s="11">
        <v>4891</v>
      </c>
      <c r="K120" s="11">
        <v>10785</v>
      </c>
      <c r="L120" s="11">
        <v>23329</v>
      </c>
      <c r="M120" s="11">
        <v>47204</v>
      </c>
      <c r="N120" s="11">
        <f>7005*20</f>
        <v>140100</v>
      </c>
      <c r="O120" s="11">
        <f>15208*20</f>
        <v>304160</v>
      </c>
      <c r="P120" s="11">
        <f>27884*20</f>
        <v>557680</v>
      </c>
      <c r="Q120" s="11">
        <f>44782*20</f>
        <v>895640</v>
      </c>
      <c r="U120" s="11"/>
      <c r="V120" s="11"/>
      <c r="W120" s="11"/>
      <c r="Y120"/>
    </row>
    <row r="121" spans="1:25" x14ac:dyDescent="0.2">
      <c r="A121" s="19" t="s">
        <v>117</v>
      </c>
      <c r="B121" s="19" t="s">
        <v>153</v>
      </c>
      <c r="C121" s="11" t="s">
        <v>76</v>
      </c>
      <c r="D121" s="11">
        <v>10</v>
      </c>
      <c r="E121" s="11">
        <v>28</v>
      </c>
      <c r="F121" s="20">
        <f>([1]innoculation!$D$28*1)/1000</f>
        <v>1350.45</v>
      </c>
      <c r="G121" s="11">
        <v>1949</v>
      </c>
      <c r="H121" s="11">
        <v>1717</v>
      </c>
      <c r="I121" s="11"/>
      <c r="J121" s="11">
        <v>4730</v>
      </c>
      <c r="K121" s="11">
        <v>10477</v>
      </c>
      <c r="L121" s="11">
        <v>23137</v>
      </c>
      <c r="M121" s="11">
        <v>45547</v>
      </c>
      <c r="N121" s="11">
        <f>7167*20</f>
        <v>143340</v>
      </c>
      <c r="O121" s="11">
        <f>14851*20</f>
        <v>297020</v>
      </c>
      <c r="P121" s="11">
        <f>27881*20</f>
        <v>557620</v>
      </c>
      <c r="Q121" s="11">
        <f>44648*20</f>
        <v>892960</v>
      </c>
      <c r="U121" s="11"/>
      <c r="V121" s="11"/>
      <c r="W121" s="11"/>
      <c r="Y121"/>
    </row>
    <row r="122" spans="1:25" x14ac:dyDescent="0.2">
      <c r="A122" s="19" t="s">
        <v>118</v>
      </c>
      <c r="B122" s="19" t="s">
        <v>153</v>
      </c>
      <c r="C122" s="11" t="s">
        <v>76</v>
      </c>
      <c r="D122" s="11">
        <v>10</v>
      </c>
      <c r="E122" s="11">
        <v>28</v>
      </c>
      <c r="F122" s="20">
        <f>([1]innoculation!$D$28*1)/1000</f>
        <v>1350.45</v>
      </c>
      <c r="G122" s="11">
        <v>1845</v>
      </c>
      <c r="H122" s="11">
        <v>1903</v>
      </c>
      <c r="I122" s="11"/>
      <c r="J122" s="11">
        <v>4764</v>
      </c>
      <c r="K122" s="11">
        <v>10593</v>
      </c>
      <c r="L122" s="11">
        <v>22985</v>
      </c>
      <c r="M122" s="11">
        <v>45841</v>
      </c>
      <c r="N122" s="11">
        <f>5898*20</f>
        <v>117960</v>
      </c>
      <c r="O122" s="11">
        <f>11421*20</f>
        <v>228420</v>
      </c>
      <c r="P122" s="11">
        <f>23399*20</f>
        <v>467980</v>
      </c>
      <c r="Q122" s="11">
        <f>41303*20</f>
        <v>826060</v>
      </c>
      <c r="U122" s="11"/>
      <c r="V122" s="11"/>
      <c r="W122" s="11"/>
      <c r="Y122"/>
    </row>
    <row r="123" spans="1:25" x14ac:dyDescent="0.2">
      <c r="A123" s="19" t="s">
        <v>118</v>
      </c>
      <c r="B123" s="19" t="s">
        <v>153</v>
      </c>
      <c r="C123" s="11" t="s">
        <v>76</v>
      </c>
      <c r="D123" s="11">
        <v>10</v>
      </c>
      <c r="E123" s="11">
        <v>28</v>
      </c>
      <c r="F123" s="20">
        <f>([1]innoculation!$D$28*1)/1000</f>
        <v>1350.45</v>
      </c>
      <c r="G123" s="11">
        <v>1873</v>
      </c>
      <c r="H123" s="11">
        <v>1810</v>
      </c>
      <c r="I123" s="11"/>
      <c r="J123" s="11">
        <v>4168</v>
      </c>
      <c r="K123" s="11">
        <v>9994</v>
      </c>
      <c r="L123" s="11">
        <v>22966</v>
      </c>
      <c r="M123" s="11">
        <v>42664</v>
      </c>
      <c r="N123" s="11">
        <f>5810*20</f>
        <v>116200</v>
      </c>
      <c r="O123" s="11">
        <f>11800*20</f>
        <v>236000</v>
      </c>
      <c r="P123" s="11">
        <f>23696*20</f>
        <v>473920</v>
      </c>
      <c r="Q123" s="11">
        <f>41516*20</f>
        <v>830320</v>
      </c>
      <c r="U123" s="11"/>
      <c r="V123" s="11"/>
      <c r="W123" s="11"/>
      <c r="Y123"/>
    </row>
    <row r="124" spans="1:25" x14ac:dyDescent="0.2">
      <c r="A124" s="19" t="s">
        <v>118</v>
      </c>
      <c r="B124" s="19" t="s">
        <v>153</v>
      </c>
      <c r="C124" s="11" t="s">
        <v>76</v>
      </c>
      <c r="D124" s="11">
        <v>10</v>
      </c>
      <c r="E124" s="11">
        <v>28</v>
      </c>
      <c r="F124" s="20">
        <f>([1]innoculation!$D$28*1)/1000</f>
        <v>1350.45</v>
      </c>
      <c r="G124" s="11">
        <v>1861</v>
      </c>
      <c r="H124" s="11">
        <v>1902</v>
      </c>
      <c r="I124" s="11"/>
      <c r="J124" s="11">
        <v>4265</v>
      </c>
      <c r="K124" s="11">
        <v>9785</v>
      </c>
      <c r="L124" s="11">
        <v>23512</v>
      </c>
      <c r="M124" s="11">
        <v>42363</v>
      </c>
      <c r="N124" s="11">
        <f>5867*20</f>
        <v>117340</v>
      </c>
      <c r="O124" s="11">
        <f>11563*20</f>
        <v>231260</v>
      </c>
      <c r="P124" s="11">
        <f>23334*20</f>
        <v>466680</v>
      </c>
      <c r="Q124" s="11">
        <f>41424*20</f>
        <v>828480</v>
      </c>
      <c r="U124" s="11"/>
      <c r="V124" s="11"/>
      <c r="W124" s="11"/>
      <c r="Y124"/>
    </row>
    <row r="125" spans="1:25" x14ac:dyDescent="0.2">
      <c r="A125" s="19" t="s">
        <v>119</v>
      </c>
      <c r="B125" s="19" t="s">
        <v>153</v>
      </c>
      <c r="C125" s="11" t="s">
        <v>76</v>
      </c>
      <c r="D125" s="11">
        <v>10</v>
      </c>
      <c r="E125" s="11">
        <v>28</v>
      </c>
      <c r="F125" s="20">
        <f>([1]innoculation!$D$28*1)/1000</f>
        <v>1350.45</v>
      </c>
      <c r="G125" s="11">
        <v>1414</v>
      </c>
      <c r="H125" s="11">
        <v>2017</v>
      </c>
      <c r="I125" s="11"/>
      <c r="J125" s="11">
        <v>4829</v>
      </c>
      <c r="K125" s="11">
        <v>10169</v>
      </c>
      <c r="L125" s="11">
        <v>22386</v>
      </c>
      <c r="M125" s="11">
        <v>45789</v>
      </c>
      <c r="N125" s="11">
        <f>5808*20</f>
        <v>116160</v>
      </c>
      <c r="O125" s="11">
        <f>12434*20</f>
        <v>248680</v>
      </c>
      <c r="P125" s="11">
        <f>25905*20</f>
        <v>518100</v>
      </c>
      <c r="Q125" s="11">
        <f>40145*20</f>
        <v>802900</v>
      </c>
      <c r="U125" s="11"/>
      <c r="V125" s="11"/>
      <c r="W125" s="11"/>
      <c r="Y125"/>
    </row>
    <row r="126" spans="1:25" x14ac:dyDescent="0.2">
      <c r="A126" s="19" t="s">
        <v>119</v>
      </c>
      <c r="B126" s="19" t="s">
        <v>153</v>
      </c>
      <c r="C126" s="11" t="s">
        <v>76</v>
      </c>
      <c r="D126" s="11">
        <v>10</v>
      </c>
      <c r="E126" s="11">
        <v>28</v>
      </c>
      <c r="F126" s="20">
        <f>([1]innoculation!$D$28*1)/1000</f>
        <v>1350.45</v>
      </c>
      <c r="G126" s="11">
        <v>1309</v>
      </c>
      <c r="H126" s="11">
        <v>1955</v>
      </c>
      <c r="I126" s="11"/>
      <c r="J126" s="11">
        <v>4656</v>
      </c>
      <c r="K126" s="11">
        <v>10119</v>
      </c>
      <c r="L126" s="11">
        <v>21655</v>
      </c>
      <c r="M126" s="11">
        <v>45744</v>
      </c>
      <c r="N126" s="11">
        <f>5745*20</f>
        <v>114900</v>
      </c>
      <c r="O126" s="11">
        <f>12524*20</f>
        <v>250480</v>
      </c>
      <c r="P126" s="11">
        <f>26255*20</f>
        <v>525100</v>
      </c>
      <c r="Q126" s="11">
        <f>39713*20</f>
        <v>794260</v>
      </c>
      <c r="U126" s="11"/>
      <c r="V126" s="11"/>
      <c r="W126" s="11"/>
      <c r="Y126"/>
    </row>
    <row r="127" spans="1:25" x14ac:dyDescent="0.2">
      <c r="A127" s="19" t="s">
        <v>119</v>
      </c>
      <c r="B127" s="19" t="s">
        <v>153</v>
      </c>
      <c r="C127" s="11" t="s">
        <v>76</v>
      </c>
      <c r="D127" s="11">
        <v>10</v>
      </c>
      <c r="E127" s="11">
        <v>28</v>
      </c>
      <c r="F127" s="20">
        <f>([1]innoculation!$D$28*1)/1000</f>
        <v>1350.45</v>
      </c>
      <c r="G127" s="11">
        <v>1502</v>
      </c>
      <c r="H127" s="11">
        <v>1888</v>
      </c>
      <c r="I127" s="11"/>
      <c r="J127" s="11">
        <v>4561</v>
      </c>
      <c r="K127" s="11">
        <v>10009</v>
      </c>
      <c r="L127" s="11">
        <v>21259</v>
      </c>
      <c r="M127" s="11">
        <v>44590</v>
      </c>
      <c r="N127" s="11">
        <f>5690*20</f>
        <v>113800</v>
      </c>
      <c r="O127" s="11">
        <f>12507*20</f>
        <v>250140</v>
      </c>
      <c r="P127" s="11">
        <f>25918*20</f>
        <v>518360</v>
      </c>
      <c r="Q127" s="11">
        <f>40297*20</f>
        <v>805940</v>
      </c>
      <c r="U127" s="11"/>
      <c r="V127" s="11"/>
      <c r="W127" s="11"/>
      <c r="Y127"/>
    </row>
    <row r="128" spans="1:25" x14ac:dyDescent="0.2">
      <c r="A128" s="23" t="s">
        <v>120</v>
      </c>
      <c r="B128" s="23" t="s">
        <v>156</v>
      </c>
      <c r="C128" s="13" t="s">
        <v>76</v>
      </c>
      <c r="D128" s="13">
        <v>10</v>
      </c>
      <c r="E128" s="13">
        <v>30</v>
      </c>
      <c r="F128" s="14">
        <f>([1]innoculation!$D$29*1.5)/1000</f>
        <v>1331.6849999999999</v>
      </c>
      <c r="G128" s="13">
        <v>1775</v>
      </c>
      <c r="H128" s="13">
        <v>1307</v>
      </c>
      <c r="I128" s="13"/>
      <c r="J128" s="13">
        <v>1085</v>
      </c>
      <c r="K128" s="13">
        <v>1003</v>
      </c>
      <c r="L128" s="13">
        <v>1678</v>
      </c>
      <c r="M128" s="13"/>
      <c r="N128" s="13">
        <v>1643</v>
      </c>
      <c r="O128" s="13">
        <v>1767</v>
      </c>
      <c r="P128" s="13"/>
      <c r="Q128" s="13">
        <v>1811</v>
      </c>
      <c r="R128" s="13">
        <v>1209</v>
      </c>
      <c r="S128" s="13"/>
      <c r="T128" s="13"/>
      <c r="U128" s="13"/>
      <c r="V128" s="13"/>
      <c r="W128" s="13"/>
      <c r="Y128"/>
    </row>
    <row r="129" spans="1:25" x14ac:dyDescent="0.2">
      <c r="A129" s="23" t="s">
        <v>120</v>
      </c>
      <c r="B129" s="23" t="s">
        <v>156</v>
      </c>
      <c r="C129" s="13" t="s">
        <v>76</v>
      </c>
      <c r="D129" s="13">
        <v>10</v>
      </c>
      <c r="E129" s="13">
        <v>30</v>
      </c>
      <c r="F129" s="14">
        <f>([1]innoculation!$D$29*1.5)/1000</f>
        <v>1331.6849999999999</v>
      </c>
      <c r="G129" s="13">
        <v>1693</v>
      </c>
      <c r="H129" s="13">
        <v>1304</v>
      </c>
      <c r="I129" s="13"/>
      <c r="J129" s="13">
        <v>1064</v>
      </c>
      <c r="K129" s="13">
        <v>894</v>
      </c>
      <c r="L129" s="13">
        <v>1655</v>
      </c>
      <c r="M129" s="13"/>
      <c r="N129" s="13">
        <v>1620</v>
      </c>
      <c r="O129" s="13">
        <v>1693</v>
      </c>
      <c r="P129" s="13"/>
      <c r="Q129" s="13">
        <v>1795</v>
      </c>
      <c r="R129" s="13">
        <v>1206</v>
      </c>
      <c r="S129" s="13"/>
      <c r="T129" s="13"/>
      <c r="U129" s="13"/>
      <c r="V129" s="13"/>
      <c r="W129" s="13"/>
      <c r="Y129"/>
    </row>
    <row r="130" spans="1:25" x14ac:dyDescent="0.2">
      <c r="A130" s="23" t="s">
        <v>120</v>
      </c>
      <c r="B130" s="23" t="s">
        <v>156</v>
      </c>
      <c r="C130" s="13" t="s">
        <v>76</v>
      </c>
      <c r="D130" s="13">
        <v>10</v>
      </c>
      <c r="E130" s="13">
        <v>30</v>
      </c>
      <c r="F130" s="14">
        <f>([1]innoculation!$D$29*1.5)/1000</f>
        <v>1331.6849999999999</v>
      </c>
      <c r="G130" s="13">
        <v>1795</v>
      </c>
      <c r="H130" s="13">
        <v>1266</v>
      </c>
      <c r="I130" s="13"/>
      <c r="J130" s="13">
        <v>1016</v>
      </c>
      <c r="K130" s="13">
        <v>966</v>
      </c>
      <c r="L130" s="13">
        <v>1569</v>
      </c>
      <c r="M130" s="13"/>
      <c r="N130" s="13">
        <v>1622</v>
      </c>
      <c r="O130" s="13">
        <v>1687</v>
      </c>
      <c r="P130" s="13"/>
      <c r="Q130" s="13">
        <v>1747</v>
      </c>
      <c r="R130" s="13">
        <v>1157</v>
      </c>
      <c r="S130" s="13"/>
      <c r="T130" s="13"/>
      <c r="U130" s="13"/>
      <c r="V130" s="13"/>
      <c r="W130" s="13"/>
      <c r="Y130"/>
    </row>
    <row r="131" spans="1:25" x14ac:dyDescent="0.2">
      <c r="A131" s="23" t="s">
        <v>121</v>
      </c>
      <c r="B131" s="23" t="s">
        <v>156</v>
      </c>
      <c r="C131" s="13" t="s">
        <v>76</v>
      </c>
      <c r="D131" s="13">
        <v>10</v>
      </c>
      <c r="E131" s="13">
        <v>30</v>
      </c>
      <c r="F131" s="14">
        <f>([1]innoculation!$D$29*1.5)/1000</f>
        <v>1331.6849999999999</v>
      </c>
      <c r="G131" s="13">
        <v>1620</v>
      </c>
      <c r="H131" s="13">
        <v>1327</v>
      </c>
      <c r="I131" s="13"/>
      <c r="J131" s="13">
        <v>1506</v>
      </c>
      <c r="K131" s="13">
        <v>1022</v>
      </c>
      <c r="L131" s="13">
        <v>1792</v>
      </c>
      <c r="M131" s="13"/>
      <c r="N131" s="13">
        <v>1560</v>
      </c>
      <c r="O131" s="13">
        <v>1376</v>
      </c>
      <c r="P131" s="13"/>
      <c r="Q131" s="13">
        <v>2438</v>
      </c>
      <c r="R131" s="13">
        <v>1296</v>
      </c>
      <c r="S131" s="13"/>
      <c r="T131" s="13"/>
      <c r="U131" s="13"/>
      <c r="V131" s="13"/>
      <c r="W131" s="13"/>
      <c r="Y131"/>
    </row>
    <row r="132" spans="1:25" x14ac:dyDescent="0.2">
      <c r="A132" s="23" t="s">
        <v>121</v>
      </c>
      <c r="B132" s="23" t="s">
        <v>156</v>
      </c>
      <c r="C132" s="13" t="s">
        <v>76</v>
      </c>
      <c r="D132" s="13">
        <v>10</v>
      </c>
      <c r="E132" s="13">
        <v>30</v>
      </c>
      <c r="F132" s="14">
        <f>([1]innoculation!$D$29*1.5)/1000</f>
        <v>1331.6849999999999</v>
      </c>
      <c r="G132" s="13">
        <v>1617</v>
      </c>
      <c r="H132" s="13">
        <v>1269</v>
      </c>
      <c r="I132" s="13"/>
      <c r="J132" s="13">
        <v>1668</v>
      </c>
      <c r="K132" s="13">
        <v>1086</v>
      </c>
      <c r="L132" s="13">
        <v>1674</v>
      </c>
      <c r="M132" s="13"/>
      <c r="N132" s="13">
        <v>1533</v>
      </c>
      <c r="O132" s="13">
        <v>1409</v>
      </c>
      <c r="P132" s="13"/>
      <c r="Q132" s="13">
        <v>2570</v>
      </c>
      <c r="R132" s="13">
        <v>1275</v>
      </c>
      <c r="S132" s="13"/>
      <c r="T132" s="13"/>
      <c r="U132" s="13"/>
      <c r="V132" s="13"/>
      <c r="W132" s="13"/>
      <c r="Y132"/>
    </row>
    <row r="133" spans="1:25" x14ac:dyDescent="0.2">
      <c r="A133" s="23" t="s">
        <v>121</v>
      </c>
      <c r="B133" s="23" t="s">
        <v>156</v>
      </c>
      <c r="C133" s="13" t="s">
        <v>76</v>
      </c>
      <c r="D133" s="13">
        <v>10</v>
      </c>
      <c r="E133" s="13">
        <v>30</v>
      </c>
      <c r="F133" s="14">
        <f>([1]innoculation!$D$29*1.5)/1000</f>
        <v>1331.6849999999999</v>
      </c>
      <c r="G133" s="13">
        <v>1519</v>
      </c>
      <c r="H133" s="13">
        <v>1291</v>
      </c>
      <c r="I133" s="13"/>
      <c r="J133" s="13">
        <v>1588</v>
      </c>
      <c r="K133" s="13">
        <v>1001</v>
      </c>
      <c r="L133" s="13">
        <v>1712</v>
      </c>
      <c r="M133" s="13"/>
      <c r="N133" s="13">
        <v>1547</v>
      </c>
      <c r="O133" s="13">
        <v>1365</v>
      </c>
      <c r="P133" s="13"/>
      <c r="Q133" s="13">
        <v>2519</v>
      </c>
      <c r="R133" s="13">
        <v>1360</v>
      </c>
      <c r="S133" s="13"/>
      <c r="T133" s="13"/>
      <c r="U133" s="13"/>
      <c r="V133" s="13"/>
      <c r="W133" s="13"/>
      <c r="Y133"/>
    </row>
    <row r="134" spans="1:25" x14ac:dyDescent="0.2">
      <c r="A134" s="23" t="s">
        <v>122</v>
      </c>
      <c r="B134" s="23" t="s">
        <v>156</v>
      </c>
      <c r="C134" s="13" t="s">
        <v>76</v>
      </c>
      <c r="D134" s="13">
        <v>10</v>
      </c>
      <c r="E134" s="13">
        <v>30</v>
      </c>
      <c r="F134" s="14">
        <f>([1]innoculation!$D$29*1.5)/1000</f>
        <v>1331.6849999999999</v>
      </c>
      <c r="G134" s="13">
        <v>1621</v>
      </c>
      <c r="H134" s="13">
        <v>1397</v>
      </c>
      <c r="I134" s="13"/>
      <c r="J134" s="13">
        <v>1405</v>
      </c>
      <c r="K134" s="13">
        <v>1146</v>
      </c>
      <c r="L134" s="13">
        <v>1457</v>
      </c>
      <c r="M134" s="13"/>
      <c r="N134" s="13">
        <v>1785</v>
      </c>
      <c r="O134" s="13">
        <v>1572</v>
      </c>
      <c r="P134" s="13"/>
      <c r="Q134" s="13">
        <v>3056</v>
      </c>
      <c r="R134" s="13">
        <v>1367</v>
      </c>
      <c r="S134" s="13"/>
      <c r="T134" s="13"/>
      <c r="U134" s="13"/>
      <c r="V134" s="13"/>
      <c r="W134" s="13"/>
      <c r="Y134"/>
    </row>
    <row r="135" spans="1:25" x14ac:dyDescent="0.2">
      <c r="A135" s="23" t="s">
        <v>122</v>
      </c>
      <c r="B135" s="23" t="s">
        <v>156</v>
      </c>
      <c r="C135" s="13" t="s">
        <v>76</v>
      </c>
      <c r="D135" s="13">
        <v>10</v>
      </c>
      <c r="E135" s="13">
        <v>30</v>
      </c>
      <c r="F135" s="14">
        <f>([1]innoculation!$D$29*1.5)/1000</f>
        <v>1331.6849999999999</v>
      </c>
      <c r="G135" s="13">
        <v>1605</v>
      </c>
      <c r="H135" s="13">
        <v>1349</v>
      </c>
      <c r="I135" s="13"/>
      <c r="J135" s="13">
        <v>1345</v>
      </c>
      <c r="K135" s="13">
        <v>1054</v>
      </c>
      <c r="L135" s="13">
        <v>1447</v>
      </c>
      <c r="M135" s="13"/>
      <c r="N135" s="13">
        <v>1739</v>
      </c>
      <c r="O135" s="13">
        <v>1573</v>
      </c>
      <c r="P135" s="13"/>
      <c r="Q135" s="13">
        <v>2912</v>
      </c>
      <c r="R135" s="13">
        <v>1380</v>
      </c>
      <c r="S135" s="13"/>
      <c r="T135" s="13"/>
      <c r="U135" s="13"/>
      <c r="V135" s="13"/>
      <c r="W135" s="13"/>
      <c r="Y135"/>
    </row>
    <row r="136" spans="1:25" x14ac:dyDescent="0.2">
      <c r="A136" s="23" t="s">
        <v>122</v>
      </c>
      <c r="B136" s="23" t="s">
        <v>156</v>
      </c>
      <c r="C136" s="13" t="s">
        <v>76</v>
      </c>
      <c r="D136" s="13">
        <v>10</v>
      </c>
      <c r="E136" s="13">
        <v>30</v>
      </c>
      <c r="F136" s="14">
        <f>([1]innoculation!$D$29*1.5)/1000</f>
        <v>1331.6849999999999</v>
      </c>
      <c r="G136" s="13">
        <v>1559</v>
      </c>
      <c r="H136" s="13">
        <v>1354</v>
      </c>
      <c r="I136" s="13"/>
      <c r="J136" s="13">
        <v>1208</v>
      </c>
      <c r="K136" s="13">
        <v>1015</v>
      </c>
      <c r="L136" s="13">
        <v>1525</v>
      </c>
      <c r="M136" s="13"/>
      <c r="N136" s="13">
        <v>1742</v>
      </c>
      <c r="O136" s="13">
        <v>1548</v>
      </c>
      <c r="P136" s="13"/>
      <c r="Q136" s="13">
        <v>2997</v>
      </c>
      <c r="R136" s="13">
        <v>1321</v>
      </c>
      <c r="S136" s="13"/>
      <c r="T136" s="13"/>
      <c r="U136" s="13"/>
      <c r="V136" s="13"/>
      <c r="W136" s="13"/>
      <c r="Y136"/>
    </row>
    <row r="137" spans="1:25" x14ac:dyDescent="0.2">
      <c r="A137" s="25" t="s">
        <v>123</v>
      </c>
      <c r="B137" s="25" t="s">
        <v>154</v>
      </c>
      <c r="C137" s="11" t="s">
        <v>80</v>
      </c>
      <c r="D137" s="11">
        <v>10</v>
      </c>
      <c r="E137" s="11">
        <v>26</v>
      </c>
      <c r="F137" s="20">
        <f>([1]innoculation!$D$27*2)/1000</f>
        <v>1463.92</v>
      </c>
      <c r="G137" s="11">
        <v>1586</v>
      </c>
      <c r="H137" s="11">
        <v>2492</v>
      </c>
      <c r="I137" s="11"/>
      <c r="J137" s="11">
        <v>18169</v>
      </c>
      <c r="K137" s="11">
        <v>62370</v>
      </c>
      <c r="L137" s="11">
        <f>8939*20</f>
        <v>178780</v>
      </c>
      <c r="M137" s="11">
        <f>17928*20</f>
        <v>358560</v>
      </c>
      <c r="N137" s="11">
        <f>23273*20</f>
        <v>465460</v>
      </c>
      <c r="O137" s="11"/>
      <c r="U137" s="11"/>
      <c r="V137" s="11"/>
      <c r="W137" s="11"/>
      <c r="Y137"/>
    </row>
    <row r="138" spans="1:25" x14ac:dyDescent="0.2">
      <c r="A138" s="25" t="s">
        <v>123</v>
      </c>
      <c r="B138" s="25" t="s">
        <v>154</v>
      </c>
      <c r="C138" s="11" t="s">
        <v>80</v>
      </c>
      <c r="D138" s="11">
        <v>10</v>
      </c>
      <c r="E138" s="11">
        <v>26</v>
      </c>
      <c r="F138" s="20">
        <f>([1]innoculation!$D$27*2)/1000</f>
        <v>1463.92</v>
      </c>
      <c r="G138" s="11">
        <v>1665</v>
      </c>
      <c r="H138" s="11">
        <v>2550</v>
      </c>
      <c r="I138" s="11"/>
      <c r="J138" s="11">
        <v>16683</v>
      </c>
      <c r="K138" s="11">
        <v>60976</v>
      </c>
      <c r="L138" s="11">
        <f>8761*20</f>
        <v>175220</v>
      </c>
      <c r="M138" s="11">
        <f>17325*20</f>
        <v>346500</v>
      </c>
      <c r="N138" s="11">
        <f>21585*20</f>
        <v>431700</v>
      </c>
      <c r="O138" s="11"/>
      <c r="U138" s="11"/>
      <c r="V138" s="11"/>
      <c r="W138" s="11"/>
      <c r="Y138"/>
    </row>
    <row r="139" spans="1:25" x14ac:dyDescent="0.2">
      <c r="A139" s="25" t="s">
        <v>123</v>
      </c>
      <c r="B139" s="25" t="s">
        <v>154</v>
      </c>
      <c r="C139" s="11" t="s">
        <v>80</v>
      </c>
      <c r="D139" s="11">
        <v>10</v>
      </c>
      <c r="E139" s="11">
        <v>26</v>
      </c>
      <c r="F139" s="20">
        <f>([1]innoculation!$D$27*2)/1000</f>
        <v>1463.92</v>
      </c>
      <c r="G139" s="11">
        <v>1638</v>
      </c>
      <c r="H139" s="11">
        <v>2561</v>
      </c>
      <c r="I139" s="11"/>
      <c r="J139" s="11">
        <v>17557</v>
      </c>
      <c r="K139" s="11">
        <v>61141</v>
      </c>
      <c r="L139" s="11">
        <f>8838*20</f>
        <v>176760</v>
      </c>
      <c r="M139" s="11">
        <f>17025*20</f>
        <v>340500</v>
      </c>
      <c r="N139" s="11">
        <f>22627*20</f>
        <v>452540</v>
      </c>
      <c r="O139" s="11"/>
      <c r="U139" s="11"/>
      <c r="V139" s="11"/>
      <c r="W139" s="11"/>
      <c r="Y139"/>
    </row>
    <row r="140" spans="1:25" x14ac:dyDescent="0.2">
      <c r="A140" s="25" t="s">
        <v>124</v>
      </c>
      <c r="B140" s="25" t="s">
        <v>154</v>
      </c>
      <c r="C140" s="11" t="s">
        <v>80</v>
      </c>
      <c r="D140" s="11">
        <v>10</v>
      </c>
      <c r="E140" s="11">
        <v>26</v>
      </c>
      <c r="F140" s="20">
        <f>([1]innoculation!$D$27*2)/1000</f>
        <v>1463.92</v>
      </c>
      <c r="G140" s="11">
        <v>2121</v>
      </c>
      <c r="H140" s="11">
        <v>3363</v>
      </c>
      <c r="I140" s="11"/>
      <c r="J140" s="11">
        <v>24121</v>
      </c>
      <c r="K140" s="11">
        <v>78399</v>
      </c>
      <c r="L140" s="11">
        <f>10419*20</f>
        <v>208380</v>
      </c>
      <c r="M140" s="11">
        <f>20585*20</f>
        <v>411700</v>
      </c>
      <c r="N140" s="11">
        <f>27142*20</f>
        <v>542840</v>
      </c>
      <c r="O140" s="11"/>
      <c r="U140" s="11"/>
      <c r="V140" s="11"/>
      <c r="W140" s="11"/>
      <c r="Y140"/>
    </row>
    <row r="141" spans="1:25" x14ac:dyDescent="0.2">
      <c r="A141" s="25" t="s">
        <v>124</v>
      </c>
      <c r="B141" s="25" t="s">
        <v>154</v>
      </c>
      <c r="C141" s="11" t="s">
        <v>80</v>
      </c>
      <c r="D141" s="11">
        <v>10</v>
      </c>
      <c r="E141" s="11">
        <v>26</v>
      </c>
      <c r="F141" s="20">
        <f>([1]innoculation!$D$27*2)/1000</f>
        <v>1463.92</v>
      </c>
      <c r="G141" s="11">
        <v>2091</v>
      </c>
      <c r="H141" s="11">
        <v>3082</v>
      </c>
      <c r="I141" s="11"/>
      <c r="J141" s="11">
        <v>27029</v>
      </c>
      <c r="K141" s="11">
        <v>77236</v>
      </c>
      <c r="L141" s="11">
        <f>10593*20</f>
        <v>211860</v>
      </c>
      <c r="M141" s="11">
        <f>20728*20</f>
        <v>414560</v>
      </c>
      <c r="N141" s="11">
        <f>28469*20</f>
        <v>569380</v>
      </c>
      <c r="O141" s="11"/>
      <c r="U141" s="11"/>
      <c r="V141" s="11"/>
      <c r="W141" s="11"/>
      <c r="Y141"/>
    </row>
    <row r="142" spans="1:25" x14ac:dyDescent="0.2">
      <c r="A142" s="25" t="s">
        <v>124</v>
      </c>
      <c r="B142" s="25" t="s">
        <v>154</v>
      </c>
      <c r="C142" s="11" t="s">
        <v>80</v>
      </c>
      <c r="D142" s="11">
        <v>10</v>
      </c>
      <c r="E142" s="11">
        <v>26</v>
      </c>
      <c r="F142" s="20">
        <f>([1]innoculation!$D$27*2)/1000</f>
        <v>1463.92</v>
      </c>
      <c r="G142" s="11">
        <v>2160</v>
      </c>
      <c r="H142" s="11">
        <v>3207</v>
      </c>
      <c r="I142" s="11"/>
      <c r="J142" s="11">
        <v>26553</v>
      </c>
      <c r="K142" s="11">
        <v>75442</v>
      </c>
      <c r="L142" s="11">
        <f>10663*20</f>
        <v>213260</v>
      </c>
      <c r="M142" s="11">
        <f>21722*20</f>
        <v>434440</v>
      </c>
      <c r="N142" s="11">
        <f>28441*20</f>
        <v>568820</v>
      </c>
      <c r="O142" s="11"/>
      <c r="U142" s="11"/>
      <c r="V142" s="11"/>
      <c r="W142" s="11"/>
      <c r="Y142"/>
    </row>
    <row r="143" spans="1:25" x14ac:dyDescent="0.2">
      <c r="A143" s="25" t="s">
        <v>125</v>
      </c>
      <c r="B143" s="25" t="s">
        <v>154</v>
      </c>
      <c r="C143" s="11" t="s">
        <v>80</v>
      </c>
      <c r="D143" s="11">
        <v>10</v>
      </c>
      <c r="E143" s="11">
        <v>26</v>
      </c>
      <c r="F143" s="20">
        <f>([1]innoculation!$D$27*2)/1000</f>
        <v>1463.92</v>
      </c>
      <c r="G143" s="11">
        <v>1913</v>
      </c>
      <c r="H143" s="11">
        <v>3183</v>
      </c>
      <c r="I143" s="11"/>
      <c r="J143" s="11">
        <v>29590</v>
      </c>
      <c r="K143" s="11">
        <v>88591</v>
      </c>
      <c r="L143" s="11">
        <f>11497*20</f>
        <v>229940</v>
      </c>
      <c r="M143" s="11">
        <f>22016*20</f>
        <v>440320</v>
      </c>
      <c r="N143" s="11">
        <f>28561*20</f>
        <v>571220</v>
      </c>
      <c r="O143" s="11"/>
      <c r="U143" s="11"/>
      <c r="V143" s="11"/>
      <c r="W143" s="11"/>
      <c r="Y143"/>
    </row>
    <row r="144" spans="1:25" x14ac:dyDescent="0.2">
      <c r="A144" s="25" t="s">
        <v>125</v>
      </c>
      <c r="B144" s="25" t="s">
        <v>154</v>
      </c>
      <c r="C144" s="11" t="s">
        <v>80</v>
      </c>
      <c r="D144" s="11">
        <v>10</v>
      </c>
      <c r="E144" s="11">
        <v>26</v>
      </c>
      <c r="F144" s="20">
        <f>([1]innoculation!$D$27*2)/1000</f>
        <v>1463.92</v>
      </c>
      <c r="G144" s="11">
        <v>1992</v>
      </c>
      <c r="H144" s="11">
        <v>3133</v>
      </c>
      <c r="I144" s="11"/>
      <c r="J144" s="11">
        <v>27337</v>
      </c>
      <c r="K144" s="11">
        <v>86414</v>
      </c>
      <c r="L144" s="11">
        <f>11634*20</f>
        <v>232680</v>
      </c>
      <c r="M144" s="11">
        <f>21501*20</f>
        <v>430020</v>
      </c>
      <c r="N144" s="11">
        <f>28396*20</f>
        <v>567920</v>
      </c>
      <c r="O144" s="11"/>
      <c r="U144" s="11"/>
      <c r="V144" s="11"/>
      <c r="W144" s="11"/>
      <c r="Y144"/>
    </row>
    <row r="145" spans="1:25" x14ac:dyDescent="0.2">
      <c r="A145" s="25" t="s">
        <v>125</v>
      </c>
      <c r="B145" s="25" t="s">
        <v>154</v>
      </c>
      <c r="C145" s="11" t="s">
        <v>80</v>
      </c>
      <c r="D145" s="11">
        <v>10</v>
      </c>
      <c r="E145" s="11">
        <v>26</v>
      </c>
      <c r="F145" s="20">
        <f>([1]innoculation!$D$27*2)/1000</f>
        <v>1463.92</v>
      </c>
      <c r="G145" s="11">
        <v>1987</v>
      </c>
      <c r="H145" s="11">
        <v>3065</v>
      </c>
      <c r="I145" s="11"/>
      <c r="J145" s="11">
        <v>26125</v>
      </c>
      <c r="K145" s="11">
        <v>86544</v>
      </c>
      <c r="L145" s="11">
        <f>11639*20</f>
        <v>232780</v>
      </c>
      <c r="M145" s="11">
        <f>21686*20</f>
        <v>433720</v>
      </c>
      <c r="N145" s="11">
        <f>28312*20</f>
        <v>566240</v>
      </c>
      <c r="O145" s="11"/>
      <c r="U145" s="11"/>
      <c r="V145" s="11"/>
      <c r="W145" s="11"/>
      <c r="Y145"/>
    </row>
    <row r="146" spans="1:25" x14ac:dyDescent="0.2">
      <c r="A146" s="22" t="s">
        <v>126</v>
      </c>
      <c r="B146" s="22" t="s">
        <v>155</v>
      </c>
      <c r="C146" s="13" t="s">
        <v>80</v>
      </c>
      <c r="D146" s="13">
        <v>10</v>
      </c>
      <c r="E146" s="13">
        <v>26</v>
      </c>
      <c r="F146" s="14">
        <f>([1]innoculation!$D$31*2)/1000</f>
        <v>1153.7</v>
      </c>
      <c r="G146" s="13">
        <v>1079</v>
      </c>
      <c r="H146" s="13"/>
      <c r="I146" s="13">
        <v>3878</v>
      </c>
      <c r="J146" s="13">
        <v>15216</v>
      </c>
      <c r="K146" s="13">
        <v>46490</v>
      </c>
      <c r="L146" s="13">
        <f>5895*20</f>
        <v>117900</v>
      </c>
      <c r="M146" s="13">
        <f>15923*20</f>
        <v>318460</v>
      </c>
      <c r="N146" s="13">
        <f>22588*20</f>
        <v>451760</v>
      </c>
      <c r="O146" s="13"/>
      <c r="P146" s="13"/>
      <c r="Q146" s="13"/>
      <c r="R146" s="13"/>
      <c r="S146" s="13"/>
      <c r="T146" s="13"/>
      <c r="U146" s="13"/>
      <c r="V146" s="13"/>
      <c r="W146" s="13"/>
      <c r="Y146"/>
    </row>
    <row r="147" spans="1:25" x14ac:dyDescent="0.2">
      <c r="A147" s="22" t="s">
        <v>126</v>
      </c>
      <c r="B147" s="22" t="s">
        <v>155</v>
      </c>
      <c r="C147" s="13" t="s">
        <v>80</v>
      </c>
      <c r="D147" s="13">
        <v>10</v>
      </c>
      <c r="E147" s="13">
        <v>26</v>
      </c>
      <c r="F147" s="14">
        <f>([1]innoculation!$D$31*2)/1000</f>
        <v>1153.7</v>
      </c>
      <c r="G147" s="13">
        <v>1124</v>
      </c>
      <c r="H147" s="13"/>
      <c r="I147" s="13">
        <v>3857</v>
      </c>
      <c r="J147" s="13">
        <v>14157</v>
      </c>
      <c r="K147" s="13">
        <v>45709</v>
      </c>
      <c r="L147" s="13">
        <f>5993*20</f>
        <v>119860</v>
      </c>
      <c r="M147" s="13">
        <f>15281*20</f>
        <v>305620</v>
      </c>
      <c r="N147" s="13">
        <f>21119*20</f>
        <v>422380</v>
      </c>
      <c r="O147" s="13"/>
      <c r="P147" s="13"/>
      <c r="Q147" s="13"/>
      <c r="R147" s="13"/>
      <c r="S147" s="13"/>
      <c r="T147" s="13"/>
      <c r="U147" s="13"/>
      <c r="V147" s="13"/>
      <c r="W147" s="13"/>
      <c r="Y147"/>
    </row>
    <row r="148" spans="1:25" x14ac:dyDescent="0.2">
      <c r="A148" s="22" t="s">
        <v>126</v>
      </c>
      <c r="B148" s="22" t="s">
        <v>155</v>
      </c>
      <c r="C148" s="13" t="s">
        <v>80</v>
      </c>
      <c r="D148" s="13">
        <v>10</v>
      </c>
      <c r="E148" s="13">
        <v>26</v>
      </c>
      <c r="F148" s="14">
        <f>([1]innoculation!$D$31*2)/1000</f>
        <v>1153.7</v>
      </c>
      <c r="G148" s="13">
        <v>1107</v>
      </c>
      <c r="H148" s="13"/>
      <c r="I148" s="13">
        <v>4304</v>
      </c>
      <c r="J148" s="13">
        <v>14786</v>
      </c>
      <c r="K148" s="13">
        <v>44147</v>
      </c>
      <c r="L148" s="13">
        <f>6205*20</f>
        <v>124100</v>
      </c>
      <c r="M148" s="13">
        <f>15218*20</f>
        <v>304360</v>
      </c>
      <c r="N148" s="13">
        <f>21200*20</f>
        <v>424000</v>
      </c>
      <c r="O148" s="13"/>
      <c r="P148" s="13"/>
      <c r="Q148" s="13"/>
      <c r="R148" s="13"/>
      <c r="S148" s="13"/>
      <c r="T148" s="13"/>
      <c r="U148" s="13"/>
      <c r="V148" s="13"/>
      <c r="W148" s="13"/>
      <c r="Y148"/>
    </row>
    <row r="149" spans="1:25" x14ac:dyDescent="0.2">
      <c r="A149" s="22" t="s">
        <v>127</v>
      </c>
      <c r="B149" s="22" t="s">
        <v>155</v>
      </c>
      <c r="C149" s="13" t="s">
        <v>80</v>
      </c>
      <c r="D149" s="13">
        <v>10</v>
      </c>
      <c r="E149" s="13">
        <v>26</v>
      </c>
      <c r="F149" s="14">
        <f>([1]innoculation!$D$31*2)/1000</f>
        <v>1153.7</v>
      </c>
      <c r="G149" s="13">
        <v>1400</v>
      </c>
      <c r="H149" s="13"/>
      <c r="I149" s="13">
        <v>4930</v>
      </c>
      <c r="J149" s="13">
        <v>14644</v>
      </c>
      <c r="K149" s="13">
        <v>41875</v>
      </c>
      <c r="L149" s="13">
        <f>5218*20</f>
        <v>104360</v>
      </c>
      <c r="M149" s="13">
        <f>15667*20</f>
        <v>313340</v>
      </c>
      <c r="N149" s="13">
        <f>23989*20</f>
        <v>479780</v>
      </c>
      <c r="O149" s="13"/>
      <c r="P149" s="13"/>
      <c r="Q149" s="13"/>
      <c r="R149" s="13"/>
      <c r="S149" s="13"/>
      <c r="T149" s="13"/>
      <c r="U149" s="13"/>
      <c r="V149" s="13"/>
      <c r="W149" s="13"/>
      <c r="Y149"/>
    </row>
    <row r="150" spans="1:25" x14ac:dyDescent="0.2">
      <c r="A150" s="22" t="s">
        <v>127</v>
      </c>
      <c r="B150" s="22" t="s">
        <v>155</v>
      </c>
      <c r="C150" s="13" t="s">
        <v>80</v>
      </c>
      <c r="D150" s="13">
        <v>10</v>
      </c>
      <c r="E150" s="13">
        <v>26</v>
      </c>
      <c r="F150" s="14">
        <f>([1]innoculation!$D$31*2)/1000</f>
        <v>1153.7</v>
      </c>
      <c r="G150" s="13">
        <v>1470</v>
      </c>
      <c r="H150" s="13"/>
      <c r="I150" s="13">
        <v>4353</v>
      </c>
      <c r="J150" s="13">
        <v>14995</v>
      </c>
      <c r="K150" s="13">
        <v>41212</v>
      </c>
      <c r="L150" s="13">
        <f>5041*20</f>
        <v>100820</v>
      </c>
      <c r="M150" s="13">
        <f>15719*20</f>
        <v>314380</v>
      </c>
      <c r="N150" s="13">
        <f>25276*20</f>
        <v>505520</v>
      </c>
      <c r="O150" s="13"/>
      <c r="P150" s="13"/>
      <c r="Q150" s="13"/>
      <c r="R150" s="13"/>
      <c r="S150" s="13"/>
      <c r="T150" s="13"/>
      <c r="U150" s="13"/>
      <c r="V150" s="13"/>
      <c r="W150" s="13"/>
      <c r="Y150"/>
    </row>
    <row r="151" spans="1:25" x14ac:dyDescent="0.2">
      <c r="A151" s="22" t="s">
        <v>127</v>
      </c>
      <c r="B151" s="22" t="s">
        <v>155</v>
      </c>
      <c r="C151" s="13" t="s">
        <v>80</v>
      </c>
      <c r="D151" s="13">
        <v>10</v>
      </c>
      <c r="E151" s="13">
        <v>26</v>
      </c>
      <c r="F151" s="14">
        <f>([1]innoculation!$D$31*2)/1000</f>
        <v>1153.7</v>
      </c>
      <c r="G151" s="13">
        <v>1428</v>
      </c>
      <c r="H151" s="13"/>
      <c r="I151" s="13">
        <v>4298</v>
      </c>
      <c r="J151" s="13">
        <v>14967</v>
      </c>
      <c r="K151" s="13">
        <v>40373</v>
      </c>
      <c r="L151" s="13">
        <f>5016*20</f>
        <v>100320</v>
      </c>
      <c r="M151" s="13">
        <f>16141*20</f>
        <v>322820</v>
      </c>
      <c r="N151" s="13">
        <f>24536*20</f>
        <v>490720</v>
      </c>
      <c r="O151" s="13"/>
      <c r="P151" s="13"/>
      <c r="Q151" s="13"/>
      <c r="R151" s="13"/>
      <c r="S151" s="13"/>
      <c r="T151" s="13"/>
      <c r="U151" s="13"/>
      <c r="V151" s="13"/>
      <c r="W151" s="13"/>
      <c r="Y151"/>
    </row>
    <row r="152" spans="1:25" x14ac:dyDescent="0.2">
      <c r="A152" s="22" t="s">
        <v>128</v>
      </c>
      <c r="B152" s="22" t="s">
        <v>155</v>
      </c>
      <c r="C152" s="13" t="s">
        <v>80</v>
      </c>
      <c r="D152" s="13">
        <v>10</v>
      </c>
      <c r="E152" s="13">
        <v>26</v>
      </c>
      <c r="F152" s="14">
        <f>([1]innoculation!$D$31*2)/1000</f>
        <v>1153.7</v>
      </c>
      <c r="G152" s="13">
        <v>1360</v>
      </c>
      <c r="H152" s="13"/>
      <c r="I152" s="13">
        <v>4480</v>
      </c>
      <c r="J152" s="13">
        <v>13714</v>
      </c>
      <c r="K152" s="13">
        <v>36838</v>
      </c>
      <c r="L152" s="13">
        <f>6111*20</f>
        <v>122220</v>
      </c>
      <c r="M152" s="13">
        <f>14540*20</f>
        <v>290800</v>
      </c>
      <c r="N152" s="13">
        <f>23472*20</f>
        <v>469440</v>
      </c>
      <c r="O152" s="13"/>
      <c r="P152" s="13"/>
      <c r="Q152" s="13"/>
      <c r="R152" s="13"/>
      <c r="S152" s="13"/>
      <c r="T152" s="13"/>
      <c r="U152" s="13"/>
      <c r="V152" s="13"/>
      <c r="W152" s="13"/>
      <c r="Y152"/>
    </row>
    <row r="153" spans="1:25" x14ac:dyDescent="0.2">
      <c r="A153" s="22" t="s">
        <v>128</v>
      </c>
      <c r="B153" s="22" t="s">
        <v>155</v>
      </c>
      <c r="C153" s="13" t="s">
        <v>80</v>
      </c>
      <c r="D153" s="13">
        <v>10</v>
      </c>
      <c r="E153" s="13">
        <v>26</v>
      </c>
      <c r="F153" s="14">
        <f>([1]innoculation!$D$31*2)/1000</f>
        <v>1153.7</v>
      </c>
      <c r="G153" s="13">
        <v>1302</v>
      </c>
      <c r="H153" s="13"/>
      <c r="I153" s="13">
        <v>4089</v>
      </c>
      <c r="J153" s="13">
        <v>12275</v>
      </c>
      <c r="K153" s="13">
        <v>35611</v>
      </c>
      <c r="L153" s="13">
        <f>6242*20</f>
        <v>124840</v>
      </c>
      <c r="M153" s="13">
        <f>14753*20</f>
        <v>295060</v>
      </c>
      <c r="N153" s="13">
        <f>23714*20</f>
        <v>474280</v>
      </c>
      <c r="O153" s="13"/>
      <c r="P153" s="13"/>
      <c r="Q153" s="13"/>
      <c r="R153" s="13"/>
      <c r="S153" s="13"/>
      <c r="T153" s="13"/>
      <c r="U153" s="13"/>
      <c r="V153" s="13"/>
      <c r="W153" s="13"/>
      <c r="Y153"/>
    </row>
    <row r="154" spans="1:25" x14ac:dyDescent="0.2">
      <c r="A154" s="22" t="s">
        <v>128</v>
      </c>
      <c r="B154" s="22" t="s">
        <v>155</v>
      </c>
      <c r="C154" s="13" t="s">
        <v>80</v>
      </c>
      <c r="D154" s="13">
        <v>10</v>
      </c>
      <c r="E154" s="13">
        <v>26</v>
      </c>
      <c r="F154" s="14">
        <f>([1]innoculation!$D$31*2)/1000</f>
        <v>1153.7</v>
      </c>
      <c r="G154" s="13">
        <v>1207</v>
      </c>
      <c r="H154" s="13"/>
      <c r="I154" s="13">
        <v>4101</v>
      </c>
      <c r="J154" s="13">
        <v>11045</v>
      </c>
      <c r="K154" s="13">
        <v>35861</v>
      </c>
      <c r="L154" s="13">
        <f>6225*20</f>
        <v>124500</v>
      </c>
      <c r="M154" s="13">
        <f>15075*20</f>
        <v>301500</v>
      </c>
      <c r="N154" s="13">
        <f>23392*20</f>
        <v>467840</v>
      </c>
      <c r="O154" s="13"/>
      <c r="P154" s="13"/>
      <c r="Q154" s="13"/>
      <c r="R154" s="13"/>
      <c r="S154" s="13"/>
      <c r="T154" s="13"/>
      <c r="U154" s="13"/>
      <c r="V154" s="13"/>
      <c r="W154" s="13"/>
      <c r="Y154"/>
    </row>
    <row r="155" spans="1:25" x14ac:dyDescent="0.2">
      <c r="A155" s="24" t="s">
        <v>129</v>
      </c>
      <c r="B155" s="24" t="s">
        <v>157</v>
      </c>
      <c r="C155" s="11" t="s">
        <v>80</v>
      </c>
      <c r="D155" s="11">
        <v>10</v>
      </c>
      <c r="E155" s="11">
        <v>30</v>
      </c>
      <c r="F155" s="20">
        <f>([1]innoculation!$D$30*4)/1000</f>
        <v>1354.84</v>
      </c>
      <c r="G155" s="11">
        <v>1900</v>
      </c>
      <c r="H155" s="11">
        <v>1187</v>
      </c>
      <c r="I155" s="11"/>
      <c r="J155" s="11">
        <v>1126</v>
      </c>
      <c r="K155" s="11">
        <v>734</v>
      </c>
      <c r="L155" s="11">
        <v>1399</v>
      </c>
      <c r="M155" s="11"/>
      <c r="N155" s="11">
        <v>2204</v>
      </c>
      <c r="O155" s="11">
        <v>2147</v>
      </c>
      <c r="Q155" s="11">
        <v>1915</v>
      </c>
      <c r="R155" s="11">
        <v>1879</v>
      </c>
      <c r="U155" s="11"/>
      <c r="V155" s="11"/>
      <c r="W155" s="11"/>
      <c r="Y155"/>
    </row>
    <row r="156" spans="1:25" x14ac:dyDescent="0.2">
      <c r="A156" s="24" t="s">
        <v>129</v>
      </c>
      <c r="B156" s="24" t="s">
        <v>157</v>
      </c>
      <c r="C156" s="11" t="s">
        <v>80</v>
      </c>
      <c r="D156" s="11">
        <v>10</v>
      </c>
      <c r="E156" s="11">
        <v>30</v>
      </c>
      <c r="F156" s="20">
        <f>([1]innoculation!$D$30*4)/1000</f>
        <v>1354.84</v>
      </c>
      <c r="G156" s="11">
        <v>1887</v>
      </c>
      <c r="H156" s="11">
        <v>996</v>
      </c>
      <c r="I156" s="11"/>
      <c r="J156" s="11">
        <v>1123</v>
      </c>
      <c r="K156" s="11">
        <v>650</v>
      </c>
      <c r="L156" s="11">
        <v>1175</v>
      </c>
      <c r="M156" s="11"/>
      <c r="N156" s="11">
        <v>1980</v>
      </c>
      <c r="O156" s="11">
        <v>2054</v>
      </c>
      <c r="Q156" s="11">
        <v>1797</v>
      </c>
      <c r="R156" s="11">
        <v>1781</v>
      </c>
      <c r="U156" s="11"/>
      <c r="V156" s="11"/>
      <c r="W156" s="11"/>
      <c r="Y156"/>
    </row>
    <row r="157" spans="1:25" x14ac:dyDescent="0.2">
      <c r="A157" s="24" t="s">
        <v>129</v>
      </c>
      <c r="B157" s="24" t="s">
        <v>157</v>
      </c>
      <c r="C157" s="11" t="s">
        <v>80</v>
      </c>
      <c r="D157" s="11">
        <v>10</v>
      </c>
      <c r="E157" s="11">
        <v>30</v>
      </c>
      <c r="F157" s="20">
        <f>([1]innoculation!$D$30*4)/1000</f>
        <v>1354.84</v>
      </c>
      <c r="G157" s="11">
        <v>1823</v>
      </c>
      <c r="H157" s="11">
        <v>1004</v>
      </c>
      <c r="I157" s="11"/>
      <c r="J157" s="11">
        <v>1028</v>
      </c>
      <c r="K157" s="11">
        <v>751</v>
      </c>
      <c r="L157" s="11">
        <v>1158</v>
      </c>
      <c r="M157" s="11"/>
      <c r="N157" s="11">
        <v>1977</v>
      </c>
      <c r="O157" s="11">
        <v>2102</v>
      </c>
      <c r="Q157" s="11">
        <v>1778</v>
      </c>
      <c r="R157" s="11">
        <v>1752</v>
      </c>
      <c r="U157" s="11"/>
      <c r="V157" s="11"/>
      <c r="W157" s="11"/>
      <c r="Y157"/>
    </row>
    <row r="158" spans="1:25" x14ac:dyDescent="0.2">
      <c r="A158" s="24" t="s">
        <v>130</v>
      </c>
      <c r="B158" s="24" t="s">
        <v>157</v>
      </c>
      <c r="C158" s="11" t="s">
        <v>80</v>
      </c>
      <c r="D158" s="11">
        <v>10</v>
      </c>
      <c r="E158" s="11">
        <v>30</v>
      </c>
      <c r="F158" s="20">
        <f>([1]innoculation!$D$30*4)/1000</f>
        <v>1354.84</v>
      </c>
      <c r="G158" s="11">
        <v>1520</v>
      </c>
      <c r="H158" s="11">
        <v>1236</v>
      </c>
      <c r="I158" s="11"/>
      <c r="J158" s="11">
        <v>1038</v>
      </c>
      <c r="K158" s="11">
        <v>973</v>
      </c>
      <c r="L158" s="11">
        <v>1020</v>
      </c>
      <c r="M158" s="11"/>
      <c r="N158" s="11">
        <v>2119</v>
      </c>
      <c r="O158" s="11">
        <v>1899</v>
      </c>
      <c r="Q158" s="11">
        <v>1993</v>
      </c>
      <c r="R158" s="11">
        <v>2585</v>
      </c>
      <c r="U158" s="11"/>
      <c r="V158" s="11"/>
      <c r="W158" s="11"/>
      <c r="Y158"/>
    </row>
    <row r="159" spans="1:25" x14ac:dyDescent="0.2">
      <c r="A159" s="24" t="s">
        <v>130</v>
      </c>
      <c r="B159" s="24" t="s">
        <v>157</v>
      </c>
      <c r="C159" s="11" t="s">
        <v>80</v>
      </c>
      <c r="D159" s="11">
        <v>10</v>
      </c>
      <c r="E159" s="11">
        <v>30</v>
      </c>
      <c r="F159" s="20">
        <f>([1]innoculation!$D$30*4)/1000</f>
        <v>1354.84</v>
      </c>
      <c r="G159" s="11">
        <v>1598</v>
      </c>
      <c r="H159" s="11">
        <v>1173</v>
      </c>
      <c r="I159" s="11"/>
      <c r="J159" s="11">
        <v>948</v>
      </c>
      <c r="K159" s="11">
        <v>869</v>
      </c>
      <c r="L159" s="11">
        <v>1084</v>
      </c>
      <c r="M159" s="11"/>
      <c r="N159" s="11">
        <v>2001</v>
      </c>
      <c r="O159" s="11">
        <v>1945</v>
      </c>
      <c r="Q159" s="11">
        <v>1898</v>
      </c>
      <c r="R159" s="11">
        <v>2649</v>
      </c>
      <c r="U159" s="11"/>
      <c r="V159" s="11"/>
      <c r="W159" s="11"/>
      <c r="Y159"/>
    </row>
    <row r="160" spans="1:25" x14ac:dyDescent="0.2">
      <c r="A160" s="24" t="s">
        <v>130</v>
      </c>
      <c r="B160" s="24" t="s">
        <v>157</v>
      </c>
      <c r="C160" s="11" t="s">
        <v>80</v>
      </c>
      <c r="D160" s="11">
        <v>10</v>
      </c>
      <c r="E160" s="11">
        <v>30</v>
      </c>
      <c r="F160" s="20">
        <f>([1]innoculation!$D$30*4)/1000</f>
        <v>1354.84</v>
      </c>
      <c r="G160" s="11">
        <v>1493</v>
      </c>
      <c r="H160" s="11">
        <v>1159</v>
      </c>
      <c r="I160" s="11"/>
      <c r="J160" s="11">
        <v>939</v>
      </c>
      <c r="K160" s="11">
        <v>855</v>
      </c>
      <c r="L160" s="11">
        <v>1023</v>
      </c>
      <c r="M160" s="11"/>
      <c r="N160" s="11">
        <v>1993</v>
      </c>
      <c r="O160" s="11">
        <v>1929</v>
      </c>
      <c r="Q160" s="11">
        <v>1957</v>
      </c>
      <c r="R160" s="11">
        <v>2662</v>
      </c>
      <c r="U160" s="11"/>
      <c r="V160" s="11"/>
      <c r="W160" s="11"/>
      <c r="Y160"/>
    </row>
    <row r="161" spans="1:25" x14ac:dyDescent="0.2">
      <c r="A161" s="24" t="s">
        <v>131</v>
      </c>
      <c r="B161" s="24" t="s">
        <v>157</v>
      </c>
      <c r="C161" s="11" t="s">
        <v>80</v>
      </c>
      <c r="D161" s="11">
        <v>10</v>
      </c>
      <c r="E161" s="11">
        <v>30</v>
      </c>
      <c r="F161" s="20">
        <f>([1]innoculation!$D$30*4)/1000</f>
        <v>1354.84</v>
      </c>
      <c r="G161" s="11">
        <v>1702</v>
      </c>
      <c r="H161" s="11">
        <v>1282</v>
      </c>
      <c r="I161" s="11"/>
      <c r="J161" s="11">
        <v>1149</v>
      </c>
      <c r="K161" s="11">
        <v>1390</v>
      </c>
      <c r="L161" s="11">
        <v>1426</v>
      </c>
      <c r="M161" s="11"/>
      <c r="N161" s="11">
        <v>1994</v>
      </c>
      <c r="O161" s="11">
        <v>2190</v>
      </c>
      <c r="Q161" s="11">
        <v>2108</v>
      </c>
      <c r="R161" s="11">
        <v>2613</v>
      </c>
      <c r="U161" s="11"/>
      <c r="V161" s="11"/>
      <c r="W161" s="11"/>
      <c r="Y161"/>
    </row>
    <row r="162" spans="1:25" x14ac:dyDescent="0.2">
      <c r="A162" s="24" t="s">
        <v>131</v>
      </c>
      <c r="B162" s="24" t="s">
        <v>157</v>
      </c>
      <c r="C162" s="11" t="s">
        <v>80</v>
      </c>
      <c r="D162" s="11">
        <v>10</v>
      </c>
      <c r="E162" s="11">
        <v>30</v>
      </c>
      <c r="F162" s="20">
        <f>([1]innoculation!$D$30*4)/1000</f>
        <v>1354.84</v>
      </c>
      <c r="G162" s="11">
        <v>1683</v>
      </c>
      <c r="H162" s="11">
        <v>1233</v>
      </c>
      <c r="I162" s="11"/>
      <c r="J162" s="11">
        <v>1148</v>
      </c>
      <c r="K162" s="11">
        <v>1387</v>
      </c>
      <c r="L162" s="11">
        <v>1678</v>
      </c>
      <c r="M162" s="11"/>
      <c r="N162" s="11">
        <v>1922</v>
      </c>
      <c r="O162" s="11">
        <v>2044</v>
      </c>
      <c r="Q162" s="11">
        <v>2054</v>
      </c>
      <c r="R162" s="11">
        <v>2553</v>
      </c>
      <c r="U162" s="11"/>
      <c r="V162" s="11"/>
      <c r="W162" s="11"/>
      <c r="Y162"/>
    </row>
    <row r="163" spans="1:25" x14ac:dyDescent="0.2">
      <c r="A163" s="24" t="s">
        <v>131</v>
      </c>
      <c r="B163" s="24" t="s">
        <v>157</v>
      </c>
      <c r="C163" s="11" t="s">
        <v>80</v>
      </c>
      <c r="D163" s="11">
        <v>10</v>
      </c>
      <c r="E163" s="11">
        <v>30</v>
      </c>
      <c r="F163" s="20">
        <f>([1]innoculation!$D$30*4)/1000</f>
        <v>1354.84</v>
      </c>
      <c r="G163" s="11">
        <v>1673</v>
      </c>
      <c r="H163" s="11">
        <v>1250</v>
      </c>
      <c r="I163" s="11"/>
      <c r="J163" s="11">
        <v>1139</v>
      </c>
      <c r="K163" s="11">
        <v>1359</v>
      </c>
      <c r="L163" s="11">
        <v>1385</v>
      </c>
      <c r="M163" s="11"/>
      <c r="N163" s="11">
        <v>1931</v>
      </c>
      <c r="O163" s="11">
        <v>2051</v>
      </c>
      <c r="Q163" s="11">
        <v>2077</v>
      </c>
      <c r="R163" s="11">
        <v>2463</v>
      </c>
      <c r="U163" s="11"/>
      <c r="V163" s="11"/>
      <c r="W163" s="11"/>
      <c r="Y163"/>
    </row>
    <row r="164" spans="1:25" x14ac:dyDescent="0.2">
      <c r="A164" s="19"/>
      <c r="B164" s="19"/>
      <c r="C164" s="11"/>
      <c r="D164" s="11"/>
      <c r="E164" s="11"/>
      <c r="F164" s="20"/>
      <c r="G164" s="11"/>
      <c r="H164" s="11"/>
      <c r="I164" s="11"/>
      <c r="J164" s="11"/>
      <c r="K164" s="11"/>
      <c r="L164" s="11"/>
      <c r="M164" s="11"/>
      <c r="O164" s="11"/>
      <c r="U164" s="19"/>
      <c r="V164" s="19"/>
      <c r="W164" s="19"/>
    </row>
    <row r="165" spans="1:25" s="46" customFormat="1" x14ac:dyDescent="0.2">
      <c r="A165" s="42" t="s">
        <v>158</v>
      </c>
      <c r="B165" s="42"/>
      <c r="C165" s="43"/>
      <c r="D165" s="43"/>
      <c r="E165" s="43"/>
      <c r="F165" s="4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5"/>
      <c r="V165" s="45"/>
      <c r="W165" s="45"/>
      <c r="Y165" s="47"/>
    </row>
    <row r="166" spans="1:25" s="56" customFormat="1" x14ac:dyDescent="0.2">
      <c r="A166" s="50" t="s">
        <v>77</v>
      </c>
      <c r="B166" s="50" t="s">
        <v>138</v>
      </c>
      <c r="C166" s="51" t="s">
        <v>76</v>
      </c>
      <c r="D166" s="51">
        <v>50</v>
      </c>
      <c r="E166" s="51">
        <v>26</v>
      </c>
      <c r="F166" s="52">
        <f t="shared" ref="F166:W166" si="0">AVERAGE(F2:F4)</f>
        <v>1392.8666666666666</v>
      </c>
      <c r="G166" s="53">
        <f t="shared" si="0"/>
        <v>1693.3333333333333</v>
      </c>
      <c r="H166" s="53">
        <f t="shared" si="0"/>
        <v>2675.3333333333335</v>
      </c>
      <c r="I166" s="53">
        <f t="shared" si="0"/>
        <v>3628.6666666666665</v>
      </c>
      <c r="J166" s="53">
        <f t="shared" si="0"/>
        <v>7208.666666666667</v>
      </c>
      <c r="K166" s="53">
        <f t="shared" si="0"/>
        <v>16255.666666666666</v>
      </c>
      <c r="L166" s="53">
        <f t="shared" si="0"/>
        <v>37779.666666666664</v>
      </c>
      <c r="M166" s="53">
        <f t="shared" si="0"/>
        <v>99093.333333333328</v>
      </c>
      <c r="N166" s="53">
        <f t="shared" si="0"/>
        <v>248826.66666666666</v>
      </c>
      <c r="O166" s="53">
        <f t="shared" si="0"/>
        <v>463980</v>
      </c>
      <c r="P166" s="53">
        <f t="shared" si="0"/>
        <v>747380</v>
      </c>
      <c r="Q166" s="53">
        <f t="shared" si="0"/>
        <v>1245340</v>
      </c>
      <c r="R166" s="53">
        <f t="shared" si="0"/>
        <v>1420353.3333333333</v>
      </c>
      <c r="S166" s="53">
        <f t="shared" si="0"/>
        <v>1374633.3333333333</v>
      </c>
      <c r="T166" s="52" t="e">
        <f t="shared" si="0"/>
        <v>#DIV/0!</v>
      </c>
      <c r="U166" s="52" t="e">
        <f t="shared" si="0"/>
        <v>#DIV/0!</v>
      </c>
      <c r="V166" s="52" t="e">
        <f t="shared" si="0"/>
        <v>#DIV/0!</v>
      </c>
      <c r="W166" s="52" t="e">
        <f t="shared" si="0"/>
        <v>#DIV/0!</v>
      </c>
      <c r="X166" s="54"/>
      <c r="Y166" s="55"/>
    </row>
    <row r="167" spans="1:25" s="61" customFormat="1" x14ac:dyDescent="0.2">
      <c r="A167" s="57" t="s">
        <v>78</v>
      </c>
      <c r="B167" s="57" t="s">
        <v>138</v>
      </c>
      <c r="C167" s="58" t="s">
        <v>76</v>
      </c>
      <c r="D167" s="58">
        <v>50</v>
      </c>
      <c r="E167" s="58">
        <v>26</v>
      </c>
      <c r="F167" s="48">
        <f t="shared" ref="F167:W167" si="1">AVERAGE(F5:F7)</f>
        <v>1392.8666666666666</v>
      </c>
      <c r="G167" s="20">
        <f t="shared" si="1"/>
        <v>1802.6666666666667</v>
      </c>
      <c r="H167" s="20">
        <f t="shared" si="1"/>
        <v>2265.6666666666665</v>
      </c>
      <c r="I167" s="20">
        <f t="shared" si="1"/>
        <v>3085.6666666666665</v>
      </c>
      <c r="J167" s="20">
        <f t="shared" si="1"/>
        <v>8604.6666666666661</v>
      </c>
      <c r="K167" s="20">
        <f t="shared" si="1"/>
        <v>14282.666666666666</v>
      </c>
      <c r="L167" s="20">
        <f t="shared" si="1"/>
        <v>30727.666666666668</v>
      </c>
      <c r="M167" s="20">
        <f t="shared" si="1"/>
        <v>83220</v>
      </c>
      <c r="N167" s="20">
        <f t="shared" si="1"/>
        <v>207873.33333333334</v>
      </c>
      <c r="O167" s="20">
        <f t="shared" si="1"/>
        <v>392520</v>
      </c>
      <c r="P167" s="20">
        <f t="shared" si="1"/>
        <v>631926.66666666663</v>
      </c>
      <c r="Q167" s="20">
        <f t="shared" si="1"/>
        <v>1134833.3333333333</v>
      </c>
      <c r="R167" s="20">
        <f t="shared" si="1"/>
        <v>1348633.3333333333</v>
      </c>
      <c r="S167" s="20">
        <f t="shared" si="1"/>
        <v>1329953.3333333333</v>
      </c>
      <c r="T167" s="48" t="e">
        <f t="shared" si="1"/>
        <v>#DIV/0!</v>
      </c>
      <c r="U167" s="48" t="e">
        <f t="shared" si="1"/>
        <v>#DIV/0!</v>
      </c>
      <c r="V167" s="48" t="e">
        <f t="shared" si="1"/>
        <v>#DIV/0!</v>
      </c>
      <c r="W167" s="48" t="e">
        <f t="shared" si="1"/>
        <v>#DIV/0!</v>
      </c>
      <c r="X167" s="59"/>
      <c r="Y167" s="60"/>
    </row>
    <row r="168" spans="1:25" s="61" customFormat="1" x14ac:dyDescent="0.2">
      <c r="A168" s="57" t="s">
        <v>79</v>
      </c>
      <c r="B168" s="57" t="s">
        <v>138</v>
      </c>
      <c r="C168" s="58" t="s">
        <v>76</v>
      </c>
      <c r="D168" s="58">
        <v>50</v>
      </c>
      <c r="E168" s="58">
        <v>26</v>
      </c>
      <c r="F168" s="48">
        <f t="shared" ref="F168:W168" si="2">AVERAGE(F8:F10)</f>
        <v>1392.8666666666666</v>
      </c>
      <c r="G168" s="20">
        <f t="shared" si="2"/>
        <v>1665.6666666666667</v>
      </c>
      <c r="H168" s="20">
        <f t="shared" si="2"/>
        <v>2510</v>
      </c>
      <c r="I168" s="20">
        <f t="shared" si="2"/>
        <v>3520.3333333333335</v>
      </c>
      <c r="J168" s="20">
        <f t="shared" si="2"/>
        <v>7761</v>
      </c>
      <c r="K168" s="20">
        <f t="shared" si="2"/>
        <v>17916.666666666668</v>
      </c>
      <c r="L168" s="20">
        <f t="shared" si="2"/>
        <v>38334.666666666664</v>
      </c>
      <c r="M168" s="20">
        <f t="shared" si="2"/>
        <v>102993.33333333333</v>
      </c>
      <c r="N168" s="20">
        <f t="shared" si="2"/>
        <v>316173.33333333331</v>
      </c>
      <c r="O168" s="20">
        <f t="shared" si="2"/>
        <v>505746.66666666669</v>
      </c>
      <c r="P168" s="20">
        <f t="shared" si="2"/>
        <v>750273.33333333337</v>
      </c>
      <c r="Q168" s="20">
        <f t="shared" si="2"/>
        <v>1244966.6666666667</v>
      </c>
      <c r="R168" s="20">
        <f t="shared" si="2"/>
        <v>1409233.3333333333</v>
      </c>
      <c r="S168" s="20">
        <f t="shared" si="2"/>
        <v>1376533.3333333333</v>
      </c>
      <c r="T168" s="48" t="e">
        <f t="shared" si="2"/>
        <v>#DIV/0!</v>
      </c>
      <c r="U168" s="48" t="e">
        <f t="shared" si="2"/>
        <v>#DIV/0!</v>
      </c>
      <c r="V168" s="48" t="e">
        <f t="shared" si="2"/>
        <v>#DIV/0!</v>
      </c>
      <c r="W168" s="48" t="e">
        <f t="shared" si="2"/>
        <v>#DIV/0!</v>
      </c>
      <c r="X168" s="59"/>
      <c r="Y168" s="60"/>
    </row>
    <row r="169" spans="1:25" s="56" customFormat="1" x14ac:dyDescent="0.2">
      <c r="A169" s="50" t="s">
        <v>81</v>
      </c>
      <c r="B169" s="50" t="s">
        <v>139</v>
      </c>
      <c r="C169" s="51" t="s">
        <v>76</v>
      </c>
      <c r="D169" s="51">
        <v>100</v>
      </c>
      <c r="E169" s="51">
        <v>26</v>
      </c>
      <c r="F169" s="52">
        <f t="shared" ref="F169:W169" si="3">AVERAGE(F11:F13)</f>
        <v>1267.6266666666668</v>
      </c>
      <c r="G169" s="53">
        <f t="shared" si="3"/>
        <v>1360</v>
      </c>
      <c r="H169" s="53">
        <f t="shared" si="3"/>
        <v>1723.3333333333333</v>
      </c>
      <c r="I169" s="53">
        <f t="shared" si="3"/>
        <v>3450.3333333333335</v>
      </c>
      <c r="J169" s="53">
        <f t="shared" si="3"/>
        <v>6598.333333333333</v>
      </c>
      <c r="K169" s="53">
        <f t="shared" si="3"/>
        <v>15458</v>
      </c>
      <c r="L169" s="53">
        <f t="shared" si="3"/>
        <v>40267.333333333336</v>
      </c>
      <c r="M169" s="53">
        <f t="shared" si="3"/>
        <v>102746.66666666667</v>
      </c>
      <c r="N169" s="53">
        <f t="shared" si="3"/>
        <v>248220</v>
      </c>
      <c r="O169" s="53">
        <f t="shared" si="3"/>
        <v>429193.33333333331</v>
      </c>
      <c r="P169" s="53">
        <f t="shared" si="3"/>
        <v>793460</v>
      </c>
      <c r="Q169" s="53">
        <f t="shared" si="3"/>
        <v>1107373.3333333333</v>
      </c>
      <c r="R169" s="53">
        <f t="shared" si="3"/>
        <v>1292000</v>
      </c>
      <c r="S169" s="53">
        <f t="shared" si="3"/>
        <v>1236253.3333333333</v>
      </c>
      <c r="T169" s="52" t="e">
        <f t="shared" si="3"/>
        <v>#DIV/0!</v>
      </c>
      <c r="U169" s="52" t="e">
        <f t="shared" si="3"/>
        <v>#DIV/0!</v>
      </c>
      <c r="V169" s="52" t="e">
        <f t="shared" si="3"/>
        <v>#DIV/0!</v>
      </c>
      <c r="W169" s="52" t="e">
        <f t="shared" si="3"/>
        <v>#DIV/0!</v>
      </c>
      <c r="X169" s="54"/>
      <c r="Y169" s="55"/>
    </row>
    <row r="170" spans="1:25" s="61" customFormat="1" x14ac:dyDescent="0.2">
      <c r="A170" s="57" t="s">
        <v>82</v>
      </c>
      <c r="B170" s="57" t="s">
        <v>139</v>
      </c>
      <c r="C170" s="58" t="s">
        <v>76</v>
      </c>
      <c r="D170" s="58">
        <v>100</v>
      </c>
      <c r="E170" s="58">
        <v>26</v>
      </c>
      <c r="F170" s="48">
        <f t="shared" ref="F170:W170" si="4">AVERAGE(F14:F16)</f>
        <v>1267.6266666666668</v>
      </c>
      <c r="G170" s="20">
        <f t="shared" si="4"/>
        <v>1581.6666666666667</v>
      </c>
      <c r="H170" s="20">
        <f t="shared" si="4"/>
        <v>1680</v>
      </c>
      <c r="I170" s="20">
        <f t="shared" si="4"/>
        <v>3074</v>
      </c>
      <c r="J170" s="20">
        <f t="shared" si="4"/>
        <v>6221.333333333333</v>
      </c>
      <c r="K170" s="20">
        <f t="shared" si="4"/>
        <v>14062.666666666666</v>
      </c>
      <c r="L170" s="20">
        <f t="shared" si="4"/>
        <v>36136.666666666664</v>
      </c>
      <c r="M170" s="20">
        <f t="shared" si="4"/>
        <v>99786.666666666672</v>
      </c>
      <c r="N170" s="20">
        <f t="shared" si="4"/>
        <v>218013.33333333334</v>
      </c>
      <c r="O170" s="20">
        <f t="shared" si="4"/>
        <v>400040</v>
      </c>
      <c r="P170" s="20">
        <f t="shared" si="4"/>
        <v>761320</v>
      </c>
      <c r="Q170" s="20">
        <f t="shared" si="4"/>
        <v>1124440</v>
      </c>
      <c r="R170" s="20">
        <f t="shared" si="4"/>
        <v>1453633.3333333333</v>
      </c>
      <c r="S170" s="20">
        <f t="shared" si="4"/>
        <v>1238353.3333333333</v>
      </c>
      <c r="T170" s="48" t="e">
        <f t="shared" si="4"/>
        <v>#DIV/0!</v>
      </c>
      <c r="U170" s="48" t="e">
        <f t="shared" si="4"/>
        <v>#DIV/0!</v>
      </c>
      <c r="V170" s="48" t="e">
        <f t="shared" si="4"/>
        <v>#DIV/0!</v>
      </c>
      <c r="W170" s="48" t="e">
        <f t="shared" si="4"/>
        <v>#DIV/0!</v>
      </c>
      <c r="X170" s="59"/>
      <c r="Y170" s="60"/>
    </row>
    <row r="171" spans="1:25" s="61" customFormat="1" x14ac:dyDescent="0.2">
      <c r="A171" s="57" t="s">
        <v>83</v>
      </c>
      <c r="B171" s="57" t="s">
        <v>139</v>
      </c>
      <c r="C171" s="58" t="s">
        <v>76</v>
      </c>
      <c r="D171" s="58">
        <v>100</v>
      </c>
      <c r="E171" s="58">
        <v>26</v>
      </c>
      <c r="F171" s="48">
        <f t="shared" ref="F171:W171" si="5">AVERAGE(F17:F19)</f>
        <v>1267.6266666666668</v>
      </c>
      <c r="G171" s="20">
        <f t="shared" si="5"/>
        <v>1553.3333333333333</v>
      </c>
      <c r="H171" s="20">
        <f t="shared" si="5"/>
        <v>1703.3333333333333</v>
      </c>
      <c r="I171" s="20">
        <f t="shared" si="5"/>
        <v>2933.6666666666665</v>
      </c>
      <c r="J171" s="20">
        <f t="shared" si="5"/>
        <v>6701</v>
      </c>
      <c r="K171" s="20">
        <f t="shared" si="5"/>
        <v>14878.333333333334</v>
      </c>
      <c r="L171" s="20">
        <f t="shared" si="5"/>
        <v>37906.666666666664</v>
      </c>
      <c r="M171" s="20">
        <f t="shared" si="5"/>
        <v>105600</v>
      </c>
      <c r="N171" s="20">
        <f t="shared" si="5"/>
        <v>230440</v>
      </c>
      <c r="O171" s="20">
        <f t="shared" si="5"/>
        <v>416253.33333333331</v>
      </c>
      <c r="P171" s="20">
        <f t="shared" si="5"/>
        <v>738633.33333333337</v>
      </c>
      <c r="Q171" s="20">
        <f t="shared" si="5"/>
        <v>1071473.3333333333</v>
      </c>
      <c r="R171" s="20">
        <f t="shared" si="5"/>
        <v>1311026.6666666667</v>
      </c>
      <c r="S171" s="20">
        <f t="shared" si="5"/>
        <v>1219913.3333333333</v>
      </c>
      <c r="T171" s="48" t="e">
        <f t="shared" si="5"/>
        <v>#DIV/0!</v>
      </c>
      <c r="U171" s="48" t="e">
        <f t="shared" si="5"/>
        <v>#DIV/0!</v>
      </c>
      <c r="V171" s="48" t="e">
        <f t="shared" si="5"/>
        <v>#DIV/0!</v>
      </c>
      <c r="W171" s="48" t="e">
        <f t="shared" si="5"/>
        <v>#DIV/0!</v>
      </c>
      <c r="X171" s="59"/>
      <c r="Y171" s="60"/>
    </row>
    <row r="172" spans="1:25" s="66" customFormat="1" x14ac:dyDescent="0.2">
      <c r="A172" s="62" t="s">
        <v>84</v>
      </c>
      <c r="B172" s="62" t="s">
        <v>140</v>
      </c>
      <c r="C172" s="63" t="s">
        <v>80</v>
      </c>
      <c r="D172" s="63">
        <v>100</v>
      </c>
      <c r="E172" s="63">
        <v>26</v>
      </c>
      <c r="F172" s="52">
        <f t="shared" ref="F172:W172" si="6">AVERAGE(F20:F22)</f>
        <v>1396.4333333333334</v>
      </c>
      <c r="G172" s="53">
        <f t="shared" si="6"/>
        <v>1517.3333333333333</v>
      </c>
      <c r="H172" s="53">
        <f t="shared" si="6"/>
        <v>1701.3333333333333</v>
      </c>
      <c r="I172" s="53">
        <f t="shared" si="6"/>
        <v>3277</v>
      </c>
      <c r="J172" s="53">
        <f t="shared" si="6"/>
        <v>7058.333333333333</v>
      </c>
      <c r="K172" s="53">
        <f t="shared" si="6"/>
        <v>19192.333333333332</v>
      </c>
      <c r="L172" s="53">
        <f t="shared" si="6"/>
        <v>57677.666666666664</v>
      </c>
      <c r="M172" s="53">
        <f t="shared" si="6"/>
        <v>170580</v>
      </c>
      <c r="N172" s="53">
        <f t="shared" si="6"/>
        <v>379800</v>
      </c>
      <c r="O172" s="53">
        <f t="shared" si="6"/>
        <v>487846.66666666669</v>
      </c>
      <c r="P172" s="53">
        <f t="shared" si="6"/>
        <v>832680</v>
      </c>
      <c r="Q172" s="53">
        <f t="shared" si="6"/>
        <v>1176453.3333333333</v>
      </c>
      <c r="R172" s="53">
        <f t="shared" si="6"/>
        <v>1183820</v>
      </c>
      <c r="S172" s="53" t="e">
        <f t="shared" si="6"/>
        <v>#DIV/0!</v>
      </c>
      <c r="T172" s="52" t="e">
        <f t="shared" si="6"/>
        <v>#DIV/0!</v>
      </c>
      <c r="U172" s="52" t="e">
        <f t="shared" si="6"/>
        <v>#DIV/0!</v>
      </c>
      <c r="V172" s="52" t="e">
        <f t="shared" si="6"/>
        <v>#DIV/0!</v>
      </c>
      <c r="W172" s="52" t="e">
        <f t="shared" si="6"/>
        <v>#DIV/0!</v>
      </c>
      <c r="X172" s="64"/>
      <c r="Y172" s="65"/>
    </row>
    <row r="173" spans="1:25" x14ac:dyDescent="0.2">
      <c r="A173" s="5" t="s">
        <v>85</v>
      </c>
      <c r="B173" s="5" t="s">
        <v>140</v>
      </c>
      <c r="C173" s="6" t="s">
        <v>80</v>
      </c>
      <c r="D173" s="6">
        <v>100</v>
      </c>
      <c r="E173" s="6">
        <v>26</v>
      </c>
      <c r="F173" s="48">
        <f t="shared" ref="F173:W173" si="7">AVERAGE(F23:F25)</f>
        <v>1396.4333333333334</v>
      </c>
      <c r="G173" s="20">
        <f t="shared" si="7"/>
        <v>1807.6666666666667</v>
      </c>
      <c r="H173" s="20">
        <f t="shared" si="7"/>
        <v>1670.3333333333333</v>
      </c>
      <c r="I173" s="20">
        <f t="shared" si="7"/>
        <v>2864.3333333333335</v>
      </c>
      <c r="J173" s="20">
        <f t="shared" si="7"/>
        <v>6680</v>
      </c>
      <c r="K173" s="20">
        <f t="shared" si="7"/>
        <v>17675.666666666668</v>
      </c>
      <c r="L173" s="20">
        <f t="shared" si="7"/>
        <v>50256</v>
      </c>
      <c r="M173" s="20">
        <f t="shared" si="7"/>
        <v>142666.66666666666</v>
      </c>
      <c r="N173" s="20">
        <f t="shared" si="7"/>
        <v>338620</v>
      </c>
      <c r="O173" s="20">
        <f t="shared" si="7"/>
        <v>430153.33333333331</v>
      </c>
      <c r="P173" s="20">
        <f t="shared" si="7"/>
        <v>727773.33333333337</v>
      </c>
      <c r="Q173" s="20">
        <f t="shared" si="7"/>
        <v>999246.66666666663</v>
      </c>
      <c r="R173" s="20">
        <f t="shared" si="7"/>
        <v>1137220</v>
      </c>
      <c r="S173" s="20" t="e">
        <f t="shared" si="7"/>
        <v>#DIV/0!</v>
      </c>
      <c r="T173" s="48" t="e">
        <f t="shared" si="7"/>
        <v>#DIV/0!</v>
      </c>
      <c r="U173" s="48" t="e">
        <f t="shared" si="7"/>
        <v>#DIV/0!</v>
      </c>
      <c r="V173" s="48" t="e">
        <f t="shared" si="7"/>
        <v>#DIV/0!</v>
      </c>
      <c r="W173" s="48" t="e">
        <f t="shared" si="7"/>
        <v>#DIV/0!</v>
      </c>
      <c r="X173" s="49"/>
    </row>
    <row r="174" spans="1:25" x14ac:dyDescent="0.2">
      <c r="A174" s="5" t="s">
        <v>86</v>
      </c>
      <c r="B174" s="5" t="s">
        <v>140</v>
      </c>
      <c r="C174" s="6" t="s">
        <v>80</v>
      </c>
      <c r="D174" s="6">
        <v>100</v>
      </c>
      <c r="E174" s="6">
        <v>26</v>
      </c>
      <c r="F174" s="48">
        <f t="shared" ref="F174:W174" si="8">AVERAGE(F26:F28)</f>
        <v>1396.4333333333334</v>
      </c>
      <c r="G174" s="20">
        <f t="shared" si="8"/>
        <v>1255</v>
      </c>
      <c r="H174" s="20">
        <f t="shared" si="8"/>
        <v>1346.3333333333333</v>
      </c>
      <c r="I174" s="20">
        <f t="shared" si="8"/>
        <v>2714.6666666666665</v>
      </c>
      <c r="J174" s="20">
        <f t="shared" si="8"/>
        <v>6518.666666666667</v>
      </c>
      <c r="K174" s="20">
        <f t="shared" si="8"/>
        <v>15873</v>
      </c>
      <c r="L174" s="20">
        <f t="shared" si="8"/>
        <v>55243.666666666664</v>
      </c>
      <c r="M174" s="20">
        <f t="shared" si="8"/>
        <v>202733.33333333334</v>
      </c>
      <c r="N174" s="20">
        <f t="shared" si="8"/>
        <v>437013.33333333331</v>
      </c>
      <c r="O174" s="20">
        <f t="shared" si="8"/>
        <v>541853.33333333337</v>
      </c>
      <c r="P174" s="20">
        <f t="shared" si="8"/>
        <v>835693.33333333337</v>
      </c>
      <c r="Q174" s="20">
        <f t="shared" si="8"/>
        <v>1088160</v>
      </c>
      <c r="R174" s="20">
        <f t="shared" si="8"/>
        <v>1206413.3333333333</v>
      </c>
      <c r="S174" s="20" t="e">
        <f t="shared" si="8"/>
        <v>#DIV/0!</v>
      </c>
      <c r="T174" s="48" t="e">
        <f t="shared" si="8"/>
        <v>#DIV/0!</v>
      </c>
      <c r="U174" s="48" t="e">
        <f t="shared" si="8"/>
        <v>#DIV/0!</v>
      </c>
      <c r="V174" s="48" t="e">
        <f t="shared" si="8"/>
        <v>#DIV/0!</v>
      </c>
      <c r="W174" s="48" t="e">
        <f t="shared" si="8"/>
        <v>#DIV/0!</v>
      </c>
      <c r="X174" s="49"/>
    </row>
    <row r="175" spans="1:25" s="56" customFormat="1" x14ac:dyDescent="0.2">
      <c r="A175" s="50" t="s">
        <v>87</v>
      </c>
      <c r="B175" s="50" t="s">
        <v>141</v>
      </c>
      <c r="C175" s="51" t="s">
        <v>80</v>
      </c>
      <c r="D175" s="51">
        <v>50</v>
      </c>
      <c r="E175" s="51">
        <v>26</v>
      </c>
      <c r="F175" s="52">
        <f t="shared" ref="F175:W175" si="9">AVERAGE(F29:F31)</f>
        <v>1245.9666666666665</v>
      </c>
      <c r="G175" s="53">
        <f t="shared" si="9"/>
        <v>2080.6666666666665</v>
      </c>
      <c r="H175" s="53">
        <f t="shared" si="9"/>
        <v>4536.333333333333</v>
      </c>
      <c r="I175" s="53">
        <f t="shared" si="9"/>
        <v>12720.666666666666</v>
      </c>
      <c r="J175" s="53">
        <f t="shared" si="9"/>
        <v>35553</v>
      </c>
      <c r="K175" s="53">
        <f t="shared" si="9"/>
        <v>104160</v>
      </c>
      <c r="L175" s="53">
        <f t="shared" si="9"/>
        <v>171340</v>
      </c>
      <c r="M175" s="53">
        <f t="shared" si="9"/>
        <v>501653.33333333331</v>
      </c>
      <c r="N175" s="53">
        <f t="shared" si="9"/>
        <v>647120</v>
      </c>
      <c r="O175" s="53" t="e">
        <f t="shared" si="9"/>
        <v>#DIV/0!</v>
      </c>
      <c r="P175" s="53" t="e">
        <f t="shared" si="9"/>
        <v>#DIV/0!</v>
      </c>
      <c r="Q175" s="53" t="e">
        <f t="shared" si="9"/>
        <v>#DIV/0!</v>
      </c>
      <c r="R175" s="53" t="e">
        <f t="shared" si="9"/>
        <v>#DIV/0!</v>
      </c>
      <c r="S175" s="53" t="e">
        <f t="shared" si="9"/>
        <v>#DIV/0!</v>
      </c>
      <c r="T175" s="52" t="e">
        <f t="shared" si="9"/>
        <v>#DIV/0!</v>
      </c>
      <c r="U175" s="52" t="e">
        <f t="shared" si="9"/>
        <v>#DIV/0!</v>
      </c>
      <c r="V175" s="52" t="e">
        <f t="shared" si="9"/>
        <v>#DIV/0!</v>
      </c>
      <c r="W175" s="52" t="e">
        <f t="shared" si="9"/>
        <v>#DIV/0!</v>
      </c>
      <c r="X175" s="54"/>
      <c r="Y175" s="55"/>
    </row>
    <row r="176" spans="1:25" s="61" customFormat="1" x14ac:dyDescent="0.2">
      <c r="A176" s="57" t="s">
        <v>88</v>
      </c>
      <c r="B176" s="57" t="s">
        <v>141</v>
      </c>
      <c r="C176" s="58" t="s">
        <v>80</v>
      </c>
      <c r="D176" s="58">
        <v>50</v>
      </c>
      <c r="E176" s="58">
        <v>26</v>
      </c>
      <c r="F176" s="48">
        <f t="shared" ref="F176:W176" si="10">AVERAGE(F32:F34)</f>
        <v>1245.9666666666665</v>
      </c>
      <c r="G176" s="20">
        <f t="shared" si="10"/>
        <v>2121.6666666666665</v>
      </c>
      <c r="H176" s="20">
        <f t="shared" si="10"/>
        <v>4785.333333333333</v>
      </c>
      <c r="I176" s="20">
        <f t="shared" si="10"/>
        <v>12135.666666666666</v>
      </c>
      <c r="J176" s="20">
        <f t="shared" si="10"/>
        <v>30102.333333333332</v>
      </c>
      <c r="K176" s="20">
        <f t="shared" si="10"/>
        <v>100606.66666666667</v>
      </c>
      <c r="L176" s="20">
        <f t="shared" si="10"/>
        <v>173713.33333333334</v>
      </c>
      <c r="M176" s="20">
        <f t="shared" si="10"/>
        <v>473546.66666666669</v>
      </c>
      <c r="N176" s="20">
        <f t="shared" si="10"/>
        <v>610806.66666666663</v>
      </c>
      <c r="O176" s="20" t="e">
        <f t="shared" si="10"/>
        <v>#DIV/0!</v>
      </c>
      <c r="P176" s="20" t="e">
        <f t="shared" si="10"/>
        <v>#DIV/0!</v>
      </c>
      <c r="Q176" s="20" t="e">
        <f t="shared" si="10"/>
        <v>#DIV/0!</v>
      </c>
      <c r="R176" s="20" t="e">
        <f t="shared" si="10"/>
        <v>#DIV/0!</v>
      </c>
      <c r="S176" s="20" t="e">
        <f t="shared" si="10"/>
        <v>#DIV/0!</v>
      </c>
      <c r="T176" s="20" t="e">
        <f t="shared" si="10"/>
        <v>#DIV/0!</v>
      </c>
      <c r="U176" s="20" t="e">
        <f t="shared" si="10"/>
        <v>#DIV/0!</v>
      </c>
      <c r="V176" s="20" t="e">
        <f t="shared" si="10"/>
        <v>#DIV/0!</v>
      </c>
      <c r="W176" s="20" t="e">
        <f t="shared" si="10"/>
        <v>#DIV/0!</v>
      </c>
      <c r="X176" s="59"/>
      <c r="Y176" s="60"/>
    </row>
    <row r="177" spans="1:25" s="61" customFormat="1" x14ac:dyDescent="0.2">
      <c r="A177" s="57" t="s">
        <v>89</v>
      </c>
      <c r="B177" s="57" t="s">
        <v>141</v>
      </c>
      <c r="C177" s="58" t="s">
        <v>80</v>
      </c>
      <c r="D177" s="58">
        <v>50</v>
      </c>
      <c r="E177" s="58">
        <v>26</v>
      </c>
      <c r="F177" s="48">
        <f t="shared" ref="F177:W177" si="11">AVERAGE(F35:F37)</f>
        <v>1245.9666666666665</v>
      </c>
      <c r="G177" s="20">
        <f t="shared" si="11"/>
        <v>2111</v>
      </c>
      <c r="H177" s="20">
        <f t="shared" si="11"/>
        <v>4855.666666666667</v>
      </c>
      <c r="I177" s="20">
        <f t="shared" si="11"/>
        <v>15356.333333333334</v>
      </c>
      <c r="J177" s="20">
        <f t="shared" si="11"/>
        <v>41300</v>
      </c>
      <c r="K177" s="20">
        <f t="shared" si="11"/>
        <v>114226.66666666667</v>
      </c>
      <c r="L177" s="20">
        <f t="shared" si="11"/>
        <v>177600</v>
      </c>
      <c r="M177" s="20">
        <f t="shared" si="11"/>
        <v>437460</v>
      </c>
      <c r="N177" s="20">
        <f t="shared" si="11"/>
        <v>617093.33333333337</v>
      </c>
      <c r="O177" s="20" t="e">
        <f t="shared" si="11"/>
        <v>#DIV/0!</v>
      </c>
      <c r="P177" s="20" t="e">
        <f t="shared" si="11"/>
        <v>#DIV/0!</v>
      </c>
      <c r="Q177" s="20" t="e">
        <f t="shared" si="11"/>
        <v>#DIV/0!</v>
      </c>
      <c r="R177" s="20" t="e">
        <f t="shared" si="11"/>
        <v>#DIV/0!</v>
      </c>
      <c r="S177" s="20" t="e">
        <f t="shared" si="11"/>
        <v>#DIV/0!</v>
      </c>
      <c r="T177" s="20" t="e">
        <f t="shared" si="11"/>
        <v>#DIV/0!</v>
      </c>
      <c r="U177" s="20" t="e">
        <f t="shared" si="11"/>
        <v>#DIV/0!</v>
      </c>
      <c r="V177" s="20" t="e">
        <f t="shared" si="11"/>
        <v>#DIV/0!</v>
      </c>
      <c r="W177" s="20" t="e">
        <f t="shared" si="11"/>
        <v>#DIV/0!</v>
      </c>
      <c r="X177" s="59"/>
      <c r="Y177" s="60"/>
    </row>
    <row r="178" spans="1:25" s="66" customFormat="1" x14ac:dyDescent="0.2">
      <c r="A178" s="67" t="s">
        <v>90</v>
      </c>
      <c r="B178" s="67" t="s">
        <v>142</v>
      </c>
      <c r="C178" s="68" t="s">
        <v>76</v>
      </c>
      <c r="D178" s="68">
        <v>50</v>
      </c>
      <c r="E178" s="68">
        <v>28</v>
      </c>
      <c r="F178" s="52">
        <f t="shared" ref="F178:W178" si="12">AVERAGE(F38:F40)</f>
        <v>1229.06</v>
      </c>
      <c r="G178" s="53">
        <f t="shared" si="12"/>
        <v>2460.6666666666665</v>
      </c>
      <c r="H178" s="53">
        <f t="shared" si="12"/>
        <v>3386.3333333333335</v>
      </c>
      <c r="I178" s="53">
        <f t="shared" si="12"/>
        <v>4081.6666666666665</v>
      </c>
      <c r="J178" s="53">
        <f t="shared" si="12"/>
        <v>19364</v>
      </c>
      <c r="K178" s="53">
        <f t="shared" si="12"/>
        <v>51032</v>
      </c>
      <c r="L178" s="53">
        <f t="shared" si="12"/>
        <v>140726.66666666666</v>
      </c>
      <c r="M178" s="53">
        <f t="shared" si="12"/>
        <v>279926.66666666669</v>
      </c>
      <c r="N178" s="53">
        <f t="shared" si="12"/>
        <v>524393.33333333337</v>
      </c>
      <c r="O178" s="53">
        <f t="shared" si="12"/>
        <v>792913.33333333337</v>
      </c>
      <c r="P178" s="53">
        <f t="shared" si="12"/>
        <v>1022433.3333333334</v>
      </c>
      <c r="Q178" s="53">
        <f t="shared" si="12"/>
        <v>1200986.6666666667</v>
      </c>
      <c r="R178" s="53" t="e">
        <f t="shared" si="12"/>
        <v>#DIV/0!</v>
      </c>
      <c r="S178" s="53" t="e">
        <f t="shared" si="12"/>
        <v>#DIV/0!</v>
      </c>
      <c r="T178" s="53" t="e">
        <f t="shared" si="12"/>
        <v>#DIV/0!</v>
      </c>
      <c r="U178" s="53" t="e">
        <f t="shared" si="12"/>
        <v>#DIV/0!</v>
      </c>
      <c r="V178" s="53" t="e">
        <f t="shared" si="12"/>
        <v>#DIV/0!</v>
      </c>
      <c r="W178" s="53" t="e">
        <f t="shared" si="12"/>
        <v>#DIV/0!</v>
      </c>
      <c r="X178" s="64"/>
      <c r="Y178" s="65"/>
    </row>
    <row r="179" spans="1:25" x14ac:dyDescent="0.2">
      <c r="A179" s="19" t="s">
        <v>91</v>
      </c>
      <c r="B179" s="19" t="s">
        <v>142</v>
      </c>
      <c r="C179" s="11" t="s">
        <v>76</v>
      </c>
      <c r="D179" s="11">
        <v>50</v>
      </c>
      <c r="E179" s="11">
        <v>28</v>
      </c>
      <c r="F179" s="48">
        <f t="shared" ref="F179:W179" si="13">AVERAGE(F41:F43)</f>
        <v>1229.06</v>
      </c>
      <c r="G179" s="20">
        <f t="shared" si="13"/>
        <v>2014.6666666666667</v>
      </c>
      <c r="H179" s="20">
        <f t="shared" si="13"/>
        <v>3514.3333333333335</v>
      </c>
      <c r="I179" s="20">
        <f t="shared" si="13"/>
        <v>4789.666666666667</v>
      </c>
      <c r="J179" s="20">
        <f t="shared" si="13"/>
        <v>23412</v>
      </c>
      <c r="K179" s="20">
        <f t="shared" si="13"/>
        <v>61417</v>
      </c>
      <c r="L179" s="20">
        <f t="shared" si="13"/>
        <v>160220</v>
      </c>
      <c r="M179" s="20">
        <f t="shared" si="13"/>
        <v>349920</v>
      </c>
      <c r="N179" s="20">
        <f t="shared" si="13"/>
        <v>624073.33333333337</v>
      </c>
      <c r="O179" s="20">
        <f t="shared" si="13"/>
        <v>913726.66666666663</v>
      </c>
      <c r="P179" s="20">
        <f t="shared" si="13"/>
        <v>1059300</v>
      </c>
      <c r="Q179" s="20">
        <f t="shared" si="13"/>
        <v>1138920</v>
      </c>
      <c r="R179" s="20" t="e">
        <f t="shared" si="13"/>
        <v>#DIV/0!</v>
      </c>
      <c r="S179" s="20" t="e">
        <f t="shared" si="13"/>
        <v>#DIV/0!</v>
      </c>
      <c r="T179" s="20" t="e">
        <f t="shared" si="13"/>
        <v>#DIV/0!</v>
      </c>
      <c r="U179" s="20" t="e">
        <f t="shared" si="13"/>
        <v>#DIV/0!</v>
      </c>
      <c r="V179" s="20" t="e">
        <f t="shared" si="13"/>
        <v>#DIV/0!</v>
      </c>
      <c r="W179" s="20" t="e">
        <f t="shared" si="13"/>
        <v>#DIV/0!</v>
      </c>
      <c r="X179" s="49"/>
    </row>
    <row r="180" spans="1:25" x14ac:dyDescent="0.2">
      <c r="A180" s="19" t="s">
        <v>92</v>
      </c>
      <c r="B180" s="19" t="s">
        <v>142</v>
      </c>
      <c r="C180" s="11" t="s">
        <v>76</v>
      </c>
      <c r="D180" s="11">
        <v>50</v>
      </c>
      <c r="E180" s="11">
        <v>28</v>
      </c>
      <c r="F180" s="48">
        <f t="shared" ref="F180:W180" si="14">AVERAGE(F44:F46)</f>
        <v>1229.06</v>
      </c>
      <c r="G180" s="20">
        <f t="shared" si="14"/>
        <v>2271</v>
      </c>
      <c r="H180" s="20">
        <f t="shared" si="14"/>
        <v>3171.6666666666665</v>
      </c>
      <c r="I180" s="20">
        <f t="shared" si="14"/>
        <v>4728.666666666667</v>
      </c>
      <c r="J180" s="20">
        <f t="shared" si="14"/>
        <v>22599</v>
      </c>
      <c r="K180" s="20">
        <f t="shared" si="14"/>
        <v>60639.666666666664</v>
      </c>
      <c r="L180" s="20">
        <f t="shared" si="14"/>
        <v>158426.66666666666</v>
      </c>
      <c r="M180" s="20">
        <f t="shared" si="14"/>
        <v>364420</v>
      </c>
      <c r="N180" s="20">
        <f t="shared" si="14"/>
        <v>615726.66666666663</v>
      </c>
      <c r="O180" s="20">
        <f t="shared" si="14"/>
        <v>879080</v>
      </c>
      <c r="P180" s="20">
        <f t="shared" si="14"/>
        <v>1092253.3333333333</v>
      </c>
      <c r="Q180" s="20">
        <f t="shared" si="14"/>
        <v>1308193.3333333333</v>
      </c>
      <c r="R180" s="20" t="e">
        <f t="shared" si="14"/>
        <v>#DIV/0!</v>
      </c>
      <c r="S180" s="20" t="e">
        <f t="shared" si="14"/>
        <v>#DIV/0!</v>
      </c>
      <c r="T180" s="20" t="e">
        <f t="shared" si="14"/>
        <v>#DIV/0!</v>
      </c>
      <c r="U180" s="20" t="e">
        <f t="shared" si="14"/>
        <v>#DIV/0!</v>
      </c>
      <c r="V180" s="20" t="e">
        <f t="shared" si="14"/>
        <v>#DIV/0!</v>
      </c>
      <c r="W180" s="20" t="e">
        <f t="shared" si="14"/>
        <v>#DIV/0!</v>
      </c>
      <c r="X180" s="49"/>
    </row>
    <row r="181" spans="1:25" s="56" customFormat="1" x14ac:dyDescent="0.2">
      <c r="A181" s="69" t="s">
        <v>93</v>
      </c>
      <c r="B181" s="69" t="s">
        <v>144</v>
      </c>
      <c r="C181" s="51" t="s">
        <v>76</v>
      </c>
      <c r="D181" s="51">
        <v>100</v>
      </c>
      <c r="E181" s="51">
        <v>28</v>
      </c>
      <c r="F181" s="52">
        <f t="shared" ref="F181:W181" si="15">AVERAGE(F47:F49)</f>
        <v>1313.9</v>
      </c>
      <c r="G181" s="53">
        <f t="shared" si="15"/>
        <v>2538.6666666666665</v>
      </c>
      <c r="H181" s="53">
        <f t="shared" si="15"/>
        <v>3792.6666666666665</v>
      </c>
      <c r="I181" s="53">
        <f t="shared" si="15"/>
        <v>4301</v>
      </c>
      <c r="J181" s="53">
        <f t="shared" si="15"/>
        <v>22407.333333333332</v>
      </c>
      <c r="K181" s="53">
        <f t="shared" si="15"/>
        <v>61378</v>
      </c>
      <c r="L181" s="53">
        <f t="shared" si="15"/>
        <v>172220</v>
      </c>
      <c r="M181" s="53">
        <f t="shared" si="15"/>
        <v>364766.66666666669</v>
      </c>
      <c r="N181" s="53">
        <f t="shared" si="15"/>
        <v>623280</v>
      </c>
      <c r="O181" s="53">
        <f t="shared" si="15"/>
        <v>974906.66666666663</v>
      </c>
      <c r="P181" s="53">
        <f t="shared" si="15"/>
        <v>1132066.6666666667</v>
      </c>
      <c r="Q181" s="53">
        <f t="shared" si="15"/>
        <v>1265306.6666666667</v>
      </c>
      <c r="R181" s="53" t="e">
        <f t="shared" si="15"/>
        <v>#DIV/0!</v>
      </c>
      <c r="S181" s="53" t="e">
        <f t="shared" si="15"/>
        <v>#DIV/0!</v>
      </c>
      <c r="T181" s="53" t="e">
        <f t="shared" si="15"/>
        <v>#DIV/0!</v>
      </c>
      <c r="U181" s="53" t="e">
        <f t="shared" si="15"/>
        <v>#DIV/0!</v>
      </c>
      <c r="V181" s="53" t="e">
        <f t="shared" si="15"/>
        <v>#DIV/0!</v>
      </c>
      <c r="W181" s="53" t="e">
        <f t="shared" si="15"/>
        <v>#DIV/0!</v>
      </c>
      <c r="X181" s="54"/>
      <c r="Y181" s="55"/>
    </row>
    <row r="182" spans="1:25" s="61" customFormat="1" x14ac:dyDescent="0.2">
      <c r="A182" s="70" t="s">
        <v>94</v>
      </c>
      <c r="B182" s="70" t="s">
        <v>144</v>
      </c>
      <c r="C182" s="58" t="s">
        <v>76</v>
      </c>
      <c r="D182" s="58">
        <v>100</v>
      </c>
      <c r="E182" s="58">
        <v>28</v>
      </c>
      <c r="F182" s="48">
        <f t="shared" ref="F182:W182" si="16">AVERAGE(F50:F52)</f>
        <v>1313.9</v>
      </c>
      <c r="G182" s="20">
        <f t="shared" si="16"/>
        <v>2027</v>
      </c>
      <c r="H182" s="20">
        <f t="shared" si="16"/>
        <v>3355.6666666666665</v>
      </c>
      <c r="I182" s="20">
        <f t="shared" si="16"/>
        <v>4435.666666666667</v>
      </c>
      <c r="J182" s="20">
        <f t="shared" si="16"/>
        <v>23294</v>
      </c>
      <c r="K182" s="20">
        <f t="shared" si="16"/>
        <v>58994.333333333336</v>
      </c>
      <c r="L182" s="20">
        <f t="shared" si="16"/>
        <v>164260</v>
      </c>
      <c r="M182" s="20">
        <f t="shared" si="16"/>
        <v>371060</v>
      </c>
      <c r="N182" s="20">
        <f t="shared" si="16"/>
        <v>628080</v>
      </c>
      <c r="O182" s="20">
        <f t="shared" si="16"/>
        <v>938860</v>
      </c>
      <c r="P182" s="20">
        <f t="shared" si="16"/>
        <v>1121293.3333333333</v>
      </c>
      <c r="Q182" s="20">
        <f t="shared" si="16"/>
        <v>1221806.6666666667</v>
      </c>
      <c r="R182" s="20" t="e">
        <f t="shared" si="16"/>
        <v>#DIV/0!</v>
      </c>
      <c r="S182" s="20" t="e">
        <f t="shared" si="16"/>
        <v>#DIV/0!</v>
      </c>
      <c r="T182" s="20" t="e">
        <f t="shared" si="16"/>
        <v>#DIV/0!</v>
      </c>
      <c r="U182" s="20" t="e">
        <f t="shared" si="16"/>
        <v>#DIV/0!</v>
      </c>
      <c r="V182" s="20" t="e">
        <f t="shared" si="16"/>
        <v>#DIV/0!</v>
      </c>
      <c r="W182" s="20" t="e">
        <f t="shared" si="16"/>
        <v>#DIV/0!</v>
      </c>
      <c r="X182" s="59"/>
      <c r="Y182" s="60"/>
    </row>
    <row r="183" spans="1:25" s="61" customFormat="1" x14ac:dyDescent="0.2">
      <c r="A183" s="70" t="s">
        <v>95</v>
      </c>
      <c r="B183" s="70" t="s">
        <v>144</v>
      </c>
      <c r="C183" s="58" t="s">
        <v>76</v>
      </c>
      <c r="D183" s="58">
        <v>100</v>
      </c>
      <c r="E183" s="58">
        <v>28</v>
      </c>
      <c r="F183" s="48">
        <f t="shared" ref="F183:W183" si="17">AVERAGE(F53:F55)</f>
        <v>1313.9</v>
      </c>
      <c r="G183" s="20">
        <f t="shared" si="17"/>
        <v>2137.6666666666665</v>
      </c>
      <c r="H183" s="20">
        <f t="shared" si="17"/>
        <v>3492.6666666666665</v>
      </c>
      <c r="I183" s="20">
        <f t="shared" si="17"/>
        <v>4489.666666666667</v>
      </c>
      <c r="J183" s="20">
        <f t="shared" si="17"/>
        <v>21450</v>
      </c>
      <c r="K183" s="20">
        <f t="shared" si="17"/>
        <v>60972</v>
      </c>
      <c r="L183" s="20">
        <f t="shared" si="17"/>
        <v>179326.66666666666</v>
      </c>
      <c r="M183" s="20">
        <f t="shared" si="17"/>
        <v>364233.33333333331</v>
      </c>
      <c r="N183" s="20">
        <f t="shared" si="17"/>
        <v>651600</v>
      </c>
      <c r="O183" s="20">
        <f t="shared" si="17"/>
        <v>945980</v>
      </c>
      <c r="P183" s="20">
        <f t="shared" si="17"/>
        <v>1138820</v>
      </c>
      <c r="Q183" s="20">
        <f t="shared" si="17"/>
        <v>1270233.3333333333</v>
      </c>
      <c r="R183" s="20" t="e">
        <f t="shared" si="17"/>
        <v>#DIV/0!</v>
      </c>
      <c r="S183" s="20" t="e">
        <f t="shared" si="17"/>
        <v>#DIV/0!</v>
      </c>
      <c r="T183" s="20" t="e">
        <f t="shared" si="17"/>
        <v>#DIV/0!</v>
      </c>
      <c r="U183" s="20" t="e">
        <f t="shared" si="17"/>
        <v>#DIV/0!</v>
      </c>
      <c r="V183" s="20" t="e">
        <f t="shared" si="17"/>
        <v>#DIV/0!</v>
      </c>
      <c r="W183" s="20" t="e">
        <f t="shared" si="17"/>
        <v>#DIV/0!</v>
      </c>
      <c r="X183" s="59"/>
      <c r="Y183" s="60"/>
    </row>
    <row r="184" spans="1:25" s="56" customFormat="1" x14ac:dyDescent="0.2">
      <c r="A184" s="69" t="s">
        <v>96</v>
      </c>
      <c r="B184" s="69" t="s">
        <v>145</v>
      </c>
      <c r="C184" s="51" t="s">
        <v>80</v>
      </c>
      <c r="D184" s="51">
        <v>50</v>
      </c>
      <c r="E184" s="51">
        <v>28</v>
      </c>
      <c r="F184" s="52">
        <f t="shared" ref="F184:W184" si="18">AVERAGE(F56:F58)</f>
        <v>1124.94</v>
      </c>
      <c r="G184" s="53">
        <f t="shared" si="18"/>
        <v>1562</v>
      </c>
      <c r="H184" s="53">
        <f t="shared" si="18"/>
        <v>3438</v>
      </c>
      <c r="I184" s="53">
        <f t="shared" si="18"/>
        <v>2681.3333333333335</v>
      </c>
      <c r="J184" s="53">
        <f t="shared" si="18"/>
        <v>30010.666666666668</v>
      </c>
      <c r="K184" s="53">
        <f t="shared" si="18"/>
        <v>77035</v>
      </c>
      <c r="L184" s="53">
        <f t="shared" si="18"/>
        <v>209346.66666666666</v>
      </c>
      <c r="M184" s="53">
        <f t="shared" si="18"/>
        <v>373740</v>
      </c>
      <c r="N184" s="53">
        <f t="shared" si="18"/>
        <v>467373.33333333331</v>
      </c>
      <c r="O184" s="53">
        <f t="shared" si="18"/>
        <v>421940</v>
      </c>
      <c r="P184" s="53" t="e">
        <f t="shared" si="18"/>
        <v>#DIV/0!</v>
      </c>
      <c r="Q184" s="53" t="e">
        <f t="shared" si="18"/>
        <v>#DIV/0!</v>
      </c>
      <c r="R184" s="53" t="e">
        <f t="shared" si="18"/>
        <v>#DIV/0!</v>
      </c>
      <c r="S184" s="53" t="e">
        <f t="shared" si="18"/>
        <v>#DIV/0!</v>
      </c>
      <c r="T184" s="53" t="e">
        <f t="shared" si="18"/>
        <v>#DIV/0!</v>
      </c>
      <c r="U184" s="53" t="e">
        <f t="shared" si="18"/>
        <v>#DIV/0!</v>
      </c>
      <c r="V184" s="53" t="e">
        <f t="shared" si="18"/>
        <v>#DIV/0!</v>
      </c>
      <c r="W184" s="53" t="e">
        <f t="shared" si="18"/>
        <v>#DIV/0!</v>
      </c>
      <c r="X184" s="54"/>
      <c r="Y184" s="55"/>
    </row>
    <row r="185" spans="1:25" s="61" customFormat="1" x14ac:dyDescent="0.2">
      <c r="A185" s="70" t="s">
        <v>97</v>
      </c>
      <c r="B185" s="70" t="s">
        <v>145</v>
      </c>
      <c r="C185" s="58" t="s">
        <v>80</v>
      </c>
      <c r="D185" s="58">
        <v>50</v>
      </c>
      <c r="E185" s="58">
        <v>28</v>
      </c>
      <c r="F185" s="48">
        <f t="shared" ref="F185:W185" si="19">AVERAGE(F59:F61)</f>
        <v>1124.94</v>
      </c>
      <c r="G185" s="20">
        <f t="shared" si="19"/>
        <v>1688.3333333333333</v>
      </c>
      <c r="H185" s="20">
        <f t="shared" si="19"/>
        <v>5698.666666666667</v>
      </c>
      <c r="I185" s="20">
        <f t="shared" si="19"/>
        <v>4682.333333333333</v>
      </c>
      <c r="J185" s="20">
        <f t="shared" si="19"/>
        <v>27792</v>
      </c>
      <c r="K185" s="20">
        <f t="shared" si="19"/>
        <v>85577</v>
      </c>
      <c r="L185" s="20">
        <f t="shared" si="19"/>
        <v>222046.66666666666</v>
      </c>
      <c r="M185" s="20">
        <f t="shared" si="19"/>
        <v>403913.33333333331</v>
      </c>
      <c r="N185" s="20">
        <f t="shared" si="19"/>
        <v>570786.66666666663</v>
      </c>
      <c r="O185" s="20">
        <f t="shared" si="19"/>
        <v>501460</v>
      </c>
      <c r="P185" s="20" t="e">
        <f t="shared" si="19"/>
        <v>#DIV/0!</v>
      </c>
      <c r="Q185" s="20" t="e">
        <f t="shared" si="19"/>
        <v>#DIV/0!</v>
      </c>
      <c r="R185" s="20" t="e">
        <f t="shared" si="19"/>
        <v>#DIV/0!</v>
      </c>
      <c r="S185" s="20" t="e">
        <f t="shared" si="19"/>
        <v>#DIV/0!</v>
      </c>
      <c r="T185" s="20" t="e">
        <f t="shared" si="19"/>
        <v>#DIV/0!</v>
      </c>
      <c r="U185" s="20" t="e">
        <f t="shared" si="19"/>
        <v>#DIV/0!</v>
      </c>
      <c r="V185" s="20" t="e">
        <f t="shared" si="19"/>
        <v>#DIV/0!</v>
      </c>
      <c r="W185" s="20" t="e">
        <f t="shared" si="19"/>
        <v>#DIV/0!</v>
      </c>
      <c r="X185" s="59"/>
      <c r="Y185" s="60"/>
    </row>
    <row r="186" spans="1:25" s="61" customFormat="1" x14ac:dyDescent="0.2">
      <c r="A186" s="70" t="s">
        <v>98</v>
      </c>
      <c r="B186" s="70" t="s">
        <v>145</v>
      </c>
      <c r="C186" s="58" t="s">
        <v>80</v>
      </c>
      <c r="D186" s="58">
        <v>50</v>
      </c>
      <c r="E186" s="58">
        <v>28</v>
      </c>
      <c r="F186" s="48">
        <f t="shared" ref="F186:W186" si="20">AVERAGE(F62:F64)</f>
        <v>1124.94</v>
      </c>
      <c r="G186" s="20">
        <f t="shared" si="20"/>
        <v>1892.3333333333333</v>
      </c>
      <c r="H186" s="20">
        <f t="shared" si="20"/>
        <v>3802.3333333333335</v>
      </c>
      <c r="I186" s="20">
        <f t="shared" si="20"/>
        <v>4049.6666666666665</v>
      </c>
      <c r="J186" s="20">
        <f t="shared" si="20"/>
        <v>26665.333333333332</v>
      </c>
      <c r="K186" s="20">
        <f t="shared" si="20"/>
        <v>89404</v>
      </c>
      <c r="L186" s="20">
        <f t="shared" si="20"/>
        <v>204986.66666666666</v>
      </c>
      <c r="M186" s="20">
        <f t="shared" si="20"/>
        <v>429833.33333333331</v>
      </c>
      <c r="N186" s="20">
        <f t="shared" si="20"/>
        <v>586373.33333333337</v>
      </c>
      <c r="O186" s="20">
        <f t="shared" si="20"/>
        <v>590433.33333333337</v>
      </c>
      <c r="P186" s="20" t="e">
        <f t="shared" si="20"/>
        <v>#DIV/0!</v>
      </c>
      <c r="Q186" s="20" t="e">
        <f t="shared" si="20"/>
        <v>#DIV/0!</v>
      </c>
      <c r="R186" s="20" t="e">
        <f t="shared" si="20"/>
        <v>#DIV/0!</v>
      </c>
      <c r="S186" s="20" t="e">
        <f t="shared" si="20"/>
        <v>#DIV/0!</v>
      </c>
      <c r="T186" s="20" t="e">
        <f t="shared" si="20"/>
        <v>#DIV/0!</v>
      </c>
      <c r="U186" s="20" t="e">
        <f t="shared" si="20"/>
        <v>#DIV/0!</v>
      </c>
      <c r="V186" s="20" t="e">
        <f t="shared" si="20"/>
        <v>#DIV/0!</v>
      </c>
      <c r="W186" s="20" t="e">
        <f t="shared" si="20"/>
        <v>#DIV/0!</v>
      </c>
      <c r="X186" s="59"/>
      <c r="Y186" s="60"/>
    </row>
    <row r="187" spans="1:25" s="66" customFormat="1" x14ac:dyDescent="0.2">
      <c r="A187" s="67" t="s">
        <v>99</v>
      </c>
      <c r="B187" s="67" t="s">
        <v>146</v>
      </c>
      <c r="C187" s="68" t="s">
        <v>80</v>
      </c>
      <c r="D187" s="68">
        <v>100</v>
      </c>
      <c r="E187" s="68">
        <v>28</v>
      </c>
      <c r="F187" s="52">
        <f t="shared" ref="F187:W187" si="21">AVERAGE(F65:F67)</f>
        <v>1247.2439999999999</v>
      </c>
      <c r="G187" s="53">
        <f t="shared" si="21"/>
        <v>1711.3333333333333</v>
      </c>
      <c r="H187" s="53">
        <f t="shared" si="21"/>
        <v>2742.6666666666665</v>
      </c>
      <c r="I187" s="53">
        <f t="shared" si="21"/>
        <v>3510.3333333333335</v>
      </c>
      <c r="J187" s="53">
        <f t="shared" si="21"/>
        <v>22913</v>
      </c>
      <c r="K187" s="53">
        <f t="shared" si="21"/>
        <v>69744.666666666672</v>
      </c>
      <c r="L187" s="53">
        <f t="shared" si="21"/>
        <v>178986.66666666666</v>
      </c>
      <c r="M187" s="53">
        <f t="shared" si="21"/>
        <v>334393.33333333331</v>
      </c>
      <c r="N187" s="53">
        <f t="shared" si="21"/>
        <v>464046.66666666669</v>
      </c>
      <c r="O187" s="53">
        <f t="shared" si="21"/>
        <v>562200</v>
      </c>
      <c r="P187" s="53" t="e">
        <f t="shared" si="21"/>
        <v>#DIV/0!</v>
      </c>
      <c r="Q187" s="53" t="e">
        <f t="shared" si="21"/>
        <v>#DIV/0!</v>
      </c>
      <c r="R187" s="53" t="e">
        <f t="shared" si="21"/>
        <v>#DIV/0!</v>
      </c>
      <c r="S187" s="53" t="e">
        <f t="shared" si="21"/>
        <v>#DIV/0!</v>
      </c>
      <c r="T187" s="53" t="e">
        <f t="shared" si="21"/>
        <v>#DIV/0!</v>
      </c>
      <c r="U187" s="53" t="e">
        <f t="shared" si="21"/>
        <v>#DIV/0!</v>
      </c>
      <c r="V187" s="53" t="e">
        <f t="shared" si="21"/>
        <v>#DIV/0!</v>
      </c>
      <c r="W187" s="53" t="e">
        <f t="shared" si="21"/>
        <v>#DIV/0!</v>
      </c>
      <c r="X187" s="64"/>
      <c r="Y187" s="65"/>
    </row>
    <row r="188" spans="1:25" x14ac:dyDescent="0.2">
      <c r="A188" s="19" t="s">
        <v>100</v>
      </c>
      <c r="B188" s="19" t="s">
        <v>146</v>
      </c>
      <c r="C188" s="11" t="s">
        <v>80</v>
      </c>
      <c r="D188" s="11">
        <v>100</v>
      </c>
      <c r="E188" s="11">
        <v>28</v>
      </c>
      <c r="F188" s="48">
        <f t="shared" ref="F188:W188" si="22">AVERAGE(F68:F70)</f>
        <v>1247.2439999999999</v>
      </c>
      <c r="G188" s="20">
        <f t="shared" si="22"/>
        <v>1529.6666666666667</v>
      </c>
      <c r="H188" s="20">
        <f t="shared" si="22"/>
        <v>2210.6666666666665</v>
      </c>
      <c r="I188" s="20">
        <f t="shared" si="22"/>
        <v>2622.6666666666665</v>
      </c>
      <c r="J188" s="20">
        <f t="shared" si="22"/>
        <v>18915</v>
      </c>
      <c r="K188" s="20">
        <f t="shared" si="22"/>
        <v>59215.333333333336</v>
      </c>
      <c r="L188" s="20">
        <f t="shared" si="22"/>
        <v>149960</v>
      </c>
      <c r="M188" s="20">
        <f t="shared" si="22"/>
        <v>288380</v>
      </c>
      <c r="N188" s="20">
        <f t="shared" si="22"/>
        <v>412546.66666666669</v>
      </c>
      <c r="O188" s="20">
        <f t="shared" si="22"/>
        <v>538160</v>
      </c>
      <c r="P188" s="20" t="e">
        <f t="shared" si="22"/>
        <v>#DIV/0!</v>
      </c>
      <c r="Q188" s="20" t="e">
        <f t="shared" si="22"/>
        <v>#DIV/0!</v>
      </c>
      <c r="R188" s="20" t="e">
        <f t="shared" si="22"/>
        <v>#DIV/0!</v>
      </c>
      <c r="S188" s="20" t="e">
        <f t="shared" si="22"/>
        <v>#DIV/0!</v>
      </c>
      <c r="T188" s="20" t="e">
        <f t="shared" si="22"/>
        <v>#DIV/0!</v>
      </c>
      <c r="U188" s="20" t="e">
        <f t="shared" si="22"/>
        <v>#DIV/0!</v>
      </c>
      <c r="V188" s="20" t="e">
        <f t="shared" si="22"/>
        <v>#DIV/0!</v>
      </c>
      <c r="W188" s="20" t="e">
        <f t="shared" si="22"/>
        <v>#DIV/0!</v>
      </c>
      <c r="X188" s="49"/>
    </row>
    <row r="189" spans="1:25" x14ac:dyDescent="0.2">
      <c r="A189" s="19" t="s">
        <v>101</v>
      </c>
      <c r="B189" s="19" t="s">
        <v>146</v>
      </c>
      <c r="C189" s="11" t="s">
        <v>80</v>
      </c>
      <c r="D189" s="11">
        <v>100</v>
      </c>
      <c r="E189" s="11">
        <v>28</v>
      </c>
      <c r="F189" s="48">
        <f t="shared" ref="F189:W189" si="23">AVERAGE(F71:F73)</f>
        <v>1247.2439999999999</v>
      </c>
      <c r="G189" s="20">
        <f t="shared" si="23"/>
        <v>1899</v>
      </c>
      <c r="H189" s="20">
        <f t="shared" si="23"/>
        <v>2515.6666666666665</v>
      </c>
      <c r="I189" s="20">
        <f t="shared" si="23"/>
        <v>3515.6666666666665</v>
      </c>
      <c r="J189" s="20">
        <f t="shared" si="23"/>
        <v>22253</v>
      </c>
      <c r="K189" s="20">
        <f t="shared" si="23"/>
        <v>64059</v>
      </c>
      <c r="L189" s="20">
        <f t="shared" si="23"/>
        <v>186840</v>
      </c>
      <c r="M189" s="20">
        <f t="shared" si="23"/>
        <v>339760</v>
      </c>
      <c r="N189" s="20">
        <f t="shared" si="23"/>
        <v>481826.66666666669</v>
      </c>
      <c r="O189" s="20">
        <f t="shared" si="23"/>
        <v>531453.33333333337</v>
      </c>
      <c r="P189" s="20" t="e">
        <f t="shared" si="23"/>
        <v>#DIV/0!</v>
      </c>
      <c r="Q189" s="20" t="e">
        <f t="shared" si="23"/>
        <v>#DIV/0!</v>
      </c>
      <c r="R189" s="20" t="e">
        <f t="shared" si="23"/>
        <v>#DIV/0!</v>
      </c>
      <c r="S189" s="20" t="e">
        <f t="shared" si="23"/>
        <v>#DIV/0!</v>
      </c>
      <c r="T189" s="20" t="e">
        <f t="shared" si="23"/>
        <v>#DIV/0!</v>
      </c>
      <c r="U189" s="20" t="e">
        <f t="shared" si="23"/>
        <v>#DIV/0!</v>
      </c>
      <c r="V189" s="20" t="e">
        <f t="shared" si="23"/>
        <v>#DIV/0!</v>
      </c>
      <c r="W189" s="20" t="e">
        <f t="shared" si="23"/>
        <v>#DIV/0!</v>
      </c>
      <c r="X189" s="49"/>
    </row>
    <row r="190" spans="1:25" s="56" customFormat="1" x14ac:dyDescent="0.2">
      <c r="A190" s="71" t="s">
        <v>102</v>
      </c>
      <c r="B190" s="71" t="s">
        <v>147</v>
      </c>
      <c r="C190" s="51" t="s">
        <v>76</v>
      </c>
      <c r="D190" s="51">
        <v>50</v>
      </c>
      <c r="E190" s="51">
        <v>30</v>
      </c>
      <c r="F190" s="52">
        <f t="shared" ref="F190:W190" si="24">AVERAGE(F74:F76)</f>
        <v>1185.2850000000001</v>
      </c>
      <c r="G190" s="53">
        <f t="shared" si="24"/>
        <v>2129.6666666666665</v>
      </c>
      <c r="H190" s="53">
        <f t="shared" si="24"/>
        <v>2258.3333333333335</v>
      </c>
      <c r="I190" s="53">
        <f t="shared" si="24"/>
        <v>2060.6666666666665</v>
      </c>
      <c r="J190" s="53">
        <f t="shared" si="24"/>
        <v>3416</v>
      </c>
      <c r="K190" s="53">
        <f t="shared" si="24"/>
        <v>4369</v>
      </c>
      <c r="L190" s="53" t="e">
        <f t="shared" si="24"/>
        <v>#DIV/0!</v>
      </c>
      <c r="M190" s="53">
        <f t="shared" si="24"/>
        <v>17436</v>
      </c>
      <c r="N190" s="53">
        <f t="shared" si="24"/>
        <v>41493.333333333336</v>
      </c>
      <c r="O190" s="53">
        <f t="shared" si="24"/>
        <v>122086.66666666667</v>
      </c>
      <c r="P190" s="53">
        <f t="shared" si="24"/>
        <v>193513.33333333334</v>
      </c>
      <c r="Q190" s="53">
        <f t="shared" si="24"/>
        <v>250673.33333333334</v>
      </c>
      <c r="R190" s="53">
        <f t="shared" si="24"/>
        <v>339360</v>
      </c>
      <c r="S190" s="53">
        <f t="shared" si="24"/>
        <v>431500</v>
      </c>
      <c r="T190" s="53">
        <f t="shared" si="24"/>
        <v>526093.33333333337</v>
      </c>
      <c r="U190" s="53" t="e">
        <f t="shared" si="24"/>
        <v>#DIV/0!</v>
      </c>
      <c r="V190" s="53" t="e">
        <f t="shared" si="24"/>
        <v>#DIV/0!</v>
      </c>
      <c r="W190" s="53" t="e">
        <f t="shared" si="24"/>
        <v>#DIV/0!</v>
      </c>
      <c r="X190" s="54"/>
      <c r="Y190" s="55"/>
    </row>
    <row r="191" spans="1:25" s="61" customFormat="1" x14ac:dyDescent="0.2">
      <c r="A191" s="72" t="s">
        <v>103</v>
      </c>
      <c r="B191" s="72" t="s">
        <v>147</v>
      </c>
      <c r="C191" s="58" t="s">
        <v>76</v>
      </c>
      <c r="D191" s="58">
        <v>50</v>
      </c>
      <c r="E191" s="58">
        <v>30</v>
      </c>
      <c r="F191" s="48">
        <f t="shared" ref="F191:W191" si="25">AVERAGE(F77:F79)</f>
        <v>1185.2850000000001</v>
      </c>
      <c r="G191" s="20">
        <f t="shared" si="25"/>
        <v>1491.6666666666667</v>
      </c>
      <c r="H191" s="20">
        <f t="shared" si="25"/>
        <v>2075</v>
      </c>
      <c r="I191" s="20">
        <f t="shared" si="25"/>
        <v>2052.3333333333335</v>
      </c>
      <c r="J191" s="20">
        <f t="shared" si="25"/>
        <v>2401.3333333333335</v>
      </c>
      <c r="K191" s="20">
        <f t="shared" si="25"/>
        <v>2012</v>
      </c>
      <c r="L191" s="20" t="e">
        <f t="shared" si="25"/>
        <v>#DIV/0!</v>
      </c>
      <c r="M191" s="20">
        <f t="shared" si="25"/>
        <v>4758.666666666667</v>
      </c>
      <c r="N191" s="20">
        <f t="shared" si="25"/>
        <v>9052.6666666666661</v>
      </c>
      <c r="O191" s="20">
        <f t="shared" si="25"/>
        <v>13427.666666666666</v>
      </c>
      <c r="P191" s="20">
        <f t="shared" si="25"/>
        <v>22654</v>
      </c>
      <c r="Q191" s="20">
        <f t="shared" si="25"/>
        <v>37658</v>
      </c>
      <c r="R191" s="20">
        <f t="shared" si="25"/>
        <v>73173.333333333328</v>
      </c>
      <c r="S191" s="20">
        <f t="shared" si="25"/>
        <v>99680</v>
      </c>
      <c r="T191" s="20">
        <f t="shared" si="25"/>
        <v>134253.33333333334</v>
      </c>
      <c r="U191" s="20" t="e">
        <f t="shared" si="25"/>
        <v>#DIV/0!</v>
      </c>
      <c r="V191" s="20" t="e">
        <f t="shared" si="25"/>
        <v>#DIV/0!</v>
      </c>
      <c r="W191" s="20" t="e">
        <f t="shared" si="25"/>
        <v>#DIV/0!</v>
      </c>
      <c r="X191" s="59"/>
      <c r="Y191" s="60"/>
    </row>
    <row r="192" spans="1:25" s="61" customFormat="1" x14ac:dyDescent="0.2">
      <c r="A192" s="72" t="s">
        <v>104</v>
      </c>
      <c r="B192" s="72" t="s">
        <v>147</v>
      </c>
      <c r="C192" s="58" t="s">
        <v>76</v>
      </c>
      <c r="D192" s="58">
        <v>50</v>
      </c>
      <c r="E192" s="58">
        <v>30</v>
      </c>
      <c r="F192" s="48">
        <f t="shared" ref="F192:W192" si="26">AVERAGE(F80:F82)</f>
        <v>1185.2850000000001</v>
      </c>
      <c r="G192" s="20">
        <f t="shared" si="26"/>
        <v>1807</v>
      </c>
      <c r="H192" s="20">
        <f t="shared" si="26"/>
        <v>1833.6666666666667</v>
      </c>
      <c r="I192" s="20">
        <f t="shared" si="26"/>
        <v>3173</v>
      </c>
      <c r="J192" s="20">
        <f t="shared" si="26"/>
        <v>2685.3333333333335</v>
      </c>
      <c r="K192" s="20">
        <f t="shared" si="26"/>
        <v>3094.3333333333335</v>
      </c>
      <c r="L192" s="20" t="e">
        <f t="shared" si="26"/>
        <v>#DIV/0!</v>
      </c>
      <c r="M192" s="20">
        <f t="shared" si="26"/>
        <v>5086.666666666667</v>
      </c>
      <c r="N192" s="20">
        <f t="shared" si="26"/>
        <v>7867.666666666667</v>
      </c>
      <c r="O192" s="20">
        <f t="shared" si="26"/>
        <v>12953</v>
      </c>
      <c r="P192" s="20">
        <f t="shared" si="26"/>
        <v>22873.666666666668</v>
      </c>
      <c r="Q192" s="20">
        <f t="shared" si="26"/>
        <v>42767.666666666664</v>
      </c>
      <c r="R192" s="20">
        <f t="shared" si="26"/>
        <v>88546.666666666672</v>
      </c>
      <c r="S192" s="20">
        <f t="shared" si="26"/>
        <v>132653.33333333334</v>
      </c>
      <c r="T192" s="20">
        <f t="shared" si="26"/>
        <v>197446.66666666666</v>
      </c>
      <c r="U192" s="20" t="e">
        <f t="shared" si="26"/>
        <v>#DIV/0!</v>
      </c>
      <c r="V192" s="20" t="e">
        <f t="shared" si="26"/>
        <v>#DIV/0!</v>
      </c>
      <c r="W192" s="20" t="e">
        <f t="shared" si="26"/>
        <v>#DIV/0!</v>
      </c>
      <c r="X192" s="59"/>
      <c r="Y192" s="60"/>
    </row>
    <row r="193" spans="1:25" s="66" customFormat="1" x14ac:dyDescent="0.2">
      <c r="A193" s="73" t="s">
        <v>105</v>
      </c>
      <c r="B193" s="73" t="s">
        <v>149</v>
      </c>
      <c r="C193" s="68" t="s">
        <v>76</v>
      </c>
      <c r="D193" s="68">
        <v>100</v>
      </c>
      <c r="E193" s="68">
        <v>30</v>
      </c>
      <c r="F193" s="52">
        <f t="shared" ref="F193:W193" si="27">AVERAGE(F83:F85)</f>
        <v>1334.64</v>
      </c>
      <c r="G193" s="53">
        <f t="shared" si="27"/>
        <v>2151.6666666666665</v>
      </c>
      <c r="H193" s="53">
        <f t="shared" si="27"/>
        <v>1739.6666666666667</v>
      </c>
      <c r="I193" s="53">
        <f t="shared" si="27"/>
        <v>2897</v>
      </c>
      <c r="J193" s="53">
        <f t="shared" si="27"/>
        <v>3605.6666666666665</v>
      </c>
      <c r="K193" s="53">
        <f t="shared" si="27"/>
        <v>4473.333333333333</v>
      </c>
      <c r="L193" s="53" t="e">
        <f t="shared" si="27"/>
        <v>#DIV/0!</v>
      </c>
      <c r="M193" s="53">
        <f t="shared" si="27"/>
        <v>9941</v>
      </c>
      <c r="N193" s="53">
        <f t="shared" si="27"/>
        <v>20094.333333333332</v>
      </c>
      <c r="O193" s="53">
        <f t="shared" si="27"/>
        <v>31144</v>
      </c>
      <c r="P193" s="53">
        <f t="shared" si="27"/>
        <v>67093.333333333328</v>
      </c>
      <c r="Q193" s="53">
        <f t="shared" si="27"/>
        <v>105480</v>
      </c>
      <c r="R193" s="53">
        <f t="shared" si="27"/>
        <v>175880</v>
      </c>
      <c r="S193" s="53">
        <f t="shared" si="27"/>
        <v>269140</v>
      </c>
      <c r="T193" s="53">
        <f t="shared" si="27"/>
        <v>390913.33333333331</v>
      </c>
      <c r="U193" s="53">
        <f t="shared" si="27"/>
        <v>561566.66666666663</v>
      </c>
      <c r="V193" s="53">
        <f t="shared" si="27"/>
        <v>634660</v>
      </c>
      <c r="W193" s="53">
        <f t="shared" si="27"/>
        <v>818820</v>
      </c>
      <c r="X193" s="64"/>
      <c r="Y193" s="65"/>
    </row>
    <row r="194" spans="1:25" x14ac:dyDescent="0.2">
      <c r="A194" s="24" t="s">
        <v>106</v>
      </c>
      <c r="B194" s="24" t="s">
        <v>149</v>
      </c>
      <c r="C194" s="11" t="s">
        <v>76</v>
      </c>
      <c r="D194" s="11">
        <v>100</v>
      </c>
      <c r="E194" s="11">
        <v>30</v>
      </c>
      <c r="F194" s="48">
        <f t="shared" ref="F194:W194" si="28">AVERAGE(F86:F88)</f>
        <v>1334.64</v>
      </c>
      <c r="G194" s="20">
        <f t="shared" si="28"/>
        <v>1987.3333333333333</v>
      </c>
      <c r="H194" s="20">
        <f t="shared" si="28"/>
        <v>2002.6666666666667</v>
      </c>
      <c r="I194" s="20">
        <f t="shared" si="28"/>
        <v>2140</v>
      </c>
      <c r="J194" s="20">
        <f t="shared" si="28"/>
        <v>1817.3333333333333</v>
      </c>
      <c r="K194" s="20">
        <f t="shared" si="28"/>
        <v>1824</v>
      </c>
      <c r="L194" s="20" t="e">
        <f t="shared" si="28"/>
        <v>#DIV/0!</v>
      </c>
      <c r="M194" s="20">
        <f t="shared" si="28"/>
        <v>1786.3333333333333</v>
      </c>
      <c r="N194" s="20">
        <f t="shared" si="28"/>
        <v>2565</v>
      </c>
      <c r="O194" s="20">
        <f t="shared" si="28"/>
        <v>4281.666666666667</v>
      </c>
      <c r="P194" s="20">
        <f t="shared" si="28"/>
        <v>11486.666666666666</v>
      </c>
      <c r="Q194" s="20">
        <f t="shared" si="28"/>
        <v>10453.666666666666</v>
      </c>
      <c r="R194" s="20">
        <f t="shared" si="28"/>
        <v>18433.666666666668</v>
      </c>
      <c r="S194" s="20">
        <f t="shared" si="28"/>
        <v>31411.666666666668</v>
      </c>
      <c r="T194" s="20">
        <f t="shared" si="28"/>
        <v>48742.666666666664</v>
      </c>
      <c r="U194" s="20">
        <f t="shared" si="28"/>
        <v>110340</v>
      </c>
      <c r="V194" s="20">
        <f t="shared" si="28"/>
        <v>135026.66666666666</v>
      </c>
      <c r="W194" s="20">
        <f t="shared" si="28"/>
        <v>215173.33333333334</v>
      </c>
      <c r="X194" s="49"/>
    </row>
    <row r="195" spans="1:25" x14ac:dyDescent="0.2">
      <c r="A195" s="24" t="s">
        <v>107</v>
      </c>
      <c r="B195" s="24" t="s">
        <v>149</v>
      </c>
      <c r="C195" s="11" t="s">
        <v>76</v>
      </c>
      <c r="D195" s="11">
        <v>100</v>
      </c>
      <c r="E195" s="11">
        <v>30</v>
      </c>
      <c r="F195" s="48">
        <f t="shared" ref="F195:W195" si="29">AVERAGE(F89:F91)</f>
        <v>1334.64</v>
      </c>
      <c r="G195" s="20">
        <f t="shared" si="29"/>
        <v>1957.3333333333333</v>
      </c>
      <c r="H195" s="20">
        <f t="shared" si="29"/>
        <v>1761</v>
      </c>
      <c r="I195" s="20">
        <f t="shared" si="29"/>
        <v>1435.3333333333333</v>
      </c>
      <c r="J195" s="20">
        <f t="shared" si="29"/>
        <v>1775</v>
      </c>
      <c r="K195" s="20">
        <f t="shared" si="29"/>
        <v>1229.6666666666667</v>
      </c>
      <c r="L195" s="20" t="e">
        <f t="shared" si="29"/>
        <v>#DIV/0!</v>
      </c>
      <c r="M195" s="20">
        <f t="shared" si="29"/>
        <v>1183.6666666666667</v>
      </c>
      <c r="N195" s="20">
        <f t="shared" si="29"/>
        <v>1515.3333333333333</v>
      </c>
      <c r="O195" s="20">
        <f t="shared" si="29"/>
        <v>1726.6666666666667</v>
      </c>
      <c r="P195" s="20">
        <f t="shared" si="29"/>
        <v>1927.3333333333333</v>
      </c>
      <c r="Q195" s="20">
        <f t="shared" si="29"/>
        <v>2676.3333333333335</v>
      </c>
      <c r="R195" s="20">
        <f t="shared" si="29"/>
        <v>3962</v>
      </c>
      <c r="S195" s="20">
        <f t="shared" si="29"/>
        <v>5460.666666666667</v>
      </c>
      <c r="T195" s="20">
        <f t="shared" si="29"/>
        <v>7991.666666666667</v>
      </c>
      <c r="U195" s="20">
        <f t="shared" si="29"/>
        <v>14776.666666666666</v>
      </c>
      <c r="V195" s="20">
        <f t="shared" si="29"/>
        <v>16861.666666666668</v>
      </c>
      <c r="W195" s="20">
        <f t="shared" si="29"/>
        <v>19589</v>
      </c>
      <c r="X195" s="49"/>
    </row>
    <row r="196" spans="1:25" s="56" customFormat="1" x14ac:dyDescent="0.2">
      <c r="A196" s="71" t="s">
        <v>108</v>
      </c>
      <c r="B196" s="71" t="s">
        <v>150</v>
      </c>
      <c r="C196" s="51" t="s">
        <v>80</v>
      </c>
      <c r="D196" s="51">
        <v>50</v>
      </c>
      <c r="E196" s="51">
        <v>30</v>
      </c>
      <c r="F196" s="52">
        <f t="shared" ref="F196:W196" si="30">AVERAGE(F92:F94)</f>
        <v>1244.07</v>
      </c>
      <c r="G196" s="53">
        <f t="shared" si="30"/>
        <v>1642.6666666666667</v>
      </c>
      <c r="H196" s="53">
        <f t="shared" si="30"/>
        <v>2504.3333333333335</v>
      </c>
      <c r="I196" s="53">
        <f t="shared" si="30"/>
        <v>2076.3333333333335</v>
      </c>
      <c r="J196" s="53">
        <f t="shared" si="30"/>
        <v>1815</v>
      </c>
      <c r="K196" s="53">
        <f t="shared" si="30"/>
        <v>1554.3333333333333</v>
      </c>
      <c r="L196" s="53" t="e">
        <f t="shared" si="30"/>
        <v>#DIV/0!</v>
      </c>
      <c r="M196" s="53">
        <f t="shared" si="30"/>
        <v>2635.6666666666665</v>
      </c>
      <c r="N196" s="53">
        <f t="shared" si="30"/>
        <v>5548.666666666667</v>
      </c>
      <c r="O196" s="53">
        <f t="shared" si="30"/>
        <v>14521.333333333334</v>
      </c>
      <c r="P196" s="53">
        <f t="shared" si="30"/>
        <v>37313.333333333336</v>
      </c>
      <c r="Q196" s="53">
        <f t="shared" si="30"/>
        <v>70027</v>
      </c>
      <c r="R196" s="53">
        <f t="shared" si="30"/>
        <v>131346.66666666666</v>
      </c>
      <c r="S196" s="53">
        <f t="shared" si="30"/>
        <v>331120</v>
      </c>
      <c r="T196" s="53" t="e">
        <f t="shared" si="30"/>
        <v>#DIV/0!</v>
      </c>
      <c r="U196" s="53" t="e">
        <f t="shared" si="30"/>
        <v>#DIV/0!</v>
      </c>
      <c r="V196" s="53" t="e">
        <f t="shared" si="30"/>
        <v>#DIV/0!</v>
      </c>
      <c r="W196" s="53" t="e">
        <f t="shared" si="30"/>
        <v>#DIV/0!</v>
      </c>
      <c r="X196" s="54"/>
      <c r="Y196" s="55"/>
    </row>
    <row r="197" spans="1:25" s="61" customFormat="1" x14ac:dyDescent="0.2">
      <c r="A197" s="72" t="s">
        <v>109</v>
      </c>
      <c r="B197" s="72" t="s">
        <v>150</v>
      </c>
      <c r="C197" s="58" t="s">
        <v>80</v>
      </c>
      <c r="D197" s="58">
        <v>50</v>
      </c>
      <c r="E197" s="58">
        <v>30</v>
      </c>
      <c r="F197" s="48">
        <f t="shared" ref="F197:W197" si="31">AVERAGE(F95:F97)</f>
        <v>1244.07</v>
      </c>
      <c r="G197" s="20">
        <f t="shared" si="31"/>
        <v>1836.6666666666667</v>
      </c>
      <c r="H197" s="20">
        <f t="shared" si="31"/>
        <v>2326.6666666666665</v>
      </c>
      <c r="I197" s="20">
        <f t="shared" si="31"/>
        <v>1854.3333333333333</v>
      </c>
      <c r="J197" s="20">
        <f t="shared" si="31"/>
        <v>1509.3333333333333</v>
      </c>
      <c r="K197" s="20">
        <f t="shared" si="31"/>
        <v>1504.3333333333333</v>
      </c>
      <c r="L197" s="20" t="e">
        <f t="shared" si="31"/>
        <v>#DIV/0!</v>
      </c>
      <c r="M197" s="20">
        <f t="shared" si="31"/>
        <v>4940.333333333333</v>
      </c>
      <c r="N197" s="20">
        <f t="shared" si="31"/>
        <v>13424</v>
      </c>
      <c r="O197" s="20">
        <f t="shared" si="31"/>
        <v>38664.666666666664</v>
      </c>
      <c r="P197" s="20">
        <f t="shared" si="31"/>
        <v>141700</v>
      </c>
      <c r="Q197" s="20">
        <f t="shared" si="31"/>
        <v>161046.66666666666</v>
      </c>
      <c r="R197" s="20">
        <f t="shared" si="31"/>
        <v>247893.33333333334</v>
      </c>
      <c r="S197" s="20">
        <f t="shared" si="31"/>
        <v>378773.33333333331</v>
      </c>
      <c r="T197" s="20" t="e">
        <f t="shared" si="31"/>
        <v>#DIV/0!</v>
      </c>
      <c r="U197" s="20" t="e">
        <f t="shared" si="31"/>
        <v>#DIV/0!</v>
      </c>
      <c r="V197" s="20" t="e">
        <f t="shared" si="31"/>
        <v>#DIV/0!</v>
      </c>
      <c r="W197" s="20" t="e">
        <f t="shared" si="31"/>
        <v>#DIV/0!</v>
      </c>
      <c r="X197" s="59"/>
      <c r="Y197" s="60"/>
    </row>
    <row r="198" spans="1:25" s="61" customFormat="1" x14ac:dyDescent="0.2">
      <c r="A198" s="72" t="s">
        <v>110</v>
      </c>
      <c r="B198" s="72" t="s">
        <v>150</v>
      </c>
      <c r="C198" s="58" t="s">
        <v>80</v>
      </c>
      <c r="D198" s="58">
        <v>50</v>
      </c>
      <c r="E198" s="58">
        <v>30</v>
      </c>
      <c r="F198" s="48">
        <f t="shared" ref="F198:W198" si="32">AVERAGE(F98:F100)</f>
        <v>1244.07</v>
      </c>
      <c r="G198" s="20">
        <f t="shared" si="32"/>
        <v>1867</v>
      </c>
      <c r="H198" s="20">
        <f t="shared" si="32"/>
        <v>2141</v>
      </c>
      <c r="I198" s="20">
        <f t="shared" si="32"/>
        <v>1234</v>
      </c>
      <c r="J198" s="20">
        <f t="shared" si="32"/>
        <v>1075.3333333333333</v>
      </c>
      <c r="K198" s="20">
        <f t="shared" si="32"/>
        <v>996</v>
      </c>
      <c r="L198" s="20" t="e">
        <f t="shared" si="32"/>
        <v>#DIV/0!</v>
      </c>
      <c r="M198" s="20">
        <f t="shared" si="32"/>
        <v>2436</v>
      </c>
      <c r="N198" s="20">
        <f t="shared" si="32"/>
        <v>6664</v>
      </c>
      <c r="O198" s="20">
        <f t="shared" si="32"/>
        <v>15833.333333333334</v>
      </c>
      <c r="P198" s="20">
        <f t="shared" si="32"/>
        <v>44789.333333333336</v>
      </c>
      <c r="Q198" s="20">
        <f t="shared" si="32"/>
        <v>96086</v>
      </c>
      <c r="R198" s="20">
        <f t="shared" si="32"/>
        <v>201566.66666666666</v>
      </c>
      <c r="S198" s="20">
        <f t="shared" si="32"/>
        <v>306213.33333333331</v>
      </c>
      <c r="T198" s="20" t="e">
        <f t="shared" si="32"/>
        <v>#DIV/0!</v>
      </c>
      <c r="U198" s="20" t="e">
        <f t="shared" si="32"/>
        <v>#DIV/0!</v>
      </c>
      <c r="V198" s="20" t="e">
        <f t="shared" si="32"/>
        <v>#DIV/0!</v>
      </c>
      <c r="W198" s="20" t="e">
        <f t="shared" si="32"/>
        <v>#DIV/0!</v>
      </c>
      <c r="X198" s="59"/>
      <c r="Y198" s="60"/>
    </row>
    <row r="199" spans="1:25" s="77" customFormat="1" x14ac:dyDescent="0.2">
      <c r="A199" s="74" t="s">
        <v>111</v>
      </c>
      <c r="B199" s="74" t="s">
        <v>151</v>
      </c>
      <c r="C199" s="63" t="s">
        <v>80</v>
      </c>
      <c r="D199" s="63">
        <v>100</v>
      </c>
      <c r="E199" s="63">
        <v>30</v>
      </c>
      <c r="F199" s="52">
        <f t="shared" ref="F199:W199" si="33">AVERAGE(F101:F103)</f>
        <v>1372.21</v>
      </c>
      <c r="G199" s="53">
        <f t="shared" si="33"/>
        <v>1784</v>
      </c>
      <c r="H199" s="53">
        <f t="shared" si="33"/>
        <v>1639.6666666666667</v>
      </c>
      <c r="I199" s="53">
        <f t="shared" si="33"/>
        <v>1949.3333333333333</v>
      </c>
      <c r="J199" s="53">
        <f t="shared" si="33"/>
        <v>1238.6666666666667</v>
      </c>
      <c r="K199" s="53">
        <f t="shared" si="33"/>
        <v>1202.3333333333333</v>
      </c>
      <c r="L199" s="53" t="e">
        <f t="shared" si="33"/>
        <v>#DIV/0!</v>
      </c>
      <c r="M199" s="53">
        <f t="shared" si="33"/>
        <v>1750.6666666666667</v>
      </c>
      <c r="N199" s="53">
        <f t="shared" si="33"/>
        <v>3648</v>
      </c>
      <c r="O199" s="53">
        <f t="shared" si="33"/>
        <v>8511</v>
      </c>
      <c r="P199" s="53">
        <f t="shared" si="33"/>
        <v>16769.666666666668</v>
      </c>
      <c r="Q199" s="53">
        <f t="shared" si="33"/>
        <v>36795.666666666664</v>
      </c>
      <c r="R199" s="53">
        <f t="shared" si="33"/>
        <v>81266.666666666672</v>
      </c>
      <c r="S199" s="53">
        <f t="shared" si="33"/>
        <v>135353.33333333334</v>
      </c>
      <c r="T199" s="53">
        <f t="shared" si="33"/>
        <v>244573.33333333334</v>
      </c>
      <c r="U199" s="53" t="e">
        <f t="shared" si="33"/>
        <v>#DIV/0!</v>
      </c>
      <c r="V199" s="53" t="e">
        <f t="shared" si="33"/>
        <v>#DIV/0!</v>
      </c>
      <c r="W199" s="53" t="e">
        <f t="shared" si="33"/>
        <v>#DIV/0!</v>
      </c>
      <c r="X199" s="75"/>
      <c r="Y199" s="76"/>
    </row>
    <row r="200" spans="1:25" s="34" customFormat="1" x14ac:dyDescent="0.2">
      <c r="A200" s="38" t="s">
        <v>112</v>
      </c>
      <c r="B200" s="38" t="s">
        <v>151</v>
      </c>
      <c r="C200" s="6" t="s">
        <v>80</v>
      </c>
      <c r="D200" s="6">
        <v>100</v>
      </c>
      <c r="E200" s="6">
        <v>30</v>
      </c>
      <c r="F200" s="48">
        <f t="shared" ref="F200:W200" si="34">AVERAGE(F104:F106)</f>
        <v>1372.21</v>
      </c>
      <c r="G200" s="20">
        <f t="shared" si="34"/>
        <v>1690.3333333333333</v>
      </c>
      <c r="H200" s="20">
        <f t="shared" si="34"/>
        <v>2174.3333333333335</v>
      </c>
      <c r="I200" s="20">
        <f t="shared" si="34"/>
        <v>2207.6666666666665</v>
      </c>
      <c r="J200" s="20">
        <f t="shared" si="34"/>
        <v>1447</v>
      </c>
      <c r="K200" s="20">
        <f t="shared" si="34"/>
        <v>988</v>
      </c>
      <c r="L200" s="20" t="e">
        <f t="shared" si="34"/>
        <v>#DIV/0!</v>
      </c>
      <c r="M200" s="20">
        <f t="shared" si="34"/>
        <v>1902</v>
      </c>
      <c r="N200" s="20">
        <f t="shared" si="34"/>
        <v>3390</v>
      </c>
      <c r="O200" s="20">
        <f t="shared" si="34"/>
        <v>7846</v>
      </c>
      <c r="P200" s="20">
        <f t="shared" si="34"/>
        <v>16784</v>
      </c>
      <c r="Q200" s="20">
        <f t="shared" si="34"/>
        <v>37011.666666666664</v>
      </c>
      <c r="R200" s="20">
        <f t="shared" si="34"/>
        <v>72953.333333333328</v>
      </c>
      <c r="S200" s="20">
        <f t="shared" si="34"/>
        <v>122653.33333333333</v>
      </c>
      <c r="T200" s="20">
        <f t="shared" si="34"/>
        <v>215180</v>
      </c>
      <c r="U200" s="20" t="e">
        <f t="shared" si="34"/>
        <v>#DIV/0!</v>
      </c>
      <c r="V200" s="20" t="e">
        <f t="shared" si="34"/>
        <v>#DIV/0!</v>
      </c>
      <c r="W200" s="20" t="e">
        <f t="shared" si="34"/>
        <v>#DIV/0!</v>
      </c>
      <c r="X200" s="78"/>
      <c r="Y200" s="35"/>
    </row>
    <row r="201" spans="1:25" s="34" customFormat="1" x14ac:dyDescent="0.2">
      <c r="A201" s="38" t="s">
        <v>113</v>
      </c>
      <c r="B201" s="38" t="s">
        <v>151</v>
      </c>
      <c r="C201" s="6" t="s">
        <v>80</v>
      </c>
      <c r="D201" s="6">
        <v>100</v>
      </c>
      <c r="E201" s="6">
        <v>30</v>
      </c>
      <c r="F201" s="48">
        <f t="shared" ref="F201:W201" si="35">AVERAGE(F107:F109)</f>
        <v>1372.21</v>
      </c>
      <c r="G201" s="20">
        <f t="shared" si="35"/>
        <v>1577.3333333333333</v>
      </c>
      <c r="H201" s="20">
        <f t="shared" si="35"/>
        <v>1957.3333333333333</v>
      </c>
      <c r="I201" s="20">
        <f t="shared" si="35"/>
        <v>2461</v>
      </c>
      <c r="J201" s="20">
        <f t="shared" si="35"/>
        <v>1698.3333333333333</v>
      </c>
      <c r="K201" s="20">
        <f t="shared" si="35"/>
        <v>1834.3333333333333</v>
      </c>
      <c r="L201" s="20" t="e">
        <f t="shared" si="35"/>
        <v>#DIV/0!</v>
      </c>
      <c r="M201" s="20">
        <f t="shared" si="35"/>
        <v>3296.6666666666665</v>
      </c>
      <c r="N201" s="20">
        <f t="shared" si="35"/>
        <v>6770</v>
      </c>
      <c r="O201" s="20">
        <f t="shared" si="35"/>
        <v>14270.333333333334</v>
      </c>
      <c r="P201" s="20">
        <f t="shared" si="35"/>
        <v>26114.333333333332</v>
      </c>
      <c r="Q201" s="20">
        <f t="shared" si="35"/>
        <v>47600</v>
      </c>
      <c r="R201" s="20">
        <f t="shared" si="35"/>
        <v>91333.333333333328</v>
      </c>
      <c r="S201" s="20">
        <f t="shared" si="35"/>
        <v>146586.66666666666</v>
      </c>
      <c r="T201" s="20">
        <f t="shared" si="35"/>
        <v>114318</v>
      </c>
      <c r="U201" s="20" t="e">
        <f t="shared" si="35"/>
        <v>#DIV/0!</v>
      </c>
      <c r="V201" s="20" t="e">
        <f t="shared" si="35"/>
        <v>#DIV/0!</v>
      </c>
      <c r="W201" s="20" t="e">
        <f t="shared" si="35"/>
        <v>#DIV/0!</v>
      </c>
      <c r="X201" s="78"/>
      <c r="Y201" s="35"/>
    </row>
    <row r="202" spans="1:25" s="56" customFormat="1" x14ac:dyDescent="0.2">
      <c r="A202" s="50" t="s">
        <v>114</v>
      </c>
      <c r="B202" s="50" t="s">
        <v>152</v>
      </c>
      <c r="C202" s="51" t="s">
        <v>76</v>
      </c>
      <c r="D202" s="51">
        <v>10</v>
      </c>
      <c r="E202" s="51">
        <v>26</v>
      </c>
      <c r="F202" s="52">
        <f t="shared" ref="F202:W202" si="36">AVERAGE(F110:F112)</f>
        <v>1353.0509999999999</v>
      </c>
      <c r="G202" s="53">
        <f t="shared" si="36"/>
        <v>1837</v>
      </c>
      <c r="H202" s="53">
        <f t="shared" si="36"/>
        <v>2252.6666666666665</v>
      </c>
      <c r="I202" s="53" t="e">
        <f t="shared" si="36"/>
        <v>#DIV/0!</v>
      </c>
      <c r="J202" s="53">
        <f t="shared" si="36"/>
        <v>11540.666666666666</v>
      </c>
      <c r="K202" s="53">
        <f t="shared" si="36"/>
        <v>32686.666666666668</v>
      </c>
      <c r="L202" s="53">
        <f t="shared" si="36"/>
        <v>91533.333333333328</v>
      </c>
      <c r="M202" s="53">
        <f t="shared" si="36"/>
        <v>171066.66666666666</v>
      </c>
      <c r="N202" s="53">
        <f t="shared" si="36"/>
        <v>296786.66666666669</v>
      </c>
      <c r="O202" s="53">
        <f t="shared" si="36"/>
        <v>551460</v>
      </c>
      <c r="P202" s="53">
        <f t="shared" si="36"/>
        <v>893246.66666666663</v>
      </c>
      <c r="Q202" s="53" t="e">
        <f t="shared" si="36"/>
        <v>#DIV/0!</v>
      </c>
      <c r="R202" s="53" t="e">
        <f t="shared" si="36"/>
        <v>#DIV/0!</v>
      </c>
      <c r="S202" s="53" t="e">
        <f t="shared" si="36"/>
        <v>#DIV/0!</v>
      </c>
      <c r="T202" s="53" t="e">
        <f t="shared" si="36"/>
        <v>#DIV/0!</v>
      </c>
      <c r="U202" s="53" t="e">
        <f t="shared" si="36"/>
        <v>#DIV/0!</v>
      </c>
      <c r="V202" s="53" t="e">
        <f t="shared" si="36"/>
        <v>#DIV/0!</v>
      </c>
      <c r="W202" s="53" t="e">
        <f t="shared" si="36"/>
        <v>#DIV/0!</v>
      </c>
      <c r="X202" s="54"/>
      <c r="Y202" s="55"/>
    </row>
    <row r="203" spans="1:25" s="61" customFormat="1" x14ac:dyDescent="0.2">
      <c r="A203" s="57" t="s">
        <v>115</v>
      </c>
      <c r="B203" s="57" t="s">
        <v>152</v>
      </c>
      <c r="C203" s="58" t="s">
        <v>76</v>
      </c>
      <c r="D203" s="58">
        <v>10</v>
      </c>
      <c r="E203" s="58">
        <v>26</v>
      </c>
      <c r="F203" s="48">
        <f t="shared" ref="F203:W203" si="37">AVERAGE(F113:F115)</f>
        <v>1353.0509999999999</v>
      </c>
      <c r="G203" s="20">
        <f t="shared" si="37"/>
        <v>1908.6666666666667</v>
      </c>
      <c r="H203" s="20">
        <f t="shared" si="37"/>
        <v>2493.3333333333335</v>
      </c>
      <c r="I203" s="20" t="e">
        <f t="shared" si="37"/>
        <v>#DIV/0!</v>
      </c>
      <c r="J203" s="20">
        <f t="shared" si="37"/>
        <v>12970.666666666666</v>
      </c>
      <c r="K203" s="20">
        <f t="shared" si="37"/>
        <v>34420</v>
      </c>
      <c r="L203" s="20">
        <f t="shared" si="37"/>
        <v>97846.666666666672</v>
      </c>
      <c r="M203" s="20">
        <f t="shared" si="37"/>
        <v>192793.33333333334</v>
      </c>
      <c r="N203" s="20">
        <f t="shared" si="37"/>
        <v>362080</v>
      </c>
      <c r="O203" s="20">
        <f t="shared" si="37"/>
        <v>641300</v>
      </c>
      <c r="P203" s="20">
        <f t="shared" si="37"/>
        <v>963300</v>
      </c>
      <c r="Q203" s="20" t="e">
        <f t="shared" si="37"/>
        <v>#DIV/0!</v>
      </c>
      <c r="R203" s="20" t="e">
        <f t="shared" si="37"/>
        <v>#DIV/0!</v>
      </c>
      <c r="S203" s="20" t="e">
        <f t="shared" si="37"/>
        <v>#DIV/0!</v>
      </c>
      <c r="T203" s="20" t="e">
        <f t="shared" si="37"/>
        <v>#DIV/0!</v>
      </c>
      <c r="U203" s="20" t="e">
        <f t="shared" si="37"/>
        <v>#DIV/0!</v>
      </c>
      <c r="V203" s="20" t="e">
        <f t="shared" si="37"/>
        <v>#DIV/0!</v>
      </c>
      <c r="W203" s="20" t="e">
        <f t="shared" si="37"/>
        <v>#DIV/0!</v>
      </c>
      <c r="X203" s="59"/>
      <c r="Y203" s="60"/>
    </row>
    <row r="204" spans="1:25" s="61" customFormat="1" x14ac:dyDescent="0.2">
      <c r="A204" s="57" t="s">
        <v>116</v>
      </c>
      <c r="B204" s="57" t="s">
        <v>152</v>
      </c>
      <c r="C204" s="58" t="s">
        <v>76</v>
      </c>
      <c r="D204" s="58">
        <v>10</v>
      </c>
      <c r="E204" s="58">
        <v>26</v>
      </c>
      <c r="F204" s="48">
        <f t="shared" ref="F204:W204" si="38">AVERAGE(F116:F118)</f>
        <v>1353.0509999999999</v>
      </c>
      <c r="G204" s="20">
        <f t="shared" si="38"/>
        <v>1867.3333333333333</v>
      </c>
      <c r="H204" s="20">
        <f t="shared" si="38"/>
        <v>2454.6666666666665</v>
      </c>
      <c r="I204" s="20" t="e">
        <f t="shared" si="38"/>
        <v>#DIV/0!</v>
      </c>
      <c r="J204" s="20">
        <f t="shared" si="38"/>
        <v>13075.333333333334</v>
      </c>
      <c r="K204" s="20">
        <f t="shared" si="38"/>
        <v>34110.666666666664</v>
      </c>
      <c r="L204" s="20">
        <f t="shared" si="38"/>
        <v>93440</v>
      </c>
      <c r="M204" s="20">
        <f t="shared" si="38"/>
        <v>187420</v>
      </c>
      <c r="N204" s="20">
        <f t="shared" si="38"/>
        <v>319886.66666666669</v>
      </c>
      <c r="O204" s="20">
        <f t="shared" si="38"/>
        <v>614686.66666666663</v>
      </c>
      <c r="P204" s="20">
        <f t="shared" si="38"/>
        <v>958240</v>
      </c>
      <c r="Q204" s="20" t="e">
        <f t="shared" si="38"/>
        <v>#DIV/0!</v>
      </c>
      <c r="R204" s="20" t="e">
        <f t="shared" si="38"/>
        <v>#DIV/0!</v>
      </c>
      <c r="S204" s="20" t="e">
        <f t="shared" si="38"/>
        <v>#DIV/0!</v>
      </c>
      <c r="T204" s="20" t="e">
        <f t="shared" si="38"/>
        <v>#DIV/0!</v>
      </c>
      <c r="U204" s="20" t="e">
        <f t="shared" si="38"/>
        <v>#DIV/0!</v>
      </c>
      <c r="V204" s="20" t="e">
        <f t="shared" si="38"/>
        <v>#DIV/0!</v>
      </c>
      <c r="W204" s="20" t="e">
        <f t="shared" si="38"/>
        <v>#DIV/0!</v>
      </c>
      <c r="X204" s="59"/>
      <c r="Y204" s="60"/>
    </row>
    <row r="205" spans="1:25" s="66" customFormat="1" x14ac:dyDescent="0.2">
      <c r="A205" s="67" t="s">
        <v>117</v>
      </c>
      <c r="B205" s="67" t="s">
        <v>153</v>
      </c>
      <c r="C205" s="68" t="s">
        <v>76</v>
      </c>
      <c r="D205" s="68">
        <v>10</v>
      </c>
      <c r="E205" s="68">
        <v>28</v>
      </c>
      <c r="F205" s="52">
        <f t="shared" ref="F205:W205" si="39">AVERAGE(F119:F121)</f>
        <v>1350.45</v>
      </c>
      <c r="G205" s="53">
        <f t="shared" si="39"/>
        <v>1922.3333333333333</v>
      </c>
      <c r="H205" s="53">
        <f t="shared" si="39"/>
        <v>1767</v>
      </c>
      <c r="I205" s="53" t="e">
        <f t="shared" si="39"/>
        <v>#DIV/0!</v>
      </c>
      <c r="J205" s="53">
        <f t="shared" si="39"/>
        <v>4910.666666666667</v>
      </c>
      <c r="K205" s="53">
        <f t="shared" si="39"/>
        <v>10855.666666666666</v>
      </c>
      <c r="L205" s="53">
        <f t="shared" si="39"/>
        <v>23314</v>
      </c>
      <c r="M205" s="53">
        <f t="shared" si="39"/>
        <v>47363.666666666664</v>
      </c>
      <c r="N205" s="53">
        <f t="shared" si="39"/>
        <v>140373.33333333334</v>
      </c>
      <c r="O205" s="53">
        <f t="shared" si="39"/>
        <v>300560</v>
      </c>
      <c r="P205" s="53">
        <f t="shared" si="39"/>
        <v>557333.33333333337</v>
      </c>
      <c r="Q205" s="53">
        <f t="shared" si="39"/>
        <v>893066.66666666663</v>
      </c>
      <c r="R205" s="53" t="e">
        <f t="shared" si="39"/>
        <v>#DIV/0!</v>
      </c>
      <c r="S205" s="53" t="e">
        <f t="shared" si="39"/>
        <v>#DIV/0!</v>
      </c>
      <c r="T205" s="53" t="e">
        <f t="shared" si="39"/>
        <v>#DIV/0!</v>
      </c>
      <c r="U205" s="53" t="e">
        <f t="shared" si="39"/>
        <v>#DIV/0!</v>
      </c>
      <c r="V205" s="53" t="e">
        <f t="shared" si="39"/>
        <v>#DIV/0!</v>
      </c>
      <c r="W205" s="53" t="e">
        <f t="shared" si="39"/>
        <v>#DIV/0!</v>
      </c>
      <c r="X205" s="64"/>
      <c r="Y205" s="65"/>
    </row>
    <row r="206" spans="1:25" x14ac:dyDescent="0.2">
      <c r="A206" s="19" t="s">
        <v>118</v>
      </c>
      <c r="B206" s="19" t="s">
        <v>153</v>
      </c>
      <c r="C206" s="11" t="s">
        <v>76</v>
      </c>
      <c r="D206" s="11">
        <v>10</v>
      </c>
      <c r="E206" s="11">
        <v>28</v>
      </c>
      <c r="F206" s="48">
        <f t="shared" ref="F206:W206" si="40">AVERAGE(F122:F124)</f>
        <v>1350.45</v>
      </c>
      <c r="G206" s="20">
        <f t="shared" si="40"/>
        <v>1859.6666666666667</v>
      </c>
      <c r="H206" s="20">
        <f t="shared" si="40"/>
        <v>1871.6666666666667</v>
      </c>
      <c r="I206" s="20" t="e">
        <f t="shared" si="40"/>
        <v>#DIV/0!</v>
      </c>
      <c r="J206" s="20">
        <f t="shared" si="40"/>
        <v>4399</v>
      </c>
      <c r="K206" s="20">
        <f t="shared" si="40"/>
        <v>10124</v>
      </c>
      <c r="L206" s="20">
        <f t="shared" si="40"/>
        <v>23154.333333333332</v>
      </c>
      <c r="M206" s="20">
        <f t="shared" si="40"/>
        <v>43622.666666666664</v>
      </c>
      <c r="N206" s="20">
        <f t="shared" si="40"/>
        <v>117166.66666666667</v>
      </c>
      <c r="O206" s="20">
        <f t="shared" si="40"/>
        <v>231893.33333333334</v>
      </c>
      <c r="P206" s="20">
        <f t="shared" si="40"/>
        <v>469526.66666666669</v>
      </c>
      <c r="Q206" s="20">
        <f t="shared" si="40"/>
        <v>828286.66666666663</v>
      </c>
      <c r="R206" s="20" t="e">
        <f t="shared" si="40"/>
        <v>#DIV/0!</v>
      </c>
      <c r="S206" s="20" t="e">
        <f t="shared" si="40"/>
        <v>#DIV/0!</v>
      </c>
      <c r="T206" s="20" t="e">
        <f t="shared" si="40"/>
        <v>#DIV/0!</v>
      </c>
      <c r="U206" s="20" t="e">
        <f t="shared" si="40"/>
        <v>#DIV/0!</v>
      </c>
      <c r="V206" s="20" t="e">
        <f t="shared" si="40"/>
        <v>#DIV/0!</v>
      </c>
      <c r="W206" s="20" t="e">
        <f t="shared" si="40"/>
        <v>#DIV/0!</v>
      </c>
      <c r="X206" s="49"/>
    </row>
    <row r="207" spans="1:25" x14ac:dyDescent="0.2">
      <c r="A207" s="19" t="s">
        <v>119</v>
      </c>
      <c r="B207" s="19" t="s">
        <v>153</v>
      </c>
      <c r="C207" s="11" t="s">
        <v>76</v>
      </c>
      <c r="D207" s="11">
        <v>10</v>
      </c>
      <c r="E207" s="11">
        <v>28</v>
      </c>
      <c r="F207" s="48">
        <f t="shared" ref="F207:W207" si="41">AVERAGE(F125:F127)</f>
        <v>1350.45</v>
      </c>
      <c r="G207" s="20">
        <f t="shared" si="41"/>
        <v>1408.3333333333333</v>
      </c>
      <c r="H207" s="20">
        <f t="shared" si="41"/>
        <v>1953.3333333333333</v>
      </c>
      <c r="I207" s="20" t="e">
        <f t="shared" si="41"/>
        <v>#DIV/0!</v>
      </c>
      <c r="J207" s="20">
        <f t="shared" si="41"/>
        <v>4682</v>
      </c>
      <c r="K207" s="20">
        <f t="shared" si="41"/>
        <v>10099</v>
      </c>
      <c r="L207" s="20">
        <f t="shared" si="41"/>
        <v>21766.666666666668</v>
      </c>
      <c r="M207" s="20">
        <f t="shared" si="41"/>
        <v>45374.333333333336</v>
      </c>
      <c r="N207" s="20">
        <f t="shared" si="41"/>
        <v>114953.33333333333</v>
      </c>
      <c r="O207" s="20">
        <f t="shared" si="41"/>
        <v>249766.66666666666</v>
      </c>
      <c r="P207" s="20">
        <f t="shared" si="41"/>
        <v>520520</v>
      </c>
      <c r="Q207" s="20">
        <f t="shared" si="41"/>
        <v>801033.33333333337</v>
      </c>
      <c r="R207" s="20" t="e">
        <f t="shared" si="41"/>
        <v>#DIV/0!</v>
      </c>
      <c r="S207" s="20" t="e">
        <f t="shared" si="41"/>
        <v>#DIV/0!</v>
      </c>
      <c r="T207" s="20" t="e">
        <f t="shared" si="41"/>
        <v>#DIV/0!</v>
      </c>
      <c r="U207" s="20" t="e">
        <f t="shared" si="41"/>
        <v>#DIV/0!</v>
      </c>
      <c r="V207" s="20" t="e">
        <f t="shared" si="41"/>
        <v>#DIV/0!</v>
      </c>
      <c r="W207" s="20" t="e">
        <f t="shared" si="41"/>
        <v>#DIV/0!</v>
      </c>
      <c r="X207" s="49"/>
    </row>
    <row r="208" spans="1:25" s="56" customFormat="1" x14ac:dyDescent="0.2">
      <c r="A208" s="50" t="s">
        <v>123</v>
      </c>
      <c r="B208" s="50" t="s">
        <v>154</v>
      </c>
      <c r="C208" s="51" t="s">
        <v>80</v>
      </c>
      <c r="D208" s="51">
        <v>10</v>
      </c>
      <c r="E208" s="51">
        <v>26</v>
      </c>
      <c r="F208" s="52">
        <f t="shared" ref="F208:W208" si="42">AVERAGE(F137:F139)</f>
        <v>1463.92</v>
      </c>
      <c r="G208" s="53">
        <f t="shared" si="42"/>
        <v>1629.6666666666667</v>
      </c>
      <c r="H208" s="53">
        <f t="shared" si="42"/>
        <v>2534.3333333333335</v>
      </c>
      <c r="I208" s="53" t="e">
        <f t="shared" si="42"/>
        <v>#DIV/0!</v>
      </c>
      <c r="J208" s="53">
        <f t="shared" si="42"/>
        <v>17469.666666666668</v>
      </c>
      <c r="K208" s="53">
        <f t="shared" si="42"/>
        <v>61495.666666666664</v>
      </c>
      <c r="L208" s="53">
        <f t="shared" si="42"/>
        <v>176920</v>
      </c>
      <c r="M208" s="53">
        <f t="shared" si="42"/>
        <v>348520</v>
      </c>
      <c r="N208" s="53">
        <f t="shared" si="42"/>
        <v>449900</v>
      </c>
      <c r="O208" s="53" t="e">
        <f t="shared" si="42"/>
        <v>#DIV/0!</v>
      </c>
      <c r="P208" s="53" t="e">
        <f t="shared" si="42"/>
        <v>#DIV/0!</v>
      </c>
      <c r="Q208" s="53" t="e">
        <f t="shared" si="42"/>
        <v>#DIV/0!</v>
      </c>
      <c r="R208" s="53" t="e">
        <f t="shared" si="42"/>
        <v>#DIV/0!</v>
      </c>
      <c r="S208" s="53" t="e">
        <f t="shared" si="42"/>
        <v>#DIV/0!</v>
      </c>
      <c r="T208" s="53" t="e">
        <f t="shared" si="42"/>
        <v>#DIV/0!</v>
      </c>
      <c r="U208" s="53" t="e">
        <f t="shared" si="42"/>
        <v>#DIV/0!</v>
      </c>
      <c r="V208" s="53" t="e">
        <f t="shared" si="42"/>
        <v>#DIV/0!</v>
      </c>
      <c r="W208" s="53" t="e">
        <f t="shared" si="42"/>
        <v>#DIV/0!</v>
      </c>
      <c r="X208" s="54"/>
      <c r="Y208" s="55"/>
    </row>
    <row r="209" spans="1:28" s="61" customFormat="1" x14ac:dyDescent="0.2">
      <c r="A209" s="57" t="s">
        <v>124</v>
      </c>
      <c r="B209" s="57" t="s">
        <v>154</v>
      </c>
      <c r="C209" s="58" t="s">
        <v>80</v>
      </c>
      <c r="D209" s="58">
        <v>10</v>
      </c>
      <c r="E209" s="58">
        <v>26</v>
      </c>
      <c r="F209" s="48">
        <f t="shared" ref="F209:W209" si="43">AVERAGE(F140:F142)</f>
        <v>1463.92</v>
      </c>
      <c r="G209" s="20">
        <f t="shared" si="43"/>
        <v>2124</v>
      </c>
      <c r="H209" s="20">
        <f t="shared" si="43"/>
        <v>3217.3333333333335</v>
      </c>
      <c r="I209" s="20" t="e">
        <f t="shared" si="43"/>
        <v>#DIV/0!</v>
      </c>
      <c r="J209" s="20">
        <f t="shared" si="43"/>
        <v>25901</v>
      </c>
      <c r="K209" s="20">
        <f t="shared" si="43"/>
        <v>77025.666666666672</v>
      </c>
      <c r="L209" s="20">
        <f t="shared" si="43"/>
        <v>211166.66666666666</v>
      </c>
      <c r="M209" s="20">
        <f t="shared" si="43"/>
        <v>420233.33333333331</v>
      </c>
      <c r="N209" s="20">
        <f t="shared" si="43"/>
        <v>560346.66666666663</v>
      </c>
      <c r="O209" s="20" t="e">
        <f t="shared" si="43"/>
        <v>#DIV/0!</v>
      </c>
      <c r="P209" s="20" t="e">
        <f t="shared" si="43"/>
        <v>#DIV/0!</v>
      </c>
      <c r="Q209" s="20" t="e">
        <f t="shared" si="43"/>
        <v>#DIV/0!</v>
      </c>
      <c r="R209" s="20" t="e">
        <f t="shared" si="43"/>
        <v>#DIV/0!</v>
      </c>
      <c r="S209" s="20" t="e">
        <f t="shared" si="43"/>
        <v>#DIV/0!</v>
      </c>
      <c r="T209" s="20" t="e">
        <f t="shared" si="43"/>
        <v>#DIV/0!</v>
      </c>
      <c r="U209" s="20" t="e">
        <f t="shared" si="43"/>
        <v>#DIV/0!</v>
      </c>
      <c r="V209" s="20" t="e">
        <f t="shared" si="43"/>
        <v>#DIV/0!</v>
      </c>
      <c r="W209" s="20" t="e">
        <f t="shared" si="43"/>
        <v>#DIV/0!</v>
      </c>
      <c r="X209" s="59"/>
      <c r="Y209" s="60"/>
    </row>
    <row r="210" spans="1:28" s="61" customFormat="1" x14ac:dyDescent="0.2">
      <c r="A210" s="57" t="s">
        <v>125</v>
      </c>
      <c r="B210" s="57" t="s">
        <v>154</v>
      </c>
      <c r="C210" s="58" t="s">
        <v>80</v>
      </c>
      <c r="D210" s="58">
        <v>10</v>
      </c>
      <c r="E210" s="58">
        <v>26</v>
      </c>
      <c r="F210" s="48">
        <f t="shared" ref="F210:W210" si="44">AVERAGE(F143:F145)</f>
        <v>1463.92</v>
      </c>
      <c r="G210" s="20">
        <f t="shared" si="44"/>
        <v>1964</v>
      </c>
      <c r="H210" s="20">
        <f t="shared" si="44"/>
        <v>3127</v>
      </c>
      <c r="I210" s="20" t="e">
        <f t="shared" si="44"/>
        <v>#DIV/0!</v>
      </c>
      <c r="J210" s="20">
        <f t="shared" si="44"/>
        <v>27684</v>
      </c>
      <c r="K210" s="20">
        <f t="shared" si="44"/>
        <v>87183</v>
      </c>
      <c r="L210" s="20">
        <f t="shared" si="44"/>
        <v>231800</v>
      </c>
      <c r="M210" s="20">
        <f t="shared" si="44"/>
        <v>434686.66666666669</v>
      </c>
      <c r="N210" s="20">
        <f t="shared" si="44"/>
        <v>568460</v>
      </c>
      <c r="O210" s="20" t="e">
        <f t="shared" si="44"/>
        <v>#DIV/0!</v>
      </c>
      <c r="P210" s="20" t="e">
        <f t="shared" si="44"/>
        <v>#DIV/0!</v>
      </c>
      <c r="Q210" s="20" t="e">
        <f t="shared" si="44"/>
        <v>#DIV/0!</v>
      </c>
      <c r="R210" s="20" t="e">
        <f t="shared" si="44"/>
        <v>#DIV/0!</v>
      </c>
      <c r="S210" s="20" t="e">
        <f t="shared" si="44"/>
        <v>#DIV/0!</v>
      </c>
      <c r="T210" s="20" t="e">
        <f t="shared" si="44"/>
        <v>#DIV/0!</v>
      </c>
      <c r="U210" s="20" t="e">
        <f t="shared" si="44"/>
        <v>#DIV/0!</v>
      </c>
      <c r="V210" s="20" t="e">
        <f t="shared" si="44"/>
        <v>#DIV/0!</v>
      </c>
      <c r="W210" s="20" t="e">
        <f t="shared" si="44"/>
        <v>#DIV/0!</v>
      </c>
      <c r="X210" s="59"/>
      <c r="Y210" s="60"/>
    </row>
    <row r="211" spans="1:28" s="77" customFormat="1" x14ac:dyDescent="0.2">
      <c r="A211" s="79" t="s">
        <v>126</v>
      </c>
      <c r="B211" s="79" t="s">
        <v>155</v>
      </c>
      <c r="C211" s="63" t="s">
        <v>80</v>
      </c>
      <c r="D211" s="63">
        <v>10</v>
      </c>
      <c r="E211" s="63">
        <v>26</v>
      </c>
      <c r="F211" s="52">
        <f t="shared" ref="F211:W211" si="45">AVERAGE(F146:F148)</f>
        <v>1153.7</v>
      </c>
      <c r="G211" s="53">
        <f t="shared" si="45"/>
        <v>1103.3333333333333</v>
      </c>
      <c r="H211" s="53" t="e">
        <f t="shared" si="45"/>
        <v>#DIV/0!</v>
      </c>
      <c r="I211" s="53">
        <f t="shared" si="45"/>
        <v>4013</v>
      </c>
      <c r="J211" s="53">
        <f t="shared" si="45"/>
        <v>14719.666666666666</v>
      </c>
      <c r="K211" s="53">
        <f t="shared" si="45"/>
        <v>45448.666666666664</v>
      </c>
      <c r="L211" s="53">
        <f t="shared" si="45"/>
        <v>120620</v>
      </c>
      <c r="M211" s="53">
        <f t="shared" si="45"/>
        <v>309480</v>
      </c>
      <c r="N211" s="53">
        <f t="shared" si="45"/>
        <v>432713.33333333331</v>
      </c>
      <c r="O211" s="53" t="e">
        <f t="shared" si="45"/>
        <v>#DIV/0!</v>
      </c>
      <c r="P211" s="53" t="e">
        <f t="shared" si="45"/>
        <v>#DIV/0!</v>
      </c>
      <c r="Q211" s="53" t="e">
        <f t="shared" si="45"/>
        <v>#DIV/0!</v>
      </c>
      <c r="R211" s="53" t="e">
        <f t="shared" si="45"/>
        <v>#DIV/0!</v>
      </c>
      <c r="S211" s="53" t="e">
        <f t="shared" si="45"/>
        <v>#DIV/0!</v>
      </c>
      <c r="T211" s="53" t="e">
        <f t="shared" si="45"/>
        <v>#DIV/0!</v>
      </c>
      <c r="U211" s="53" t="e">
        <f t="shared" si="45"/>
        <v>#DIV/0!</v>
      </c>
      <c r="V211" s="53" t="e">
        <f t="shared" si="45"/>
        <v>#DIV/0!</v>
      </c>
      <c r="W211" s="53" t="e">
        <f t="shared" si="45"/>
        <v>#DIV/0!</v>
      </c>
      <c r="X211" s="75"/>
      <c r="Y211" s="76"/>
    </row>
    <row r="212" spans="1:28" s="34" customFormat="1" x14ac:dyDescent="0.2">
      <c r="A212" s="39" t="s">
        <v>127</v>
      </c>
      <c r="B212" s="39" t="s">
        <v>155</v>
      </c>
      <c r="C212" s="6" t="s">
        <v>80</v>
      </c>
      <c r="D212" s="6">
        <v>10</v>
      </c>
      <c r="E212" s="6">
        <v>26</v>
      </c>
      <c r="F212" s="48">
        <f t="shared" ref="F212:W212" si="46">AVERAGE(F149:F151)</f>
        <v>1153.7</v>
      </c>
      <c r="G212" s="20">
        <f t="shared" si="46"/>
        <v>1432.6666666666667</v>
      </c>
      <c r="H212" s="20" t="e">
        <f t="shared" si="46"/>
        <v>#DIV/0!</v>
      </c>
      <c r="I212" s="20">
        <f t="shared" si="46"/>
        <v>4527</v>
      </c>
      <c r="J212" s="20">
        <f t="shared" si="46"/>
        <v>14868.666666666666</v>
      </c>
      <c r="K212" s="20">
        <f t="shared" si="46"/>
        <v>41153.333333333336</v>
      </c>
      <c r="L212" s="20">
        <f t="shared" si="46"/>
        <v>101833.33333333333</v>
      </c>
      <c r="M212" s="20">
        <f t="shared" si="46"/>
        <v>316846.66666666669</v>
      </c>
      <c r="N212" s="20">
        <f t="shared" si="46"/>
        <v>492006.66666666669</v>
      </c>
      <c r="O212" s="20" t="e">
        <f t="shared" si="46"/>
        <v>#DIV/0!</v>
      </c>
      <c r="P212" s="20" t="e">
        <f t="shared" si="46"/>
        <v>#DIV/0!</v>
      </c>
      <c r="Q212" s="20" t="e">
        <f t="shared" si="46"/>
        <v>#DIV/0!</v>
      </c>
      <c r="R212" s="20" t="e">
        <f t="shared" si="46"/>
        <v>#DIV/0!</v>
      </c>
      <c r="S212" s="20" t="e">
        <f t="shared" si="46"/>
        <v>#DIV/0!</v>
      </c>
      <c r="T212" s="20" t="e">
        <f t="shared" si="46"/>
        <v>#DIV/0!</v>
      </c>
      <c r="U212" s="20" t="e">
        <f t="shared" si="46"/>
        <v>#DIV/0!</v>
      </c>
      <c r="V212" s="20" t="e">
        <f t="shared" si="46"/>
        <v>#DIV/0!</v>
      </c>
      <c r="W212" s="20" t="e">
        <f t="shared" si="46"/>
        <v>#DIV/0!</v>
      </c>
      <c r="X212" s="78"/>
      <c r="Y212" s="35"/>
    </row>
    <row r="213" spans="1:28" s="34" customFormat="1" x14ac:dyDescent="0.2">
      <c r="A213" s="39" t="s">
        <v>128</v>
      </c>
      <c r="B213" s="39" t="s">
        <v>155</v>
      </c>
      <c r="C213" s="6" t="s">
        <v>80</v>
      </c>
      <c r="D213" s="6">
        <v>10</v>
      </c>
      <c r="E213" s="6">
        <v>26</v>
      </c>
      <c r="F213" s="48">
        <f t="shared" ref="F213:W213" si="47">AVERAGE(F152:F154)</f>
        <v>1153.7</v>
      </c>
      <c r="G213" s="20">
        <f t="shared" si="47"/>
        <v>1289.6666666666667</v>
      </c>
      <c r="H213" s="20" t="e">
        <f t="shared" si="47"/>
        <v>#DIV/0!</v>
      </c>
      <c r="I213" s="20">
        <f t="shared" si="47"/>
        <v>4223.333333333333</v>
      </c>
      <c r="J213" s="20">
        <f t="shared" si="47"/>
        <v>12344.666666666666</v>
      </c>
      <c r="K213" s="20">
        <f t="shared" si="47"/>
        <v>36103.333333333336</v>
      </c>
      <c r="L213" s="20">
        <f t="shared" si="47"/>
        <v>123853.33333333333</v>
      </c>
      <c r="M213" s="20">
        <f t="shared" si="47"/>
        <v>295786.66666666669</v>
      </c>
      <c r="N213" s="20">
        <f t="shared" si="47"/>
        <v>470520</v>
      </c>
      <c r="O213" s="20" t="e">
        <f t="shared" si="47"/>
        <v>#DIV/0!</v>
      </c>
      <c r="P213" s="20" t="e">
        <f t="shared" si="47"/>
        <v>#DIV/0!</v>
      </c>
      <c r="Q213" s="20" t="e">
        <f t="shared" si="47"/>
        <v>#DIV/0!</v>
      </c>
      <c r="R213" s="20" t="e">
        <f t="shared" si="47"/>
        <v>#DIV/0!</v>
      </c>
      <c r="S213" s="20" t="e">
        <f t="shared" si="47"/>
        <v>#DIV/0!</v>
      </c>
      <c r="T213" s="20" t="e">
        <f t="shared" si="47"/>
        <v>#DIV/0!</v>
      </c>
      <c r="U213" s="20" t="e">
        <f t="shared" si="47"/>
        <v>#DIV/0!</v>
      </c>
      <c r="V213" s="20" t="e">
        <f t="shared" si="47"/>
        <v>#DIV/0!</v>
      </c>
      <c r="W213" s="20" t="e">
        <f t="shared" si="47"/>
        <v>#DIV/0!</v>
      </c>
      <c r="X213" s="78"/>
      <c r="Y213" s="35"/>
    </row>
    <row r="214" spans="1:28" s="34" customFormat="1" x14ac:dyDescent="0.2">
      <c r="A214" s="39" t="s">
        <v>120</v>
      </c>
      <c r="B214" s="39" t="s">
        <v>156</v>
      </c>
      <c r="C214" s="6" t="s">
        <v>76</v>
      </c>
      <c r="D214" s="6">
        <v>10</v>
      </c>
      <c r="E214" s="6">
        <v>30</v>
      </c>
      <c r="F214" s="80">
        <f t="shared" ref="F214:S214" si="48">AVERAGE(F128:F130)</f>
        <v>1331.6849999999999</v>
      </c>
      <c r="G214" s="80">
        <f t="shared" si="48"/>
        <v>1754.3333333333333</v>
      </c>
      <c r="H214" s="80">
        <f t="shared" si="48"/>
        <v>1292.3333333333333</v>
      </c>
      <c r="I214" s="80" t="e">
        <f t="shared" si="48"/>
        <v>#DIV/0!</v>
      </c>
      <c r="J214" s="80">
        <f t="shared" si="48"/>
        <v>1055</v>
      </c>
      <c r="K214" s="80">
        <f t="shared" si="48"/>
        <v>954.33333333333337</v>
      </c>
      <c r="L214" s="80">
        <f t="shared" si="48"/>
        <v>1634</v>
      </c>
      <c r="M214" s="80" t="e">
        <f t="shared" si="48"/>
        <v>#DIV/0!</v>
      </c>
      <c r="N214" s="80">
        <f t="shared" si="48"/>
        <v>1628.3333333333333</v>
      </c>
      <c r="O214" s="80">
        <f t="shared" si="48"/>
        <v>1715.6666666666667</v>
      </c>
      <c r="P214" s="80" t="e">
        <f t="shared" si="48"/>
        <v>#DIV/0!</v>
      </c>
      <c r="Q214" s="80">
        <f t="shared" si="48"/>
        <v>1784.3333333333333</v>
      </c>
      <c r="R214" s="80">
        <f t="shared" si="48"/>
        <v>1190.6666666666667</v>
      </c>
      <c r="S214" s="80" t="e">
        <f t="shared" si="48"/>
        <v>#DIV/0!</v>
      </c>
      <c r="T214" s="7"/>
      <c r="U214" s="7"/>
      <c r="V214" s="7"/>
      <c r="W214" s="7"/>
      <c r="X214" s="78"/>
      <c r="Y214" s="35"/>
    </row>
    <row r="215" spans="1:28" s="34" customFormat="1" x14ac:dyDescent="0.2">
      <c r="A215" s="39" t="s">
        <v>121</v>
      </c>
      <c r="B215" s="39" t="s">
        <v>156</v>
      </c>
      <c r="C215" s="6" t="s">
        <v>76</v>
      </c>
      <c r="D215" s="6">
        <v>10</v>
      </c>
      <c r="E215" s="6">
        <v>30</v>
      </c>
      <c r="F215" s="80">
        <f t="shared" ref="F215:R215" si="49">AVERAGE(F131:F133)</f>
        <v>1331.6849999999999</v>
      </c>
      <c r="G215" s="80">
        <f t="shared" si="49"/>
        <v>1585.3333333333333</v>
      </c>
      <c r="H215" s="80">
        <f t="shared" si="49"/>
        <v>1295.6666666666667</v>
      </c>
      <c r="I215" s="80" t="e">
        <f t="shared" si="49"/>
        <v>#DIV/0!</v>
      </c>
      <c r="J215" s="80">
        <f t="shared" si="49"/>
        <v>1587.3333333333333</v>
      </c>
      <c r="K215" s="80">
        <f t="shared" si="49"/>
        <v>1036.3333333333333</v>
      </c>
      <c r="L215" s="80">
        <f t="shared" si="49"/>
        <v>1726</v>
      </c>
      <c r="M215" s="80" t="e">
        <f t="shared" si="49"/>
        <v>#DIV/0!</v>
      </c>
      <c r="N215" s="80">
        <f t="shared" si="49"/>
        <v>1546.6666666666667</v>
      </c>
      <c r="O215" s="80">
        <f t="shared" si="49"/>
        <v>1383.3333333333333</v>
      </c>
      <c r="P215" s="80" t="e">
        <f t="shared" si="49"/>
        <v>#DIV/0!</v>
      </c>
      <c r="Q215" s="80">
        <f t="shared" si="49"/>
        <v>2509</v>
      </c>
      <c r="R215" s="80">
        <f t="shared" si="49"/>
        <v>1310.3333333333333</v>
      </c>
      <c r="S215" s="80"/>
      <c r="T215" s="80"/>
      <c r="U215" s="80"/>
      <c r="V215" s="7"/>
      <c r="W215" s="7"/>
      <c r="X215" s="78"/>
      <c r="Y215" s="35"/>
    </row>
    <row r="216" spans="1:28" s="85" customFormat="1" x14ac:dyDescent="0.2">
      <c r="A216" s="40" t="s">
        <v>122</v>
      </c>
      <c r="B216" s="40" t="s">
        <v>156</v>
      </c>
      <c r="C216" s="41" t="s">
        <v>76</v>
      </c>
      <c r="D216" s="41">
        <v>10</v>
      </c>
      <c r="E216" s="41">
        <v>30</v>
      </c>
      <c r="F216" s="81">
        <f t="shared" ref="F216:R216" si="50">AVERAGE(F134:F136)</f>
        <v>1331.6849999999999</v>
      </c>
      <c r="G216" s="81">
        <f t="shared" si="50"/>
        <v>1595</v>
      </c>
      <c r="H216" s="81">
        <f t="shared" si="50"/>
        <v>1366.6666666666667</v>
      </c>
      <c r="I216" s="81" t="e">
        <f t="shared" si="50"/>
        <v>#DIV/0!</v>
      </c>
      <c r="J216" s="81">
        <f t="shared" si="50"/>
        <v>1319.3333333333333</v>
      </c>
      <c r="K216" s="81">
        <f t="shared" si="50"/>
        <v>1071.6666666666667</v>
      </c>
      <c r="L216" s="81">
        <f t="shared" si="50"/>
        <v>1476.3333333333333</v>
      </c>
      <c r="M216" s="81" t="e">
        <f t="shared" si="50"/>
        <v>#DIV/0!</v>
      </c>
      <c r="N216" s="81">
        <f t="shared" si="50"/>
        <v>1755.3333333333333</v>
      </c>
      <c r="O216" s="81">
        <f t="shared" si="50"/>
        <v>1564.3333333333333</v>
      </c>
      <c r="P216" s="81" t="e">
        <f t="shared" si="50"/>
        <v>#DIV/0!</v>
      </c>
      <c r="Q216" s="81">
        <f t="shared" si="50"/>
        <v>2988.3333333333335</v>
      </c>
      <c r="R216" s="81">
        <f t="shared" si="50"/>
        <v>1356</v>
      </c>
      <c r="S216" s="81"/>
      <c r="T216" s="81"/>
      <c r="U216" s="81"/>
      <c r="V216" s="82"/>
      <c r="W216" s="82"/>
      <c r="X216" s="83"/>
      <c r="Y216" s="84"/>
    </row>
    <row r="217" spans="1:28" s="61" customFormat="1" x14ac:dyDescent="0.2">
      <c r="A217" s="70" t="s">
        <v>129</v>
      </c>
      <c r="B217" s="70" t="s">
        <v>157</v>
      </c>
      <c r="C217" s="58" t="s">
        <v>80</v>
      </c>
      <c r="D217" s="58">
        <v>10</v>
      </c>
      <c r="E217" s="58">
        <v>30</v>
      </c>
      <c r="F217" s="48">
        <f t="shared" ref="F217:R217" si="51">AVERAGE(F155:F157)</f>
        <v>1354.84</v>
      </c>
      <c r="G217" s="48">
        <f t="shared" si="51"/>
        <v>1870</v>
      </c>
      <c r="H217" s="48">
        <f t="shared" si="51"/>
        <v>1062.3333333333333</v>
      </c>
      <c r="I217" s="48" t="e">
        <f t="shared" si="51"/>
        <v>#DIV/0!</v>
      </c>
      <c r="J217" s="48">
        <f t="shared" si="51"/>
        <v>1092.3333333333333</v>
      </c>
      <c r="K217" s="48">
        <f t="shared" si="51"/>
        <v>711.66666666666663</v>
      </c>
      <c r="L217" s="48">
        <f t="shared" si="51"/>
        <v>1244</v>
      </c>
      <c r="M217" s="48" t="e">
        <f t="shared" si="51"/>
        <v>#DIV/0!</v>
      </c>
      <c r="N217" s="48">
        <f t="shared" si="51"/>
        <v>2053.6666666666665</v>
      </c>
      <c r="O217" s="48">
        <f t="shared" si="51"/>
        <v>2101</v>
      </c>
      <c r="P217" s="48" t="e">
        <f t="shared" si="51"/>
        <v>#DIV/0!</v>
      </c>
      <c r="Q217" s="48">
        <f t="shared" si="51"/>
        <v>1830</v>
      </c>
      <c r="R217" s="48">
        <f t="shared" si="51"/>
        <v>1804</v>
      </c>
      <c r="S217" s="48"/>
      <c r="T217" s="48"/>
      <c r="U217" s="48"/>
      <c r="V217" s="20"/>
      <c r="W217" s="20"/>
      <c r="X217" s="59"/>
      <c r="Y217" s="60"/>
    </row>
    <row r="218" spans="1:28" s="61" customFormat="1" x14ac:dyDescent="0.2">
      <c r="A218" s="70" t="s">
        <v>130</v>
      </c>
      <c r="B218" s="70" t="s">
        <v>157</v>
      </c>
      <c r="C218" s="58" t="s">
        <v>80</v>
      </c>
      <c r="D218" s="58">
        <v>10</v>
      </c>
      <c r="E218" s="58">
        <v>30</v>
      </c>
      <c r="F218" s="48">
        <f t="shared" ref="F218:R218" si="52">AVERAGE(F158:F160)</f>
        <v>1354.84</v>
      </c>
      <c r="G218" s="48">
        <f t="shared" si="52"/>
        <v>1537</v>
      </c>
      <c r="H218" s="48">
        <f t="shared" si="52"/>
        <v>1189.3333333333333</v>
      </c>
      <c r="I218" s="48" t="e">
        <f t="shared" si="52"/>
        <v>#DIV/0!</v>
      </c>
      <c r="J218" s="48">
        <f t="shared" si="52"/>
        <v>975</v>
      </c>
      <c r="K218" s="48">
        <f t="shared" si="52"/>
        <v>899</v>
      </c>
      <c r="L218" s="48">
        <f t="shared" si="52"/>
        <v>1042.3333333333333</v>
      </c>
      <c r="M218" s="48" t="e">
        <f t="shared" si="52"/>
        <v>#DIV/0!</v>
      </c>
      <c r="N218" s="48">
        <f t="shared" si="52"/>
        <v>2037.6666666666667</v>
      </c>
      <c r="O218" s="48">
        <f t="shared" si="52"/>
        <v>1924.3333333333333</v>
      </c>
      <c r="P218" s="48" t="e">
        <f t="shared" si="52"/>
        <v>#DIV/0!</v>
      </c>
      <c r="Q218" s="48">
        <f t="shared" si="52"/>
        <v>1949.3333333333333</v>
      </c>
      <c r="R218" s="48">
        <f t="shared" si="52"/>
        <v>2632</v>
      </c>
      <c r="S218" s="48"/>
      <c r="T218" s="48"/>
      <c r="U218" s="48"/>
      <c r="V218" s="20"/>
      <c r="W218" s="20"/>
      <c r="X218" s="59"/>
      <c r="Y218" s="60"/>
    </row>
    <row r="219" spans="1:28" s="61" customFormat="1" x14ac:dyDescent="0.2">
      <c r="A219" s="70" t="s">
        <v>131</v>
      </c>
      <c r="B219" s="70" t="s">
        <v>157</v>
      </c>
      <c r="C219" s="58" t="s">
        <v>80</v>
      </c>
      <c r="D219" s="58">
        <v>10</v>
      </c>
      <c r="E219" s="58">
        <v>30</v>
      </c>
      <c r="F219" s="48">
        <f t="shared" ref="F219:R219" si="53">AVERAGE(F161:F163)</f>
        <v>1354.84</v>
      </c>
      <c r="G219" s="48">
        <f t="shared" si="53"/>
        <v>1686</v>
      </c>
      <c r="H219" s="48">
        <f t="shared" si="53"/>
        <v>1255</v>
      </c>
      <c r="I219" s="48" t="e">
        <f t="shared" si="53"/>
        <v>#DIV/0!</v>
      </c>
      <c r="J219" s="48">
        <f t="shared" si="53"/>
        <v>1145.3333333333333</v>
      </c>
      <c r="K219" s="48">
        <f t="shared" si="53"/>
        <v>1378.6666666666667</v>
      </c>
      <c r="L219" s="48">
        <f t="shared" si="53"/>
        <v>1496.3333333333333</v>
      </c>
      <c r="M219" s="48" t="e">
        <f t="shared" si="53"/>
        <v>#DIV/0!</v>
      </c>
      <c r="N219" s="48">
        <f t="shared" si="53"/>
        <v>1949</v>
      </c>
      <c r="O219" s="48">
        <f t="shared" si="53"/>
        <v>2095</v>
      </c>
      <c r="P219" s="48" t="e">
        <f t="shared" si="53"/>
        <v>#DIV/0!</v>
      </c>
      <c r="Q219" s="48">
        <f t="shared" si="53"/>
        <v>2079.6666666666665</v>
      </c>
      <c r="R219" s="48">
        <f t="shared" si="53"/>
        <v>2543</v>
      </c>
      <c r="S219" s="48"/>
      <c r="T219" s="48"/>
      <c r="U219" s="48"/>
      <c r="V219" s="20"/>
      <c r="W219" s="20"/>
      <c r="X219" s="59"/>
      <c r="Y219" s="60"/>
    </row>
    <row r="220" spans="1:28" x14ac:dyDescent="0.2">
      <c r="F220" s="86"/>
      <c r="G220" s="49"/>
      <c r="H220" s="49"/>
      <c r="I220" s="49"/>
      <c r="J220" s="49"/>
      <c r="K220" s="49"/>
      <c r="L220" s="49"/>
      <c r="M220" s="49"/>
      <c r="N220" s="87"/>
      <c r="O220" s="49"/>
      <c r="P220" s="87"/>
      <c r="Q220" s="87"/>
      <c r="R220" s="87"/>
      <c r="S220" s="87"/>
      <c r="T220" s="87"/>
      <c r="U220" s="49"/>
      <c r="V220" s="49"/>
      <c r="W220" s="49"/>
      <c r="X220" s="49"/>
    </row>
    <row r="221" spans="1:28" s="88" customFormat="1" x14ac:dyDescent="0.2">
      <c r="A221" s="88" t="s">
        <v>159</v>
      </c>
      <c r="F221" s="89">
        <v>0</v>
      </c>
      <c r="G221" s="90">
        <v>2</v>
      </c>
      <c r="H221" s="90">
        <v>4</v>
      </c>
      <c r="I221" s="90">
        <v>6</v>
      </c>
      <c r="J221" s="90">
        <v>8</v>
      </c>
      <c r="K221" s="90">
        <v>10</v>
      </c>
      <c r="L221" s="90">
        <v>12</v>
      </c>
      <c r="M221" s="90">
        <v>14</v>
      </c>
      <c r="N221" s="90">
        <v>16</v>
      </c>
      <c r="O221" s="90">
        <v>18</v>
      </c>
      <c r="P221" s="90">
        <v>20</v>
      </c>
      <c r="Q221" s="90">
        <v>22</v>
      </c>
      <c r="R221" s="90">
        <v>24</v>
      </c>
      <c r="S221" s="90">
        <v>26</v>
      </c>
      <c r="T221" s="90">
        <v>28</v>
      </c>
      <c r="U221" s="90">
        <v>31</v>
      </c>
      <c r="V221" s="90">
        <v>33</v>
      </c>
      <c r="W221" s="90">
        <v>35</v>
      </c>
      <c r="X221" s="91"/>
      <c r="Y221" s="90"/>
    </row>
    <row r="222" spans="1:28" s="33" customFormat="1" x14ac:dyDescent="0.2">
      <c r="A222" s="30" t="s">
        <v>77</v>
      </c>
      <c r="B222" s="30" t="s">
        <v>138</v>
      </c>
      <c r="C222" s="31" t="s">
        <v>76</v>
      </c>
      <c r="D222" s="31">
        <v>50</v>
      </c>
      <c r="E222" s="31">
        <v>26</v>
      </c>
      <c r="F222" s="92">
        <f t="shared" ref="F222:S222" si="54">LN(F166)</f>
        <v>7.239119252520041</v>
      </c>
      <c r="G222" s="92">
        <f t="shared" si="54"/>
        <v>7.4344542519044179</v>
      </c>
      <c r="H222" s="92">
        <f t="shared" si="54"/>
        <v>7.891829262158752</v>
      </c>
      <c r="I222" s="92">
        <f t="shared" si="54"/>
        <v>8.1966205503260348</v>
      </c>
      <c r="J222" s="92">
        <f t="shared" si="54"/>
        <v>8.8830392848373734</v>
      </c>
      <c r="K222" s="92">
        <f t="shared" si="54"/>
        <v>9.6961968449186298</v>
      </c>
      <c r="L222" s="92">
        <f t="shared" si="54"/>
        <v>10.539526318006166</v>
      </c>
      <c r="M222" s="92">
        <f t="shared" si="54"/>
        <v>11.5038174459395</v>
      </c>
      <c r="N222" s="92">
        <f t="shared" si="54"/>
        <v>12.424511815239795</v>
      </c>
      <c r="O222" s="92">
        <f t="shared" si="54"/>
        <v>13.047596726831136</v>
      </c>
      <c r="P222" s="92">
        <f t="shared" si="54"/>
        <v>13.524329036242781</v>
      </c>
      <c r="Q222" s="92">
        <f t="shared" si="54"/>
        <v>14.034919142967489</v>
      </c>
      <c r="R222" s="92">
        <f t="shared" si="54"/>
        <v>14.166416224916397</v>
      </c>
      <c r="S222" s="92">
        <f t="shared" si="54"/>
        <v>14.133697586854264</v>
      </c>
      <c r="T222" s="92"/>
      <c r="U222" s="92"/>
      <c r="V222" s="92"/>
      <c r="W222" s="92"/>
      <c r="X222" s="93"/>
      <c r="Y222" s="32">
        <v>4</v>
      </c>
      <c r="Z222" s="33">
        <v>22</v>
      </c>
      <c r="AA222" s="33">
        <v>0.37140000000000001</v>
      </c>
      <c r="AB222" s="33">
        <v>0.99016999999999999</v>
      </c>
    </row>
    <row r="223" spans="1:28" s="33" customFormat="1" x14ac:dyDescent="0.2">
      <c r="A223" s="30" t="s">
        <v>78</v>
      </c>
      <c r="B223" s="30" t="s">
        <v>138</v>
      </c>
      <c r="C223" s="31" t="s">
        <v>76</v>
      </c>
      <c r="D223" s="31">
        <v>50</v>
      </c>
      <c r="E223" s="31">
        <v>26</v>
      </c>
      <c r="F223" s="92">
        <f t="shared" ref="F223:S223" si="55">LN(F167)</f>
        <v>7.239119252520041</v>
      </c>
      <c r="G223" s="92">
        <f t="shared" si="55"/>
        <v>7.4970223290546905</v>
      </c>
      <c r="H223" s="92">
        <f t="shared" si="55"/>
        <v>7.7256243286785287</v>
      </c>
      <c r="I223" s="92">
        <f t="shared" si="55"/>
        <v>8.0345230123991023</v>
      </c>
      <c r="J223" s="92">
        <f t="shared" si="55"/>
        <v>9.0600599707270231</v>
      </c>
      <c r="K223" s="92">
        <f t="shared" si="55"/>
        <v>9.56680195982279</v>
      </c>
      <c r="L223" s="92">
        <f t="shared" si="55"/>
        <v>10.332918722097423</v>
      </c>
      <c r="M223" s="92">
        <f t="shared" si="55"/>
        <v>11.329242982536933</v>
      </c>
      <c r="N223" s="92">
        <f t="shared" si="55"/>
        <v>12.244684198824283</v>
      </c>
      <c r="O223" s="92">
        <f t="shared" si="55"/>
        <v>12.88034277032043</v>
      </c>
      <c r="P223" s="92">
        <f t="shared" si="55"/>
        <v>13.356528632641282</v>
      </c>
      <c r="Q223" s="92">
        <f t="shared" si="55"/>
        <v>13.941996355237048</v>
      </c>
      <c r="R223" s="92">
        <f t="shared" si="55"/>
        <v>14.114602291967618</v>
      </c>
      <c r="S223" s="92">
        <f t="shared" si="55"/>
        <v>14.100654411863049</v>
      </c>
      <c r="T223" s="92"/>
      <c r="U223" s="92"/>
      <c r="V223" s="92"/>
      <c r="W223" s="92"/>
      <c r="X223" s="93"/>
      <c r="Y223" s="32">
        <v>4</v>
      </c>
      <c r="Z223" s="33">
        <v>22</v>
      </c>
      <c r="AA223" s="33">
        <v>0.36770000000000003</v>
      </c>
      <c r="AB223" s="33">
        <v>0.99253000000000002</v>
      </c>
    </row>
    <row r="224" spans="1:28" s="33" customFormat="1" x14ac:dyDescent="0.2">
      <c r="A224" s="30" t="s">
        <v>79</v>
      </c>
      <c r="B224" s="30" t="s">
        <v>138</v>
      </c>
      <c r="C224" s="31" t="s">
        <v>76</v>
      </c>
      <c r="D224" s="31">
        <v>50</v>
      </c>
      <c r="E224" s="31">
        <v>26</v>
      </c>
      <c r="F224" s="92">
        <f t="shared" ref="F224:S224" si="56">LN(F168)</f>
        <v>7.239119252520041</v>
      </c>
      <c r="G224" s="92">
        <f t="shared" si="56"/>
        <v>7.417980722676095</v>
      </c>
      <c r="H224" s="92">
        <f t="shared" si="56"/>
        <v>7.8280380321258294</v>
      </c>
      <c r="I224" s="92">
        <f t="shared" si="56"/>
        <v>8.1663109610783646</v>
      </c>
      <c r="J224" s="92">
        <f t="shared" si="56"/>
        <v>8.9568664708541395</v>
      </c>
      <c r="K224" s="92">
        <f t="shared" si="56"/>
        <v>9.7934866573218002</v>
      </c>
      <c r="L224" s="92">
        <f t="shared" si="56"/>
        <v>10.554109900681071</v>
      </c>
      <c r="M224" s="92">
        <f t="shared" si="56"/>
        <v>11.542419540197931</v>
      </c>
      <c r="N224" s="92">
        <f t="shared" si="56"/>
        <v>12.664045865391936</v>
      </c>
      <c r="O224" s="92">
        <f t="shared" si="56"/>
        <v>13.13379116413663</v>
      </c>
      <c r="P224" s="92">
        <f t="shared" si="56"/>
        <v>13.528192863563191</v>
      </c>
      <c r="Q224" s="92">
        <f t="shared" si="56"/>
        <v>14.034619313760809</v>
      </c>
      <c r="R224" s="92">
        <f t="shared" si="56"/>
        <v>14.158556379252161</v>
      </c>
      <c r="S224" s="92">
        <f t="shared" si="56"/>
        <v>14.135078819278377</v>
      </c>
      <c r="T224" s="92"/>
      <c r="U224" s="92"/>
      <c r="V224" s="92"/>
      <c r="W224" s="92"/>
      <c r="X224" s="93"/>
      <c r="Y224" s="32">
        <v>4</v>
      </c>
      <c r="Z224" s="33">
        <v>22</v>
      </c>
      <c r="AA224" s="33">
        <v>0.37540000000000001</v>
      </c>
      <c r="AB224" s="33">
        <v>0.98660000000000003</v>
      </c>
    </row>
    <row r="225" spans="1:30" s="33" customFormat="1" x14ac:dyDescent="0.2">
      <c r="A225" s="30" t="s">
        <v>81</v>
      </c>
      <c r="B225" s="30" t="s">
        <v>139</v>
      </c>
      <c r="C225" s="31" t="s">
        <v>76</v>
      </c>
      <c r="D225" s="31">
        <v>100</v>
      </c>
      <c r="E225" s="31">
        <v>26</v>
      </c>
      <c r="F225" s="92">
        <f t="shared" ref="F225:S225" si="57">LN(F169)</f>
        <v>7.1449016647260235</v>
      </c>
      <c r="G225" s="92">
        <f t="shared" si="57"/>
        <v>7.2152399787300974</v>
      </c>
      <c r="H225" s="92">
        <f t="shared" si="57"/>
        <v>7.452015678834365</v>
      </c>
      <c r="I225" s="92">
        <f t="shared" si="57"/>
        <v>8.1462261237156408</v>
      </c>
      <c r="J225" s="92">
        <f t="shared" si="57"/>
        <v>8.7945723708721211</v>
      </c>
      <c r="K225" s="92">
        <f t="shared" si="57"/>
        <v>9.6458819476668172</v>
      </c>
      <c r="L225" s="92">
        <f t="shared" si="57"/>
        <v>10.60329583196908</v>
      </c>
      <c r="M225" s="92">
        <f t="shared" si="57"/>
        <v>11.54002169063193</v>
      </c>
      <c r="N225" s="92">
        <f t="shared" si="57"/>
        <v>12.422070728683511</v>
      </c>
      <c r="O225" s="92">
        <f t="shared" si="57"/>
        <v>12.969662756843892</v>
      </c>
      <c r="P225" s="92">
        <f t="shared" si="57"/>
        <v>13.584158408100176</v>
      </c>
      <c r="Q225" s="92">
        <f t="shared" si="57"/>
        <v>13.917501402652434</v>
      </c>
      <c r="R225" s="92">
        <f t="shared" si="57"/>
        <v>14.071701963324685</v>
      </c>
      <c r="S225" s="92">
        <f t="shared" si="57"/>
        <v>14.027595858241678</v>
      </c>
      <c r="T225" s="92"/>
      <c r="U225" s="92"/>
      <c r="V225" s="92"/>
      <c r="W225" s="92"/>
      <c r="X225" s="93"/>
      <c r="Y225" s="32">
        <v>4</v>
      </c>
      <c r="Z225" s="33">
        <v>20</v>
      </c>
      <c r="AA225" s="33">
        <v>0.4012</v>
      </c>
      <c r="AB225" s="33">
        <v>0.99533000000000005</v>
      </c>
    </row>
    <row r="226" spans="1:30" s="33" customFormat="1" x14ac:dyDescent="0.2">
      <c r="A226" s="30" t="s">
        <v>82</v>
      </c>
      <c r="B226" s="30" t="s">
        <v>139</v>
      </c>
      <c r="C226" s="31" t="s">
        <v>76</v>
      </c>
      <c r="D226" s="31">
        <v>100</v>
      </c>
      <c r="E226" s="31">
        <v>26</v>
      </c>
      <c r="F226" s="92">
        <f t="shared" ref="F226:S226" si="58">LN(F170)</f>
        <v>7.1449016647260235</v>
      </c>
      <c r="G226" s="92">
        <f t="shared" si="58"/>
        <v>7.3662344223759186</v>
      </c>
      <c r="H226" s="92">
        <f t="shared" si="58"/>
        <v>7.4265490723973047</v>
      </c>
      <c r="I226" s="92">
        <f t="shared" si="58"/>
        <v>8.0307349240985406</v>
      </c>
      <c r="J226" s="92">
        <f t="shared" si="58"/>
        <v>8.7357395250331553</v>
      </c>
      <c r="K226" s="92">
        <f t="shared" si="58"/>
        <v>9.5512788107283946</v>
      </c>
      <c r="L226" s="92">
        <f t="shared" si="58"/>
        <v>10.495063325987228</v>
      </c>
      <c r="M226" s="92">
        <f t="shared" si="58"/>
        <v>11.510789852839807</v>
      </c>
      <c r="N226" s="92">
        <f t="shared" si="58"/>
        <v>12.292311501980413</v>
      </c>
      <c r="O226" s="92">
        <f t="shared" si="58"/>
        <v>12.899319821090453</v>
      </c>
      <c r="P226" s="92">
        <f t="shared" si="58"/>
        <v>13.54280904780172</v>
      </c>
      <c r="Q226" s="92">
        <f t="shared" si="58"/>
        <v>13.932795691910393</v>
      </c>
      <c r="R226" s="92">
        <f t="shared" si="58"/>
        <v>14.189576727373362</v>
      </c>
      <c r="S226" s="92">
        <f t="shared" si="58"/>
        <v>14.029293098075707</v>
      </c>
      <c r="T226" s="92"/>
      <c r="U226" s="92"/>
      <c r="V226" s="92"/>
      <c r="W226" s="92"/>
      <c r="X226" s="93"/>
      <c r="Y226" s="32">
        <v>4</v>
      </c>
      <c r="Z226" s="33">
        <v>20</v>
      </c>
      <c r="AA226" s="33">
        <v>0.4012</v>
      </c>
      <c r="AB226" s="33">
        <v>0.99546999999999997</v>
      </c>
    </row>
    <row r="227" spans="1:30" s="33" customFormat="1" x14ac:dyDescent="0.2">
      <c r="A227" s="30" t="s">
        <v>83</v>
      </c>
      <c r="B227" s="30" t="s">
        <v>139</v>
      </c>
      <c r="C227" s="31" t="s">
        <v>76</v>
      </c>
      <c r="D227" s="31">
        <v>100</v>
      </c>
      <c r="E227" s="31">
        <v>26</v>
      </c>
      <c r="F227" s="92">
        <f t="shared" ref="F227:S227" si="59">LN(F171)</f>
        <v>7.1449016647260235</v>
      </c>
      <c r="G227" s="92">
        <f t="shared" si="59"/>
        <v>7.3481584384515815</v>
      </c>
      <c r="H227" s="92">
        <f t="shared" si="59"/>
        <v>7.4403423945296403</v>
      </c>
      <c r="I227" s="92">
        <f t="shared" si="59"/>
        <v>7.9840083417057022</v>
      </c>
      <c r="J227" s="92">
        <f t="shared" si="59"/>
        <v>8.8100120479731707</v>
      </c>
      <c r="K227" s="92">
        <f t="shared" si="59"/>
        <v>9.6076612949453519</v>
      </c>
      <c r="L227" s="92">
        <f t="shared" si="59"/>
        <v>10.542882277096826</v>
      </c>
      <c r="M227" s="92">
        <f t="shared" si="59"/>
        <v>11.567413650254299</v>
      </c>
      <c r="N227" s="92">
        <f t="shared" si="59"/>
        <v>12.347745803846319</v>
      </c>
      <c r="O227" s="92">
        <f t="shared" si="59"/>
        <v>12.939049328252734</v>
      </c>
      <c r="P227" s="92">
        <f t="shared" si="59"/>
        <v>13.512556910809186</v>
      </c>
      <c r="Q227" s="92">
        <f t="shared" si="59"/>
        <v>13.884545206356336</v>
      </c>
      <c r="R227" s="92">
        <f t="shared" si="59"/>
        <v>14.086321103245806</v>
      </c>
      <c r="S227" s="92">
        <f t="shared" si="59"/>
        <v>14.014290375934737</v>
      </c>
      <c r="T227" s="92"/>
      <c r="U227" s="92"/>
      <c r="V227" s="92"/>
      <c r="W227" s="92"/>
      <c r="X227" s="93"/>
      <c r="Y227" s="32">
        <v>4</v>
      </c>
      <c r="Z227" s="33">
        <v>20</v>
      </c>
      <c r="AA227" s="33">
        <v>0.40160000000000001</v>
      </c>
      <c r="AB227" s="33">
        <v>0.99451000000000001</v>
      </c>
    </row>
    <row r="228" spans="1:30" x14ac:dyDescent="0.2">
      <c r="A228" s="5" t="s">
        <v>84</v>
      </c>
      <c r="B228" s="5" t="s">
        <v>140</v>
      </c>
      <c r="C228" s="6" t="s">
        <v>80</v>
      </c>
      <c r="D228" s="6">
        <v>100</v>
      </c>
      <c r="E228" s="6">
        <v>26</v>
      </c>
      <c r="F228" s="86">
        <f t="shared" ref="F228:R228" si="60">LN(F172)</f>
        <v>7.2416766458521149</v>
      </c>
      <c r="G228" s="86">
        <f t="shared" si="60"/>
        <v>7.324709687138057</v>
      </c>
      <c r="H228" s="86">
        <f t="shared" si="60"/>
        <v>7.439167536356516</v>
      </c>
      <c r="I228" s="86">
        <f t="shared" si="60"/>
        <v>8.0946836486988154</v>
      </c>
      <c r="J228" s="86">
        <f t="shared" si="60"/>
        <v>8.8619642308521449</v>
      </c>
      <c r="K228" s="86">
        <f t="shared" si="60"/>
        <v>9.862266172716625</v>
      </c>
      <c r="L228" s="86">
        <f t="shared" si="60"/>
        <v>10.962625318066149</v>
      </c>
      <c r="M228" s="86">
        <f t="shared" si="60"/>
        <v>12.046959673873101</v>
      </c>
      <c r="N228" s="86">
        <f t="shared" si="60"/>
        <v>12.847400077360323</v>
      </c>
      <c r="O228" s="86">
        <f t="shared" si="60"/>
        <v>13.097756427811445</v>
      </c>
      <c r="P228" s="86">
        <f t="shared" si="60"/>
        <v>13.632404693681595</v>
      </c>
      <c r="Q228" s="86">
        <f t="shared" si="60"/>
        <v>13.978014820687825</v>
      </c>
      <c r="R228" s="86">
        <f t="shared" si="60"/>
        <v>13.98425705584178</v>
      </c>
      <c r="S228" s="86"/>
      <c r="T228" s="86"/>
      <c r="U228" s="86"/>
      <c r="V228" s="86"/>
      <c r="W228" s="86"/>
      <c r="X228" s="49"/>
      <c r="Y228" s="35">
        <v>4</v>
      </c>
      <c r="Z228" s="34">
        <v>16</v>
      </c>
      <c r="AA228" s="34">
        <v>0.46839999999999998</v>
      </c>
      <c r="AB228" s="34">
        <v>0.99380999999999997</v>
      </c>
      <c r="AC228" s="34"/>
      <c r="AD228" s="34"/>
    </row>
    <row r="229" spans="1:30" x14ac:dyDescent="0.2">
      <c r="A229" s="5" t="s">
        <v>85</v>
      </c>
      <c r="B229" s="5" t="s">
        <v>140</v>
      </c>
      <c r="C229" s="6" t="s">
        <v>80</v>
      </c>
      <c r="D229" s="6">
        <v>100</v>
      </c>
      <c r="E229" s="6">
        <v>26</v>
      </c>
      <c r="F229" s="86">
        <f t="shared" ref="F229:R229" si="61">LN(F173)</f>
        <v>7.2416766458521149</v>
      </c>
      <c r="G229" s="86">
        <f t="shared" si="61"/>
        <v>7.4997921581729514</v>
      </c>
      <c r="H229" s="86">
        <f t="shared" si="61"/>
        <v>7.4207784862916153</v>
      </c>
      <c r="I229" s="86">
        <f t="shared" si="61"/>
        <v>7.960090908645113</v>
      </c>
      <c r="J229" s="86">
        <f t="shared" si="61"/>
        <v>8.8068732665306921</v>
      </c>
      <c r="K229" s="86">
        <f t="shared" si="61"/>
        <v>9.7799442081109849</v>
      </c>
      <c r="L229" s="86">
        <f t="shared" si="61"/>
        <v>10.824885221778429</v>
      </c>
      <c r="M229" s="86">
        <f t="shared" si="61"/>
        <v>11.868266185895823</v>
      </c>
      <c r="N229" s="86">
        <f t="shared" si="61"/>
        <v>12.732633813682224</v>
      </c>
      <c r="O229" s="86">
        <f t="shared" si="61"/>
        <v>12.971897013254232</v>
      </c>
      <c r="P229" s="86">
        <f t="shared" si="61"/>
        <v>13.497744923386339</v>
      </c>
      <c r="Q229" s="86">
        <f t="shared" si="61"/>
        <v>13.814756940732796</v>
      </c>
      <c r="R229" s="86">
        <f t="shared" si="61"/>
        <v>13.944097245660258</v>
      </c>
      <c r="S229" s="86"/>
      <c r="T229" s="86"/>
      <c r="U229" s="86"/>
      <c r="V229" s="86"/>
      <c r="W229" s="86"/>
      <c r="X229" s="49"/>
      <c r="Y229" s="35">
        <v>4</v>
      </c>
      <c r="Z229" s="34">
        <v>16</v>
      </c>
      <c r="AA229" s="34">
        <v>0.4602</v>
      </c>
      <c r="AB229" s="34">
        <v>0.99356</v>
      </c>
      <c r="AC229" s="34"/>
      <c r="AD229" s="34"/>
    </row>
    <row r="230" spans="1:30" x14ac:dyDescent="0.2">
      <c r="A230" s="5" t="s">
        <v>86</v>
      </c>
      <c r="B230" s="5" t="s">
        <v>140</v>
      </c>
      <c r="C230" s="6" t="s">
        <v>80</v>
      </c>
      <c r="D230" s="6">
        <v>100</v>
      </c>
      <c r="E230" s="6">
        <v>26</v>
      </c>
      <c r="F230" s="86">
        <f t="shared" ref="F230:R230" si="62">LN(F174)</f>
        <v>7.2416766458521149</v>
      </c>
      <c r="G230" s="86">
        <f t="shared" si="62"/>
        <v>7.134890851565884</v>
      </c>
      <c r="H230" s="86">
        <f t="shared" si="62"/>
        <v>7.2051401268953033</v>
      </c>
      <c r="I230" s="86">
        <f t="shared" si="62"/>
        <v>7.9064244501221941</v>
      </c>
      <c r="J230" s="86">
        <f t="shared" si="62"/>
        <v>8.7824251350304259</v>
      </c>
      <c r="K230" s="86">
        <f t="shared" si="62"/>
        <v>9.6723748315722418</v>
      </c>
      <c r="L230" s="86">
        <f t="shared" si="62"/>
        <v>10.919508982341853</v>
      </c>
      <c r="M230" s="86">
        <f t="shared" si="62"/>
        <v>12.219646765557291</v>
      </c>
      <c r="N230" s="86">
        <f t="shared" si="62"/>
        <v>12.987718984672533</v>
      </c>
      <c r="O230" s="86">
        <f t="shared" si="62"/>
        <v>13.202750641096237</v>
      </c>
      <c r="P230" s="86">
        <f t="shared" si="62"/>
        <v>13.636016998613366</v>
      </c>
      <c r="Q230" s="86">
        <f t="shared" si="62"/>
        <v>13.899998754409465</v>
      </c>
      <c r="R230" s="86">
        <f t="shared" si="62"/>
        <v>14.003162328340979</v>
      </c>
      <c r="S230" s="86"/>
      <c r="T230" s="86"/>
      <c r="U230" s="86"/>
      <c r="V230" s="86"/>
      <c r="W230" s="86"/>
      <c r="X230" s="49"/>
      <c r="Y230" s="35">
        <v>4</v>
      </c>
      <c r="Z230" s="34">
        <v>16</v>
      </c>
      <c r="AA230" s="34">
        <v>0.502</v>
      </c>
      <c r="AB230" s="34">
        <v>0.99134</v>
      </c>
      <c r="AC230" s="34"/>
      <c r="AD230" s="34"/>
    </row>
    <row r="231" spans="1:30" s="33" customFormat="1" x14ac:dyDescent="0.2">
      <c r="A231" s="30" t="s">
        <v>87</v>
      </c>
      <c r="B231" s="30" t="s">
        <v>141</v>
      </c>
      <c r="C231" s="31" t="s">
        <v>80</v>
      </c>
      <c r="D231" s="31">
        <v>50</v>
      </c>
      <c r="E231" s="31">
        <v>26</v>
      </c>
      <c r="F231" s="92">
        <f t="shared" ref="F231:N231" si="63">LN(F175)</f>
        <v>7.1276669467156069</v>
      </c>
      <c r="G231" s="92">
        <f t="shared" si="63"/>
        <v>7.6404436341626152</v>
      </c>
      <c r="H231" s="92">
        <f t="shared" si="63"/>
        <v>8.4198743288922078</v>
      </c>
      <c r="I231" s="92">
        <f t="shared" si="63"/>
        <v>9.4509832464221777</v>
      </c>
      <c r="J231" s="92">
        <f t="shared" si="63"/>
        <v>10.478779819856559</v>
      </c>
      <c r="K231" s="92">
        <f t="shared" si="63"/>
        <v>11.553683457442396</v>
      </c>
      <c r="L231" s="92">
        <f t="shared" si="63"/>
        <v>12.051405165518036</v>
      </c>
      <c r="M231" s="92">
        <f t="shared" si="63"/>
        <v>13.125664589070711</v>
      </c>
      <c r="N231" s="92">
        <f t="shared" si="63"/>
        <v>13.380287027691834</v>
      </c>
      <c r="O231" s="92"/>
      <c r="P231" s="92"/>
      <c r="Q231" s="92"/>
      <c r="R231" s="92"/>
      <c r="S231" s="92"/>
      <c r="T231" s="92"/>
      <c r="U231" s="92"/>
      <c r="V231" s="92"/>
      <c r="W231" s="92"/>
      <c r="X231" s="93"/>
      <c r="Y231" s="32">
        <v>2</v>
      </c>
      <c r="Z231" s="33">
        <v>14</v>
      </c>
      <c r="AA231" s="33">
        <v>0.46110000000000001</v>
      </c>
      <c r="AB231" s="33">
        <v>0.99511000000000005</v>
      </c>
    </row>
    <row r="232" spans="1:30" s="33" customFormat="1" x14ac:dyDescent="0.2">
      <c r="A232" s="30" t="s">
        <v>88</v>
      </c>
      <c r="B232" s="30" t="s">
        <v>141</v>
      </c>
      <c r="C232" s="31" t="s">
        <v>80</v>
      </c>
      <c r="D232" s="31">
        <v>50</v>
      </c>
      <c r="E232" s="31">
        <v>26</v>
      </c>
      <c r="F232" s="92">
        <f t="shared" ref="F232:N232" si="64">LN(F176)</f>
        <v>7.1276669467156069</v>
      </c>
      <c r="G232" s="92">
        <f t="shared" si="64"/>
        <v>7.6599572223233974</v>
      </c>
      <c r="H232" s="92">
        <f t="shared" si="64"/>
        <v>8.4733109635993884</v>
      </c>
      <c r="I232" s="92">
        <f t="shared" si="64"/>
        <v>9.4039040541602752</v>
      </c>
      <c r="J232" s="92">
        <f t="shared" si="64"/>
        <v>10.312357967112341</v>
      </c>
      <c r="K232" s="92">
        <f t="shared" si="64"/>
        <v>11.518973803504432</v>
      </c>
      <c r="L232" s="92">
        <f t="shared" si="64"/>
        <v>12.065161709981767</v>
      </c>
      <c r="M232" s="92">
        <f t="shared" si="64"/>
        <v>13.068005743598045</v>
      </c>
      <c r="N232" s="92">
        <f t="shared" si="64"/>
        <v>13.322535766914507</v>
      </c>
      <c r="O232" s="92"/>
      <c r="P232" s="92"/>
      <c r="Q232" s="92"/>
      <c r="R232" s="92"/>
      <c r="S232" s="92"/>
      <c r="T232" s="92"/>
      <c r="U232" s="92"/>
      <c r="V232" s="92"/>
      <c r="W232" s="92"/>
      <c r="X232" s="93"/>
      <c r="Y232" s="32">
        <v>2</v>
      </c>
      <c r="Z232" s="33">
        <v>14</v>
      </c>
      <c r="AA232" s="33">
        <v>0.45579999999999998</v>
      </c>
      <c r="AB232" s="33">
        <v>0.99634999999999996</v>
      </c>
    </row>
    <row r="233" spans="1:30" s="33" customFormat="1" x14ac:dyDescent="0.2">
      <c r="A233" s="30" t="s">
        <v>89</v>
      </c>
      <c r="B233" s="30" t="s">
        <v>141</v>
      </c>
      <c r="C233" s="31" t="s">
        <v>80</v>
      </c>
      <c r="D233" s="31">
        <v>50</v>
      </c>
      <c r="E233" s="31">
        <v>26</v>
      </c>
      <c r="F233" s="92">
        <f t="shared" ref="F233:N233" si="65">LN(F177)</f>
        <v>7.1276669467156069</v>
      </c>
      <c r="G233" s="92">
        <f t="shared" si="65"/>
        <v>7.6549170478483202</v>
      </c>
      <c r="H233" s="92">
        <f t="shared" si="65"/>
        <v>8.4879016867808375</v>
      </c>
      <c r="I233" s="92">
        <f t="shared" si="65"/>
        <v>9.6392832629268579</v>
      </c>
      <c r="J233" s="92">
        <f t="shared" si="65"/>
        <v>10.628617778949124</v>
      </c>
      <c r="K233" s="92">
        <f t="shared" si="65"/>
        <v>11.64594005740987</v>
      </c>
      <c r="L233" s="92">
        <f t="shared" si="65"/>
        <v>12.087289109540206</v>
      </c>
      <c r="M233" s="92">
        <f t="shared" si="65"/>
        <v>12.988740552028531</v>
      </c>
      <c r="N233" s="92">
        <f t="shared" si="65"/>
        <v>13.332775561031443</v>
      </c>
      <c r="O233" s="92"/>
      <c r="P233" s="92"/>
      <c r="Q233" s="92"/>
      <c r="R233" s="92"/>
      <c r="S233" s="92"/>
      <c r="T233" s="92"/>
      <c r="U233" s="92"/>
      <c r="V233" s="92"/>
      <c r="W233" s="92"/>
      <c r="X233" s="93"/>
      <c r="Y233" s="32">
        <v>2</v>
      </c>
      <c r="Z233" s="33">
        <v>14</v>
      </c>
      <c r="AA233" s="33">
        <v>0.4501</v>
      </c>
      <c r="AB233" s="33">
        <v>0.99060999999999999</v>
      </c>
    </row>
    <row r="234" spans="1:30" x14ac:dyDescent="0.2">
      <c r="A234" s="19" t="s">
        <v>90</v>
      </c>
      <c r="B234" s="19" t="s">
        <v>142</v>
      </c>
      <c r="C234" s="11" t="s">
        <v>76</v>
      </c>
      <c r="D234" s="11">
        <v>50</v>
      </c>
      <c r="E234" s="11">
        <v>28</v>
      </c>
      <c r="F234" s="86">
        <f t="shared" ref="F234:H253" si="66">LN(F178)</f>
        <v>7.114004928553376</v>
      </c>
      <c r="G234" s="86">
        <f t="shared" si="66"/>
        <v>7.8081875949218338</v>
      </c>
      <c r="H234" s="86">
        <f t="shared" si="66"/>
        <v>8.1275030024234347</v>
      </c>
      <c r="I234" s="94"/>
      <c r="J234" s="86">
        <f t="shared" ref="J234:Q239" si="67">LN(J178)</f>
        <v>9.8711709510595842</v>
      </c>
      <c r="K234" s="86">
        <f t="shared" si="67"/>
        <v>10.840208165921791</v>
      </c>
      <c r="L234" s="86">
        <f t="shared" si="67"/>
        <v>11.854574753691951</v>
      </c>
      <c r="M234" s="86">
        <f t="shared" si="67"/>
        <v>12.542282943086441</v>
      </c>
      <c r="N234" s="86">
        <f t="shared" si="67"/>
        <v>13.169997317849097</v>
      </c>
      <c r="O234" s="86">
        <f t="shared" si="67"/>
        <v>13.583469205026953</v>
      </c>
      <c r="P234" s="86">
        <f t="shared" si="67"/>
        <v>13.837695965099501</v>
      </c>
      <c r="Q234" s="86">
        <f t="shared" si="67"/>
        <v>13.998653999140933</v>
      </c>
      <c r="R234" s="86"/>
      <c r="S234" s="86"/>
      <c r="T234" s="86"/>
      <c r="U234" s="86"/>
      <c r="V234" s="86"/>
      <c r="W234" s="86"/>
      <c r="Y234" s="29">
        <v>2</v>
      </c>
      <c r="Z234" s="34">
        <v>18</v>
      </c>
      <c r="AA234" s="34">
        <v>0.39050000000000001</v>
      </c>
      <c r="AB234" s="34">
        <v>0.98917999999999995</v>
      </c>
    </row>
    <row r="235" spans="1:30" x14ac:dyDescent="0.2">
      <c r="A235" s="19" t="s">
        <v>91</v>
      </c>
      <c r="B235" s="19" t="s">
        <v>142</v>
      </c>
      <c r="C235" s="11" t="s">
        <v>76</v>
      </c>
      <c r="D235" s="11">
        <v>50</v>
      </c>
      <c r="E235" s="11">
        <v>28</v>
      </c>
      <c r="F235" s="86">
        <f t="shared" si="66"/>
        <v>7.114004928553376</v>
      </c>
      <c r="G235" s="86">
        <f t="shared" si="66"/>
        <v>7.6082090347245206</v>
      </c>
      <c r="H235" s="86">
        <f t="shared" si="66"/>
        <v>8.1646051229088403</v>
      </c>
      <c r="I235" s="94"/>
      <c r="J235" s="86">
        <f t="shared" si="67"/>
        <v>10.061003990411111</v>
      </c>
      <c r="K235" s="86">
        <f t="shared" si="67"/>
        <v>11.025441948777157</v>
      </c>
      <c r="L235" s="86">
        <f t="shared" si="67"/>
        <v>11.984303149769108</v>
      </c>
      <c r="M235" s="86">
        <f t="shared" si="67"/>
        <v>12.765459835910594</v>
      </c>
      <c r="N235" s="86">
        <f t="shared" si="67"/>
        <v>13.344023161813992</v>
      </c>
      <c r="O235" s="86">
        <f t="shared" si="67"/>
        <v>13.725286753924367</v>
      </c>
      <c r="P235" s="86">
        <f t="shared" si="67"/>
        <v>13.873118870584587</v>
      </c>
      <c r="Q235" s="86">
        <f t="shared" si="67"/>
        <v>13.945591002912538</v>
      </c>
      <c r="R235" s="86"/>
      <c r="S235" s="86"/>
      <c r="T235" s="86"/>
      <c r="U235" s="86"/>
      <c r="V235" s="86"/>
      <c r="W235" s="86"/>
      <c r="Y235" s="29">
        <v>2</v>
      </c>
      <c r="Z235" s="34">
        <v>18</v>
      </c>
      <c r="AA235" s="34">
        <v>0.40799999999999997</v>
      </c>
      <c r="AB235" s="34">
        <v>0.98887999999999998</v>
      </c>
    </row>
    <row r="236" spans="1:30" x14ac:dyDescent="0.2">
      <c r="A236" s="19" t="s">
        <v>92</v>
      </c>
      <c r="B236" s="19" t="s">
        <v>142</v>
      </c>
      <c r="C236" s="11" t="s">
        <v>76</v>
      </c>
      <c r="D236" s="11">
        <v>50</v>
      </c>
      <c r="E236" s="11">
        <v>28</v>
      </c>
      <c r="F236" s="86">
        <f t="shared" si="66"/>
        <v>7.114004928553376</v>
      </c>
      <c r="G236" s="86">
        <f t="shared" si="66"/>
        <v>7.7279755421055585</v>
      </c>
      <c r="H236" s="86">
        <f t="shared" si="66"/>
        <v>8.0620124910621396</v>
      </c>
      <c r="I236" s="94"/>
      <c r="J236" s="86">
        <f t="shared" si="67"/>
        <v>10.025660936493804</v>
      </c>
      <c r="K236" s="86">
        <f t="shared" si="67"/>
        <v>11.012704523379421</v>
      </c>
      <c r="L236" s="86">
        <f t="shared" si="67"/>
        <v>11.973047094361513</v>
      </c>
      <c r="M236" s="86">
        <f t="shared" si="67"/>
        <v>12.80606232760387</v>
      </c>
      <c r="N236" s="86">
        <f t="shared" si="67"/>
        <v>13.330558421097777</v>
      </c>
      <c r="O236" s="86">
        <f t="shared" si="67"/>
        <v>13.686631185040147</v>
      </c>
      <c r="P236" s="86">
        <f t="shared" si="67"/>
        <v>13.903753398613405</v>
      </c>
      <c r="Q236" s="86">
        <f t="shared" si="67"/>
        <v>14.08415760843552</v>
      </c>
      <c r="R236" s="86"/>
      <c r="S236" s="86"/>
      <c r="T236" s="86"/>
      <c r="U236" s="86"/>
      <c r="V236" s="86"/>
      <c r="W236" s="86"/>
      <c r="Y236" s="29">
        <v>2</v>
      </c>
      <c r="Z236" s="34">
        <v>18</v>
      </c>
      <c r="AA236" s="34">
        <v>0.40579999999999999</v>
      </c>
      <c r="AB236" s="34">
        <v>0.98545000000000005</v>
      </c>
    </row>
    <row r="237" spans="1:30" s="33" customFormat="1" x14ac:dyDescent="0.2">
      <c r="A237" s="36" t="s">
        <v>93</v>
      </c>
      <c r="B237" s="36" t="s">
        <v>144</v>
      </c>
      <c r="C237" s="31" t="s">
        <v>76</v>
      </c>
      <c r="D237" s="31">
        <v>100</v>
      </c>
      <c r="E237" s="31">
        <v>28</v>
      </c>
      <c r="F237" s="92">
        <f t="shared" si="66"/>
        <v>7.1807550926477761</v>
      </c>
      <c r="G237" s="92">
        <f t="shared" si="66"/>
        <v>7.8393942878030911</v>
      </c>
      <c r="H237" s="92">
        <f t="shared" si="66"/>
        <v>8.2408246566424825</v>
      </c>
      <c r="I237" s="95"/>
      <c r="J237" s="92">
        <f t="shared" si="67"/>
        <v>10.017143565218062</v>
      </c>
      <c r="K237" s="92">
        <f t="shared" si="67"/>
        <v>11.024806743739308</v>
      </c>
      <c r="L237" s="92">
        <f t="shared" si="67"/>
        <v>12.056528008250156</v>
      </c>
      <c r="M237" s="92">
        <f t="shared" si="67"/>
        <v>12.807013158738425</v>
      </c>
      <c r="N237" s="92">
        <f t="shared" si="67"/>
        <v>13.34275113500474</v>
      </c>
      <c r="O237" s="92">
        <f t="shared" si="67"/>
        <v>13.790097018902184</v>
      </c>
      <c r="P237" s="92">
        <f t="shared" si="67"/>
        <v>13.939555428826228</v>
      </c>
      <c r="Q237" s="92">
        <f t="shared" si="67"/>
        <v>14.050825075006173</v>
      </c>
      <c r="R237" s="92"/>
      <c r="S237" s="92"/>
      <c r="T237" s="92"/>
      <c r="U237" s="92"/>
      <c r="V237" s="92"/>
      <c r="W237" s="92"/>
      <c r="Y237" s="32">
        <v>2</v>
      </c>
      <c r="Z237" s="33">
        <v>16</v>
      </c>
      <c r="AA237" s="33">
        <v>0.42009999999999997</v>
      </c>
      <c r="AB237" s="33">
        <v>0.99241999999999997</v>
      </c>
    </row>
    <row r="238" spans="1:30" s="33" customFormat="1" x14ac:dyDescent="0.2">
      <c r="A238" s="36" t="s">
        <v>94</v>
      </c>
      <c r="B238" s="36" t="s">
        <v>144</v>
      </c>
      <c r="C238" s="31" t="s">
        <v>76</v>
      </c>
      <c r="D238" s="31">
        <v>100</v>
      </c>
      <c r="E238" s="31">
        <v>28</v>
      </c>
      <c r="F238" s="92">
        <f t="shared" si="66"/>
        <v>7.1807550926477761</v>
      </c>
      <c r="G238" s="92">
        <f t="shared" si="66"/>
        <v>7.6143121464519998</v>
      </c>
      <c r="H238" s="92">
        <f t="shared" si="66"/>
        <v>8.1184057380613144</v>
      </c>
      <c r="I238" s="95"/>
      <c r="J238" s="92">
        <f t="shared" si="67"/>
        <v>10.055951095662596</v>
      </c>
      <c r="K238" s="92">
        <f t="shared" si="67"/>
        <v>10.985196673077482</v>
      </c>
      <c r="L238" s="92">
        <f t="shared" si="67"/>
        <v>12.009205817294184</v>
      </c>
      <c r="M238" s="92">
        <f t="shared" si="67"/>
        <v>12.824119053580869</v>
      </c>
      <c r="N238" s="92">
        <f t="shared" si="67"/>
        <v>13.350422825872137</v>
      </c>
      <c r="O238" s="92">
        <f t="shared" si="67"/>
        <v>13.752421652292986</v>
      </c>
      <c r="P238" s="92">
        <f t="shared" si="67"/>
        <v>13.929993338951348</v>
      </c>
      <c r="Q238" s="92">
        <f t="shared" si="67"/>
        <v>14.015841195613321</v>
      </c>
      <c r="R238" s="92"/>
      <c r="S238" s="92"/>
      <c r="T238" s="92"/>
      <c r="U238" s="92"/>
      <c r="V238" s="92"/>
      <c r="W238" s="92"/>
      <c r="Y238" s="32">
        <v>2</v>
      </c>
      <c r="Z238" s="33">
        <v>16</v>
      </c>
      <c r="AA238" s="33">
        <v>0.43440000000000001</v>
      </c>
      <c r="AB238" s="33">
        <v>0.99434999999999996</v>
      </c>
    </row>
    <row r="239" spans="1:30" s="33" customFormat="1" x14ac:dyDescent="0.2">
      <c r="A239" s="36" t="s">
        <v>95</v>
      </c>
      <c r="B239" s="36" t="s">
        <v>144</v>
      </c>
      <c r="C239" s="31" t="s">
        <v>76</v>
      </c>
      <c r="D239" s="31">
        <v>100</v>
      </c>
      <c r="E239" s="31">
        <v>28</v>
      </c>
      <c r="F239" s="92">
        <f t="shared" si="66"/>
        <v>7.1807550926477761</v>
      </c>
      <c r="G239" s="92">
        <f t="shared" si="66"/>
        <v>7.6674701704807529</v>
      </c>
      <c r="H239" s="92">
        <f t="shared" si="66"/>
        <v>8.158420811300056</v>
      </c>
      <c r="I239" s="95"/>
      <c r="J239" s="92">
        <f t="shared" si="67"/>
        <v>9.9734799243561625</v>
      </c>
      <c r="K239" s="92">
        <f t="shared" si="67"/>
        <v>11.018170021381732</v>
      </c>
      <c r="L239" s="92">
        <f t="shared" si="67"/>
        <v>12.096964375063624</v>
      </c>
      <c r="M239" s="92">
        <f t="shared" si="67"/>
        <v>12.805549966890727</v>
      </c>
      <c r="N239" s="92">
        <f t="shared" si="67"/>
        <v>13.387186155710028</v>
      </c>
      <c r="O239" s="92">
        <f t="shared" si="67"/>
        <v>13.759976706161479</v>
      </c>
      <c r="P239" s="92">
        <f t="shared" si="67"/>
        <v>13.945503196578132</v>
      </c>
      <c r="Q239" s="92">
        <f t="shared" si="67"/>
        <v>14.054711168593149</v>
      </c>
      <c r="R239" s="92"/>
      <c r="S239" s="92"/>
      <c r="T239" s="92"/>
      <c r="U239" s="92"/>
      <c r="V239" s="92"/>
      <c r="W239" s="92"/>
      <c r="Y239" s="32">
        <v>2</v>
      </c>
      <c r="Z239" s="33">
        <v>16</v>
      </c>
      <c r="AA239" s="33">
        <v>0.43380000000000002</v>
      </c>
      <c r="AB239" s="33">
        <v>0.99324000000000001</v>
      </c>
    </row>
    <row r="240" spans="1:30" s="33" customFormat="1" x14ac:dyDescent="0.2">
      <c r="A240" s="36" t="s">
        <v>96</v>
      </c>
      <c r="B240" s="36" t="s">
        <v>145</v>
      </c>
      <c r="C240" s="31" t="s">
        <v>80</v>
      </c>
      <c r="D240" s="31">
        <v>50</v>
      </c>
      <c r="E240" s="31">
        <v>28</v>
      </c>
      <c r="F240" s="92">
        <f t="shared" si="66"/>
        <v>7.0254849798829149</v>
      </c>
      <c r="G240" s="92">
        <f t="shared" si="66"/>
        <v>7.3537223303996315</v>
      </c>
      <c r="H240" s="92">
        <f t="shared" si="66"/>
        <v>8.1426451859427953</v>
      </c>
      <c r="I240" s="92"/>
      <c r="J240" s="92">
        <f t="shared" ref="J240:O245" si="68">LN(J184)</f>
        <v>10.309308153004951</v>
      </c>
      <c r="K240" s="92">
        <f t="shared" si="68"/>
        <v>11.252015143015875</v>
      </c>
      <c r="L240" s="92">
        <f t="shared" si="68"/>
        <v>12.251746849021348</v>
      </c>
      <c r="M240" s="92">
        <f t="shared" si="68"/>
        <v>12.831315647476247</v>
      </c>
      <c r="N240" s="92">
        <f t="shared" si="68"/>
        <v>13.054883646257188</v>
      </c>
      <c r="O240" s="92">
        <f t="shared" si="68"/>
        <v>12.952618402814814</v>
      </c>
      <c r="P240" s="92"/>
      <c r="Q240" s="92"/>
      <c r="R240" s="92"/>
      <c r="S240" s="92"/>
      <c r="T240" s="92"/>
      <c r="U240" s="92"/>
      <c r="V240" s="92"/>
      <c r="W240" s="92"/>
      <c r="Y240" s="32">
        <v>4</v>
      </c>
      <c r="Z240" s="33">
        <v>14</v>
      </c>
      <c r="AA240" s="33">
        <v>0.47749999999999998</v>
      </c>
      <c r="AB240" s="33">
        <v>0.99136999999999997</v>
      </c>
    </row>
    <row r="241" spans="1:29" s="33" customFormat="1" x14ac:dyDescent="0.2">
      <c r="A241" s="36" t="s">
        <v>97</v>
      </c>
      <c r="B241" s="36" t="s">
        <v>145</v>
      </c>
      <c r="C241" s="31" t="s">
        <v>80</v>
      </c>
      <c r="D241" s="31">
        <v>50</v>
      </c>
      <c r="E241" s="31">
        <v>28</v>
      </c>
      <c r="F241" s="92">
        <f t="shared" si="66"/>
        <v>7.0254849798829149</v>
      </c>
      <c r="G241" s="92">
        <f t="shared" si="66"/>
        <v>7.4314971280146738</v>
      </c>
      <c r="H241" s="92">
        <f t="shared" si="66"/>
        <v>8.647987508330873</v>
      </c>
      <c r="I241" s="92"/>
      <c r="J241" s="92">
        <f t="shared" si="68"/>
        <v>10.232503488480885</v>
      </c>
      <c r="K241" s="92">
        <f t="shared" si="68"/>
        <v>11.357171834436997</v>
      </c>
      <c r="L241" s="92">
        <f t="shared" si="68"/>
        <v>12.310642848973556</v>
      </c>
      <c r="M241" s="92">
        <f t="shared" si="68"/>
        <v>12.908955612478124</v>
      </c>
      <c r="N241" s="92">
        <f t="shared" si="68"/>
        <v>13.254770805283728</v>
      </c>
      <c r="O241" s="92">
        <f t="shared" si="68"/>
        <v>13.125279122485226</v>
      </c>
      <c r="P241" s="92"/>
      <c r="Q241" s="92"/>
      <c r="R241" s="92"/>
      <c r="S241" s="92"/>
      <c r="T241" s="92"/>
      <c r="U241" s="92"/>
      <c r="V241" s="92"/>
      <c r="W241" s="92"/>
      <c r="Y241" s="32">
        <v>4</v>
      </c>
      <c r="Z241" s="33">
        <v>14</v>
      </c>
      <c r="AA241" s="33">
        <v>0.44069999999999998</v>
      </c>
      <c r="AB241" s="33">
        <v>0.99368000000000001</v>
      </c>
    </row>
    <row r="242" spans="1:29" s="33" customFormat="1" x14ac:dyDescent="0.2">
      <c r="A242" s="36" t="s">
        <v>98</v>
      </c>
      <c r="B242" s="36" t="s">
        <v>145</v>
      </c>
      <c r="C242" s="31" t="s">
        <v>80</v>
      </c>
      <c r="D242" s="31">
        <v>50</v>
      </c>
      <c r="E242" s="31">
        <v>28</v>
      </c>
      <c r="F242" s="92">
        <f t="shared" si="66"/>
        <v>7.0254849798829149</v>
      </c>
      <c r="G242" s="92">
        <f t="shared" si="66"/>
        <v>7.5455659145026166</v>
      </c>
      <c r="H242" s="92">
        <f t="shared" si="66"/>
        <v>8.2433701923597891</v>
      </c>
      <c r="I242" s="92"/>
      <c r="J242" s="92">
        <f t="shared" si="68"/>
        <v>10.191119623737867</v>
      </c>
      <c r="K242" s="92">
        <f t="shared" si="68"/>
        <v>11.400920702889985</v>
      </c>
      <c r="L242" s="92">
        <f t="shared" si="68"/>
        <v>12.230700215354904</v>
      </c>
      <c r="M242" s="92">
        <f t="shared" si="68"/>
        <v>12.971152815635428</v>
      </c>
      <c r="N242" s="92">
        <f t="shared" si="68"/>
        <v>13.281711953304542</v>
      </c>
      <c r="O242" s="92">
        <f t="shared" si="68"/>
        <v>13.288612009572578</v>
      </c>
      <c r="P242" s="92"/>
      <c r="Q242" s="92"/>
      <c r="R242" s="92"/>
      <c r="S242" s="92"/>
      <c r="T242" s="92"/>
      <c r="U242" s="92"/>
      <c r="V242" s="92"/>
      <c r="W242" s="92"/>
      <c r="Y242" s="32">
        <v>4</v>
      </c>
      <c r="Z242" s="33">
        <v>14</v>
      </c>
      <c r="AA242" s="33">
        <v>0.48170000000000002</v>
      </c>
      <c r="AB242" s="33">
        <v>0.99453000000000003</v>
      </c>
    </row>
    <row r="243" spans="1:29" x14ac:dyDescent="0.2">
      <c r="A243" s="19" t="s">
        <v>99</v>
      </c>
      <c r="B243" s="19" t="s">
        <v>146</v>
      </c>
      <c r="C243" s="11" t="s">
        <v>80</v>
      </c>
      <c r="D243" s="11">
        <v>100</v>
      </c>
      <c r="E243" s="11">
        <v>28</v>
      </c>
      <c r="F243" s="86">
        <f t="shared" si="66"/>
        <v>7.1286915961462922</v>
      </c>
      <c r="G243" s="86">
        <f t="shared" si="66"/>
        <v>7.4450280727629758</v>
      </c>
      <c r="H243" s="86">
        <f t="shared" si="66"/>
        <v>7.9166859621047383</v>
      </c>
      <c r="I243" s="94"/>
      <c r="J243" s="86">
        <f t="shared" si="68"/>
        <v>10.039459714059342</v>
      </c>
      <c r="K243" s="86">
        <f t="shared" si="68"/>
        <v>11.152596233199791</v>
      </c>
      <c r="L243" s="86">
        <f t="shared" si="68"/>
        <v>12.095066594152813</v>
      </c>
      <c r="M243" s="86">
        <f t="shared" si="68"/>
        <v>12.720073223789807</v>
      </c>
      <c r="N243" s="86">
        <f t="shared" si="68"/>
        <v>13.047740400863738</v>
      </c>
      <c r="O243" s="86">
        <f t="shared" si="68"/>
        <v>13.239612937454568</v>
      </c>
      <c r="P243" s="86"/>
      <c r="Q243" s="86"/>
      <c r="R243" s="86"/>
      <c r="S243" s="86"/>
      <c r="T243" s="86"/>
      <c r="U243" s="86"/>
      <c r="V243" s="86"/>
      <c r="W243" s="86"/>
      <c r="Y243" s="35">
        <v>4</v>
      </c>
      <c r="Z243" s="34">
        <v>14</v>
      </c>
      <c r="AA243" s="34">
        <v>0.4909</v>
      </c>
      <c r="AB243" s="34">
        <v>0.99212999999999996</v>
      </c>
      <c r="AC243" s="34"/>
    </row>
    <row r="244" spans="1:29" x14ac:dyDescent="0.2">
      <c r="A244" s="19" t="s">
        <v>100</v>
      </c>
      <c r="B244" s="19" t="s">
        <v>146</v>
      </c>
      <c r="C244" s="11" t="s">
        <v>80</v>
      </c>
      <c r="D244" s="11">
        <v>100</v>
      </c>
      <c r="E244" s="11">
        <v>28</v>
      </c>
      <c r="F244" s="86">
        <f t="shared" si="66"/>
        <v>7.1286915961462922</v>
      </c>
      <c r="G244" s="86">
        <f t="shared" si="66"/>
        <v>7.3328051257267237</v>
      </c>
      <c r="H244" s="86">
        <f t="shared" si="66"/>
        <v>7.7010494081470213</v>
      </c>
      <c r="I244" s="94"/>
      <c r="J244" s="86">
        <f t="shared" si="68"/>
        <v>9.8477105370671296</v>
      </c>
      <c r="K244" s="86">
        <f t="shared" si="68"/>
        <v>10.988935796344064</v>
      </c>
      <c r="L244" s="86">
        <f t="shared" si="68"/>
        <v>11.918123870849849</v>
      </c>
      <c r="M244" s="86">
        <f t="shared" si="68"/>
        <v>12.572034333860637</v>
      </c>
      <c r="N244" s="86">
        <f t="shared" si="68"/>
        <v>12.93010460967114</v>
      </c>
      <c r="O244" s="86">
        <f t="shared" si="68"/>
        <v>13.195911192699487</v>
      </c>
      <c r="P244" s="86"/>
      <c r="Q244" s="86"/>
      <c r="R244" s="86"/>
      <c r="S244" s="86"/>
      <c r="T244" s="86"/>
      <c r="U244" s="86"/>
      <c r="V244" s="86"/>
      <c r="W244" s="86"/>
      <c r="Y244" s="35">
        <v>4</v>
      </c>
      <c r="Z244" s="34">
        <v>14</v>
      </c>
      <c r="AA244" s="34">
        <v>0.49719999999999998</v>
      </c>
      <c r="AB244" s="34">
        <v>0.99233000000000005</v>
      </c>
      <c r="AC244" s="34"/>
    </row>
    <row r="245" spans="1:29" x14ac:dyDescent="0.2">
      <c r="A245" s="19" t="s">
        <v>101</v>
      </c>
      <c r="B245" s="19" t="s">
        <v>146</v>
      </c>
      <c r="C245" s="11" t="s">
        <v>80</v>
      </c>
      <c r="D245" s="11">
        <v>100</v>
      </c>
      <c r="E245" s="11">
        <v>28</v>
      </c>
      <c r="F245" s="86">
        <f t="shared" si="66"/>
        <v>7.1286915961462922</v>
      </c>
      <c r="G245" s="86">
        <f t="shared" si="66"/>
        <v>7.5490827108122858</v>
      </c>
      <c r="H245" s="86">
        <f t="shared" si="66"/>
        <v>7.8302931236167588</v>
      </c>
      <c r="I245" s="94"/>
      <c r="J245" s="86">
        <f t="shared" si="68"/>
        <v>10.010232109966116</v>
      </c>
      <c r="K245" s="86">
        <f t="shared" si="68"/>
        <v>11.067559812676024</v>
      </c>
      <c r="L245" s="86">
        <f t="shared" si="68"/>
        <v>12.138007914616045</v>
      </c>
      <c r="M245" s="86">
        <f t="shared" si="68"/>
        <v>12.735994764987153</v>
      </c>
      <c r="N245" s="86">
        <f t="shared" si="68"/>
        <v>13.085339715631818</v>
      </c>
      <c r="O245" s="86">
        <f t="shared" si="68"/>
        <v>13.183370671090582</v>
      </c>
      <c r="P245" s="86"/>
      <c r="Q245" s="86"/>
      <c r="R245" s="86"/>
      <c r="S245" s="86"/>
      <c r="T245" s="86"/>
      <c r="U245" s="86"/>
      <c r="V245" s="86"/>
      <c r="W245" s="86"/>
      <c r="Y245" s="35">
        <v>4</v>
      </c>
      <c r="Z245" s="34">
        <v>14</v>
      </c>
      <c r="AA245" s="34">
        <v>0.50219999999999998</v>
      </c>
      <c r="AB245" s="34">
        <v>0.99253000000000002</v>
      </c>
      <c r="AC245" s="34"/>
    </row>
    <row r="246" spans="1:29" s="33" customFormat="1" x14ac:dyDescent="0.2">
      <c r="A246" s="37" t="s">
        <v>102</v>
      </c>
      <c r="B246" s="37" t="s">
        <v>147</v>
      </c>
      <c r="C246" s="31" t="s">
        <v>76</v>
      </c>
      <c r="D246" s="31">
        <v>50</v>
      </c>
      <c r="E246" s="31">
        <v>30</v>
      </c>
      <c r="F246" s="92">
        <f t="shared" si="66"/>
        <v>7.0777385309813345</v>
      </c>
      <c r="G246" s="92">
        <f t="shared" si="66"/>
        <v>7.6637207519342336</v>
      </c>
      <c r="H246" s="92">
        <f t="shared" si="66"/>
        <v>7.722382357079792</v>
      </c>
      <c r="I246" s="92">
        <f t="shared" ref="I246:K257" si="69">LN(I190)</f>
        <v>7.6307848340239515</v>
      </c>
      <c r="J246" s="92">
        <f t="shared" si="69"/>
        <v>8.1362255549084601</v>
      </c>
      <c r="K246" s="92">
        <f t="shared" si="69"/>
        <v>8.3822894289514362</v>
      </c>
      <c r="L246" s="92"/>
      <c r="M246" s="92">
        <f t="shared" ref="M246:T251" si="70">LN(M190)</f>
        <v>9.7662923133582833</v>
      </c>
      <c r="N246" s="92">
        <f t="shared" si="70"/>
        <v>10.63328805074411</v>
      </c>
      <c r="O246" s="92">
        <f t="shared" si="70"/>
        <v>11.712486454026831</v>
      </c>
      <c r="P246" s="92">
        <f t="shared" si="70"/>
        <v>12.173101695193473</v>
      </c>
      <c r="Q246" s="92">
        <f t="shared" si="70"/>
        <v>12.431905909654887</v>
      </c>
      <c r="R246" s="92">
        <f t="shared" si="70"/>
        <v>12.73481676979851</v>
      </c>
      <c r="S246" s="92">
        <f t="shared" si="70"/>
        <v>12.975022789505619</v>
      </c>
      <c r="T246" s="92">
        <f t="shared" si="70"/>
        <v>13.17323391577648</v>
      </c>
      <c r="U246" s="92"/>
      <c r="V246" s="92"/>
      <c r="W246" s="92"/>
      <c r="Y246" s="32">
        <v>10</v>
      </c>
      <c r="Z246" s="33">
        <v>20</v>
      </c>
      <c r="AA246" s="33">
        <v>0.39460000000000001</v>
      </c>
      <c r="AB246" s="33">
        <v>0.99050000000000005</v>
      </c>
    </row>
    <row r="247" spans="1:29" s="33" customFormat="1" x14ac:dyDescent="0.2">
      <c r="A247" s="37" t="s">
        <v>103</v>
      </c>
      <c r="B247" s="37" t="s">
        <v>147</v>
      </c>
      <c r="C247" s="31" t="s">
        <v>76</v>
      </c>
      <c r="D247" s="31">
        <v>50</v>
      </c>
      <c r="E247" s="31">
        <v>30</v>
      </c>
      <c r="F247" s="92">
        <f t="shared" si="66"/>
        <v>7.0777385309813345</v>
      </c>
      <c r="G247" s="92">
        <f t="shared" si="66"/>
        <v>7.3076493420408459</v>
      </c>
      <c r="H247" s="92">
        <f t="shared" si="66"/>
        <v>7.6377164326647984</v>
      </c>
      <c r="I247" s="92">
        <f t="shared" si="69"/>
        <v>7.6267326362431005</v>
      </c>
      <c r="J247" s="92">
        <f t="shared" si="69"/>
        <v>7.7837794176277368</v>
      </c>
      <c r="K247" s="92">
        <f t="shared" si="69"/>
        <v>7.60688453121963</v>
      </c>
      <c r="L247" s="92"/>
      <c r="M247" s="92">
        <f t="shared" si="70"/>
        <v>8.4677227959419419</v>
      </c>
      <c r="N247" s="92">
        <f t="shared" si="70"/>
        <v>9.1108146525906299</v>
      </c>
      <c r="O247" s="92">
        <f t="shared" si="70"/>
        <v>9.5050725340404458</v>
      </c>
      <c r="P247" s="92">
        <f t="shared" si="70"/>
        <v>10.028091715760659</v>
      </c>
      <c r="Q247" s="92">
        <f t="shared" si="70"/>
        <v>10.536300694056374</v>
      </c>
      <c r="R247" s="92">
        <f t="shared" si="70"/>
        <v>11.200586334851547</v>
      </c>
      <c r="S247" s="92">
        <f t="shared" si="70"/>
        <v>11.50972033402128</v>
      </c>
      <c r="T247" s="92">
        <f t="shared" si="70"/>
        <v>11.807483841361442</v>
      </c>
      <c r="U247" s="92"/>
      <c r="V247" s="92"/>
      <c r="W247" s="92"/>
      <c r="Y247" s="32">
        <v>14</v>
      </c>
      <c r="Z247" s="33">
        <v>26</v>
      </c>
      <c r="AA247" s="33">
        <v>0.25600000000000001</v>
      </c>
      <c r="AB247" s="33">
        <v>0.99546999999999997</v>
      </c>
    </row>
    <row r="248" spans="1:29" s="33" customFormat="1" x14ac:dyDescent="0.2">
      <c r="A248" s="37" t="s">
        <v>104</v>
      </c>
      <c r="B248" s="37" t="s">
        <v>147</v>
      </c>
      <c r="C248" s="31" t="s">
        <v>76</v>
      </c>
      <c r="D248" s="31">
        <v>50</v>
      </c>
      <c r="E248" s="31">
        <v>30</v>
      </c>
      <c r="F248" s="92">
        <f t="shared" si="66"/>
        <v>7.0777385309813345</v>
      </c>
      <c r="G248" s="92">
        <f t="shared" si="66"/>
        <v>7.4994232905922287</v>
      </c>
      <c r="H248" s="92">
        <f t="shared" si="66"/>
        <v>7.5140728842073488</v>
      </c>
      <c r="I248" s="92">
        <f t="shared" si="69"/>
        <v>8.0624327915831948</v>
      </c>
      <c r="J248" s="92">
        <f t="shared" si="69"/>
        <v>7.8955601457302889</v>
      </c>
      <c r="K248" s="92">
        <f t="shared" si="69"/>
        <v>8.0373277607318236</v>
      </c>
      <c r="L248" s="92"/>
      <c r="M248" s="92">
        <f t="shared" si="70"/>
        <v>8.5343780161703382</v>
      </c>
      <c r="N248" s="92">
        <f t="shared" si="70"/>
        <v>8.9705168129107697</v>
      </c>
      <c r="O248" s="92">
        <f t="shared" si="70"/>
        <v>9.4690827005302562</v>
      </c>
      <c r="P248" s="92">
        <f t="shared" si="70"/>
        <v>10.03774160064893</v>
      </c>
      <c r="Q248" s="92">
        <f t="shared" si="70"/>
        <v>10.663537644359051</v>
      </c>
      <c r="R248" s="92">
        <f t="shared" si="70"/>
        <v>11.39128499898654</v>
      </c>
      <c r="S248" s="92">
        <f t="shared" si="70"/>
        <v>11.795494488035187</v>
      </c>
      <c r="T248" s="92">
        <f t="shared" si="70"/>
        <v>12.193223784661262</v>
      </c>
      <c r="U248" s="92"/>
      <c r="V248" s="92"/>
      <c r="W248" s="92"/>
      <c r="Y248" s="32">
        <v>14</v>
      </c>
      <c r="Z248" s="33">
        <v>26</v>
      </c>
      <c r="AA248" s="33">
        <v>0.28249999999999997</v>
      </c>
      <c r="AB248" s="33">
        <v>0.99473999999999996</v>
      </c>
    </row>
    <row r="249" spans="1:29" x14ac:dyDescent="0.2">
      <c r="A249" s="24" t="s">
        <v>105</v>
      </c>
      <c r="B249" s="24" t="s">
        <v>149</v>
      </c>
      <c r="C249" s="11" t="s">
        <v>76</v>
      </c>
      <c r="D249" s="11">
        <v>100</v>
      </c>
      <c r="E249" s="11">
        <v>30</v>
      </c>
      <c r="F249" s="86">
        <f t="shared" si="66"/>
        <v>7.1964168715474184</v>
      </c>
      <c r="G249" s="86">
        <f t="shared" si="66"/>
        <v>7.673998014612633</v>
      </c>
      <c r="H249" s="86">
        <f t="shared" si="66"/>
        <v>7.4614488029753039</v>
      </c>
      <c r="I249" s="86">
        <f t="shared" si="69"/>
        <v>7.9714309977693505</v>
      </c>
      <c r="J249" s="86">
        <f t="shared" si="69"/>
        <v>8.1902619609621805</v>
      </c>
      <c r="K249" s="86">
        <f t="shared" si="69"/>
        <v>8.4058891218575624</v>
      </c>
      <c r="L249" s="86"/>
      <c r="M249" s="86">
        <f t="shared" si="70"/>
        <v>9.2044228982121457</v>
      </c>
      <c r="N249" s="86">
        <f t="shared" si="70"/>
        <v>9.9081931305844471</v>
      </c>
      <c r="O249" s="86">
        <f t="shared" si="70"/>
        <v>10.346376889290292</v>
      </c>
      <c r="P249" s="86">
        <f t="shared" si="70"/>
        <v>11.113839963826104</v>
      </c>
      <c r="Q249" s="86">
        <f t="shared" si="70"/>
        <v>11.566276640467223</v>
      </c>
      <c r="R249" s="86">
        <f t="shared" si="70"/>
        <v>12.077557223294747</v>
      </c>
      <c r="S249" s="86">
        <f t="shared" si="70"/>
        <v>12.502986969295533</v>
      </c>
      <c r="T249" s="86">
        <f t="shared" si="70"/>
        <v>12.876241160519708</v>
      </c>
      <c r="U249" s="86">
        <f t="shared" ref="U249:W251" si="71">LN(U193)</f>
        <v>13.238485775706186</v>
      </c>
      <c r="V249" s="86">
        <f t="shared" si="71"/>
        <v>13.360844701408487</v>
      </c>
      <c r="W249" s="86">
        <f t="shared" si="71"/>
        <v>13.615619558460214</v>
      </c>
      <c r="Y249" s="35">
        <v>14</v>
      </c>
      <c r="Z249" s="34">
        <v>18</v>
      </c>
      <c r="AA249" s="34">
        <v>0.26379999999999998</v>
      </c>
      <c r="AB249" s="34">
        <v>0.99104999999999999</v>
      </c>
    </row>
    <row r="250" spans="1:29" x14ac:dyDescent="0.2">
      <c r="A250" s="24" t="s">
        <v>106</v>
      </c>
      <c r="B250" s="24" t="s">
        <v>149</v>
      </c>
      <c r="C250" s="11" t="s">
        <v>76</v>
      </c>
      <c r="D250" s="11">
        <v>100</v>
      </c>
      <c r="E250" s="11">
        <v>30</v>
      </c>
      <c r="F250" s="86">
        <f t="shared" si="66"/>
        <v>7.1964168715474184</v>
      </c>
      <c r="G250" s="86">
        <f t="shared" si="66"/>
        <v>7.5945489855699071</v>
      </c>
      <c r="H250" s="86">
        <f t="shared" si="66"/>
        <v>7.6022349047758606</v>
      </c>
      <c r="I250" s="86">
        <f t="shared" si="69"/>
        <v>7.6685611080158971</v>
      </c>
      <c r="J250" s="86">
        <f t="shared" si="69"/>
        <v>7.5051255041483138</v>
      </c>
      <c r="K250" s="86">
        <f t="shared" si="69"/>
        <v>7.5087871706342764</v>
      </c>
      <c r="L250" s="86"/>
      <c r="M250" s="86">
        <f t="shared" si="70"/>
        <v>7.4879203808267407</v>
      </c>
      <c r="N250" s="86">
        <f t="shared" si="70"/>
        <v>7.8497137576048699</v>
      </c>
      <c r="O250" s="86">
        <f t="shared" si="70"/>
        <v>8.3620976208758737</v>
      </c>
      <c r="P250" s="86">
        <f t="shared" si="70"/>
        <v>9.3489422214138109</v>
      </c>
      <c r="Q250" s="86">
        <f t="shared" si="70"/>
        <v>9.2547080730429325</v>
      </c>
      <c r="R250" s="86">
        <f t="shared" si="70"/>
        <v>9.8219339818614575</v>
      </c>
      <c r="S250" s="86">
        <f t="shared" si="70"/>
        <v>10.354934652782619</v>
      </c>
      <c r="T250" s="86">
        <f t="shared" si="70"/>
        <v>10.794310037760237</v>
      </c>
      <c r="U250" s="86">
        <f t="shared" si="71"/>
        <v>11.611321786826421</v>
      </c>
      <c r="V250" s="86">
        <f t="shared" si="71"/>
        <v>11.813227568778112</v>
      </c>
      <c r="W250" s="86">
        <f t="shared" si="71"/>
        <v>12.279199183854278</v>
      </c>
      <c r="Y250" s="35">
        <v>22</v>
      </c>
      <c r="Z250" s="34">
        <v>31</v>
      </c>
      <c r="AA250" s="34">
        <v>0.25850000000000001</v>
      </c>
      <c r="AB250" s="34">
        <v>0.99868999999999997</v>
      </c>
    </row>
    <row r="251" spans="1:29" x14ac:dyDescent="0.2">
      <c r="A251" s="24" t="s">
        <v>107</v>
      </c>
      <c r="B251" s="24" t="s">
        <v>149</v>
      </c>
      <c r="C251" s="11" t="s">
        <v>76</v>
      </c>
      <c r="D251" s="11">
        <v>100</v>
      </c>
      <c r="E251" s="11">
        <v>30</v>
      </c>
      <c r="F251" s="86">
        <f t="shared" si="66"/>
        <v>7.1964168715474184</v>
      </c>
      <c r="G251" s="86">
        <f t="shared" si="66"/>
        <v>7.5793382816262413</v>
      </c>
      <c r="H251" s="86">
        <f t="shared" si="66"/>
        <v>7.4736371084962059</v>
      </c>
      <c r="I251" s="86">
        <f t="shared" si="69"/>
        <v>7.2691523892561989</v>
      </c>
      <c r="J251" s="86">
        <f t="shared" si="69"/>
        <v>7.4815557019095165</v>
      </c>
      <c r="K251" s="86">
        <f t="shared" si="69"/>
        <v>7.1144984089285659</v>
      </c>
      <c r="L251" s="86"/>
      <c r="M251" s="86">
        <f t="shared" si="70"/>
        <v>7.0763722442749781</v>
      </c>
      <c r="N251" s="86">
        <f t="shared" si="70"/>
        <v>7.3233907157443792</v>
      </c>
      <c r="O251" s="86">
        <f t="shared" si="70"/>
        <v>7.4539480465854187</v>
      </c>
      <c r="P251" s="86">
        <f t="shared" si="70"/>
        <v>7.563892633908182</v>
      </c>
      <c r="Q251" s="86">
        <f t="shared" si="70"/>
        <v>7.8922029775165745</v>
      </c>
      <c r="R251" s="86">
        <f t="shared" si="70"/>
        <v>8.2845042272584966</v>
      </c>
      <c r="S251" s="86">
        <f t="shared" si="70"/>
        <v>8.6053261614074383</v>
      </c>
      <c r="T251" s="86">
        <f t="shared" si="70"/>
        <v>8.9861546110835295</v>
      </c>
      <c r="U251" s="86">
        <f t="shared" si="71"/>
        <v>9.60080463907099</v>
      </c>
      <c r="V251" s="86">
        <f t="shared" si="71"/>
        <v>9.7327980799718805</v>
      </c>
      <c r="W251" s="86">
        <f t="shared" si="71"/>
        <v>9.8827234631833996</v>
      </c>
      <c r="Y251" s="35">
        <v>22</v>
      </c>
      <c r="Z251" s="34">
        <v>31</v>
      </c>
      <c r="AA251" s="34">
        <v>0.18779999999999999</v>
      </c>
      <c r="AB251" s="34">
        <v>0.99831999999999999</v>
      </c>
    </row>
    <row r="252" spans="1:29" s="33" customFormat="1" x14ac:dyDescent="0.2">
      <c r="A252" s="37" t="s">
        <v>108</v>
      </c>
      <c r="B252" s="37" t="s">
        <v>150</v>
      </c>
      <c r="C252" s="31" t="s">
        <v>80</v>
      </c>
      <c r="D252" s="31">
        <v>50</v>
      </c>
      <c r="E252" s="31">
        <v>30</v>
      </c>
      <c r="F252" s="92">
        <f t="shared" si="66"/>
        <v>7.1261435418124854</v>
      </c>
      <c r="G252" s="92">
        <f t="shared" si="66"/>
        <v>7.4040762165452465</v>
      </c>
      <c r="H252" s="92">
        <f t="shared" si="66"/>
        <v>7.8257778437010508</v>
      </c>
      <c r="I252" s="92">
        <f t="shared" si="69"/>
        <v>7.6383587965860356</v>
      </c>
      <c r="J252" s="92">
        <f t="shared" si="69"/>
        <v>7.503840746698951</v>
      </c>
      <c r="K252" s="92">
        <f t="shared" si="69"/>
        <v>7.3488020081402112</v>
      </c>
      <c r="L252" s="92"/>
      <c r="M252" s="92">
        <f t="shared" ref="M252:S257" si="72">LN(M196)</f>
        <v>7.8768914334028173</v>
      </c>
      <c r="N252" s="92">
        <f t="shared" si="72"/>
        <v>8.6213129376379314</v>
      </c>
      <c r="O252" s="92">
        <f t="shared" si="72"/>
        <v>9.5833741115274673</v>
      </c>
      <c r="P252" s="92">
        <f t="shared" si="72"/>
        <v>10.527106003777241</v>
      </c>
      <c r="Q252" s="92">
        <f t="shared" si="72"/>
        <v>11.156636160948578</v>
      </c>
      <c r="R252" s="92">
        <f t="shared" si="72"/>
        <v>11.785595417301506</v>
      </c>
      <c r="S252" s="92">
        <f t="shared" si="72"/>
        <v>12.710236126422615</v>
      </c>
      <c r="T252" s="92"/>
      <c r="U252" s="92"/>
      <c r="V252" s="92"/>
      <c r="W252" s="92"/>
      <c r="Y252" s="32">
        <v>14</v>
      </c>
      <c r="Z252" s="33">
        <v>26</v>
      </c>
      <c r="AA252" s="33">
        <v>0.4</v>
      </c>
      <c r="AB252" s="33">
        <v>0.99567000000000005</v>
      </c>
    </row>
    <row r="253" spans="1:29" s="33" customFormat="1" x14ac:dyDescent="0.2">
      <c r="A253" s="37" t="s">
        <v>109</v>
      </c>
      <c r="B253" s="37" t="s">
        <v>150</v>
      </c>
      <c r="C253" s="31" t="s">
        <v>80</v>
      </c>
      <c r="D253" s="31">
        <v>50</v>
      </c>
      <c r="E253" s="31">
        <v>30</v>
      </c>
      <c r="F253" s="92">
        <f t="shared" si="66"/>
        <v>7.1261435418124854</v>
      </c>
      <c r="G253" s="92">
        <f t="shared" si="66"/>
        <v>7.5157076134788507</v>
      </c>
      <c r="H253" s="92">
        <f t="shared" si="66"/>
        <v>7.7521919070883083</v>
      </c>
      <c r="I253" s="92">
        <f t="shared" si="69"/>
        <v>7.5252805214071836</v>
      </c>
      <c r="J253" s="92">
        <f t="shared" si="69"/>
        <v>7.3194233312149093</v>
      </c>
      <c r="K253" s="92">
        <f t="shared" si="69"/>
        <v>7.3161051111588913</v>
      </c>
      <c r="L253" s="92"/>
      <c r="M253" s="92">
        <f t="shared" si="72"/>
        <v>8.5051880842888057</v>
      </c>
      <c r="N253" s="92">
        <f t="shared" si="72"/>
        <v>9.5047994287069866</v>
      </c>
      <c r="O253" s="92">
        <f t="shared" si="72"/>
        <v>10.562681455944722</v>
      </c>
      <c r="P253" s="92">
        <f t="shared" si="72"/>
        <v>11.861467425678772</v>
      </c>
      <c r="Q253" s="92">
        <f t="shared" si="72"/>
        <v>11.989449457039198</v>
      </c>
      <c r="R253" s="92">
        <f t="shared" si="72"/>
        <v>12.420753825097464</v>
      </c>
      <c r="S253" s="92">
        <f t="shared" si="72"/>
        <v>12.84469324006875</v>
      </c>
      <c r="T253" s="92"/>
      <c r="U253" s="92"/>
      <c r="V253" s="92"/>
      <c r="W253" s="92"/>
      <c r="Y253" s="32">
        <v>10</v>
      </c>
      <c r="Z253" s="33">
        <v>24</v>
      </c>
      <c r="AA253" s="33">
        <v>0.39639999999999997</v>
      </c>
      <c r="AB253" s="33">
        <v>0.96852000000000005</v>
      </c>
    </row>
    <row r="254" spans="1:29" s="33" customFormat="1" x14ac:dyDescent="0.2">
      <c r="A254" s="37" t="s">
        <v>110</v>
      </c>
      <c r="B254" s="37" t="s">
        <v>150</v>
      </c>
      <c r="C254" s="31" t="s">
        <v>80</v>
      </c>
      <c r="D254" s="31">
        <v>50</v>
      </c>
      <c r="E254" s="31">
        <v>30</v>
      </c>
      <c r="F254" s="92">
        <f t="shared" ref="F254:H266" si="73">LN(F198)</f>
        <v>7.1261435418124854</v>
      </c>
      <c r="G254" s="92">
        <f t="shared" si="73"/>
        <v>7.5320881435417224</v>
      </c>
      <c r="H254" s="92">
        <f t="shared" si="73"/>
        <v>7.6690282885896828</v>
      </c>
      <c r="I254" s="92">
        <f t="shared" si="69"/>
        <v>7.1180162044653335</v>
      </c>
      <c r="J254" s="92">
        <f t="shared" si="69"/>
        <v>6.9803859700170445</v>
      </c>
      <c r="K254" s="92">
        <f t="shared" si="69"/>
        <v>6.9037472575845982</v>
      </c>
      <c r="L254" s="92"/>
      <c r="M254" s="92">
        <f t="shared" si="72"/>
        <v>7.798112628829788</v>
      </c>
      <c r="N254" s="92">
        <f t="shared" si="72"/>
        <v>8.8044751838466784</v>
      </c>
      <c r="O254" s="92">
        <f t="shared" si="72"/>
        <v>9.6698727013546222</v>
      </c>
      <c r="P254" s="92">
        <f t="shared" si="72"/>
        <v>10.70972529481581</v>
      </c>
      <c r="Q254" s="92">
        <f t="shared" si="72"/>
        <v>11.472998902764106</v>
      </c>
      <c r="R254" s="92">
        <f t="shared" si="72"/>
        <v>12.213875457593195</v>
      </c>
      <c r="S254" s="92">
        <f t="shared" si="72"/>
        <v>12.632037305781962</v>
      </c>
      <c r="T254" s="92"/>
      <c r="U254" s="92"/>
      <c r="V254" s="92"/>
      <c r="W254" s="92"/>
      <c r="Y254" s="32">
        <v>14</v>
      </c>
      <c r="Z254" s="33">
        <v>26</v>
      </c>
      <c r="AA254" s="33">
        <v>0.41289999999999999</v>
      </c>
      <c r="AB254" s="33">
        <v>0.98782000000000003</v>
      </c>
    </row>
    <row r="255" spans="1:29" x14ac:dyDescent="0.2">
      <c r="A255" s="38" t="s">
        <v>111</v>
      </c>
      <c r="B255" s="38" t="s">
        <v>151</v>
      </c>
      <c r="C255" s="6" t="s">
        <v>80</v>
      </c>
      <c r="D255" s="6">
        <v>100</v>
      </c>
      <c r="E255" s="6">
        <v>30</v>
      </c>
      <c r="F255" s="86">
        <f t="shared" si="73"/>
        <v>7.2241778577976463</v>
      </c>
      <c r="G255" s="86">
        <f t="shared" si="73"/>
        <v>7.486613313139955</v>
      </c>
      <c r="H255" s="86">
        <f t="shared" si="73"/>
        <v>7.40224824812723</v>
      </c>
      <c r="I255" s="86">
        <f t="shared" si="69"/>
        <v>7.5752427127615043</v>
      </c>
      <c r="J255" s="86">
        <f t="shared" si="69"/>
        <v>7.1217908112656199</v>
      </c>
      <c r="K255" s="86">
        <f t="shared" si="69"/>
        <v>7.0920193922354295</v>
      </c>
      <c r="L255" s="86"/>
      <c r="M255" s="86">
        <f t="shared" si="72"/>
        <v>7.4677519467545768</v>
      </c>
      <c r="N255" s="86">
        <f t="shared" si="72"/>
        <v>8.2019343511942218</v>
      </c>
      <c r="O255" s="86">
        <f t="shared" si="72"/>
        <v>9.0491147234769613</v>
      </c>
      <c r="P255" s="86">
        <f t="shared" si="72"/>
        <v>9.7273269778556468</v>
      </c>
      <c r="Q255" s="86">
        <f t="shared" si="72"/>
        <v>10.513135363600332</v>
      </c>
      <c r="R255" s="86">
        <f t="shared" si="72"/>
        <v>11.305491207361198</v>
      </c>
      <c r="S255" s="86">
        <f t="shared" si="72"/>
        <v>11.815643922248123</v>
      </c>
      <c r="T255" s="86">
        <f>LN(T199)</f>
        <v>12.407270474760177</v>
      </c>
      <c r="U255" s="86"/>
      <c r="V255" s="86"/>
      <c r="W255" s="86"/>
      <c r="X255" s="86"/>
      <c r="Y255" s="29">
        <v>14</v>
      </c>
      <c r="Z255" s="34">
        <v>24</v>
      </c>
      <c r="AA255" s="34">
        <v>0.38290000000000002</v>
      </c>
      <c r="AB255" s="34">
        <v>0.99950000000000006</v>
      </c>
    </row>
    <row r="256" spans="1:29" x14ac:dyDescent="0.2">
      <c r="A256" s="38" t="s">
        <v>112</v>
      </c>
      <c r="B256" s="38" t="s">
        <v>151</v>
      </c>
      <c r="C256" s="6" t="s">
        <v>80</v>
      </c>
      <c r="D256" s="6">
        <v>100</v>
      </c>
      <c r="E256" s="6">
        <v>30</v>
      </c>
      <c r="F256" s="86">
        <f t="shared" si="73"/>
        <v>7.2241778577976463</v>
      </c>
      <c r="G256" s="86">
        <f t="shared" si="73"/>
        <v>7.4326810271269093</v>
      </c>
      <c r="H256" s="86">
        <f t="shared" si="73"/>
        <v>7.6844773831279864</v>
      </c>
      <c r="I256" s="86">
        <f t="shared" si="69"/>
        <v>7.6996914298168697</v>
      </c>
      <c r="J256" s="86">
        <f t="shared" si="69"/>
        <v>7.2772477266314839</v>
      </c>
      <c r="K256" s="86">
        <f t="shared" si="69"/>
        <v>6.8956826977478682</v>
      </c>
      <c r="L256" s="86"/>
      <c r="M256" s="86">
        <f t="shared" si="72"/>
        <v>7.5506612431053357</v>
      </c>
      <c r="N256" s="86">
        <f t="shared" si="72"/>
        <v>8.1285852003744967</v>
      </c>
      <c r="O256" s="86">
        <f t="shared" si="72"/>
        <v>8.9677591267694972</v>
      </c>
      <c r="P256" s="86">
        <f t="shared" si="72"/>
        <v>9.7281813306360778</v>
      </c>
      <c r="Q256" s="86">
        <f t="shared" si="72"/>
        <v>10.518988457240249</v>
      </c>
      <c r="R256" s="86">
        <f t="shared" si="72"/>
        <v>11.197575246304325</v>
      </c>
      <c r="S256" s="86">
        <f t="shared" si="72"/>
        <v>11.717117226922984</v>
      </c>
      <c r="T256" s="86">
        <f>LN(T200)</f>
        <v>12.279230166147901</v>
      </c>
      <c r="U256" s="86"/>
      <c r="V256" s="86"/>
      <c r="W256" s="86"/>
      <c r="X256" s="86"/>
      <c r="Y256" s="35">
        <v>14</v>
      </c>
      <c r="Z256" s="34">
        <v>24</v>
      </c>
      <c r="AA256" s="34">
        <v>0.37380000000000002</v>
      </c>
      <c r="AB256" s="34">
        <v>0.99819999999999998</v>
      </c>
    </row>
    <row r="257" spans="1:28" x14ac:dyDescent="0.2">
      <c r="A257" s="38" t="s">
        <v>113</v>
      </c>
      <c r="B257" s="38" t="s">
        <v>151</v>
      </c>
      <c r="C257" s="6" t="s">
        <v>80</v>
      </c>
      <c r="D257" s="6">
        <v>100</v>
      </c>
      <c r="E257" s="6">
        <v>30</v>
      </c>
      <c r="F257" s="86">
        <f t="shared" si="73"/>
        <v>7.2241778577976463</v>
      </c>
      <c r="G257" s="86">
        <f t="shared" si="73"/>
        <v>7.3634909364301677</v>
      </c>
      <c r="H257" s="86">
        <f t="shared" si="73"/>
        <v>7.5793382816262413</v>
      </c>
      <c r="I257" s="86">
        <f t="shared" si="69"/>
        <v>7.8083230503910555</v>
      </c>
      <c r="J257" s="86">
        <f t="shared" si="69"/>
        <v>7.4374026569887155</v>
      </c>
      <c r="K257" s="86">
        <f t="shared" si="69"/>
        <v>7.5144363883916494</v>
      </c>
      <c r="L257" s="86"/>
      <c r="M257" s="86">
        <f t="shared" si="72"/>
        <v>8.1006671359486475</v>
      </c>
      <c r="N257" s="86">
        <f t="shared" si="72"/>
        <v>8.8202563659063209</v>
      </c>
      <c r="O257" s="86">
        <f t="shared" si="72"/>
        <v>9.5659380692263287</v>
      </c>
      <c r="P257" s="86">
        <f t="shared" si="72"/>
        <v>10.170239612431716</v>
      </c>
      <c r="Q257" s="86">
        <f t="shared" si="72"/>
        <v>10.770588040219511</v>
      </c>
      <c r="R257" s="86">
        <f t="shared" si="72"/>
        <v>11.422271096702097</v>
      </c>
      <c r="S257" s="86">
        <f t="shared" si="72"/>
        <v>11.895372113866433</v>
      </c>
      <c r="T257" s="86">
        <f>LN(T201)</f>
        <v>11.64673931769914</v>
      </c>
      <c r="U257" s="86"/>
      <c r="V257" s="86"/>
      <c r="W257" s="86"/>
      <c r="X257" s="86"/>
      <c r="Y257" s="29">
        <v>14</v>
      </c>
      <c r="Z257" s="34">
        <v>24</v>
      </c>
      <c r="AA257" s="34">
        <v>0.32950000000000002</v>
      </c>
      <c r="AB257" s="34">
        <v>0.99814999999999998</v>
      </c>
    </row>
    <row r="258" spans="1:28" s="33" customFormat="1" x14ac:dyDescent="0.2">
      <c r="A258" s="30" t="s">
        <v>114</v>
      </c>
      <c r="B258" s="30" t="s">
        <v>152</v>
      </c>
      <c r="C258" s="31" t="s">
        <v>76</v>
      </c>
      <c r="D258" s="31">
        <v>10</v>
      </c>
      <c r="E258" s="31">
        <v>26</v>
      </c>
      <c r="F258" s="92">
        <f t="shared" si="73"/>
        <v>7.2101173214736907</v>
      </c>
      <c r="G258" s="92">
        <f t="shared" si="73"/>
        <v>7.5158890852151252</v>
      </c>
      <c r="H258" s="92">
        <f t="shared" si="73"/>
        <v>7.7198699786061251</v>
      </c>
      <c r="I258" s="92"/>
      <c r="J258" s="92">
        <f t="shared" ref="J258:P263" si="74">LN(J202)</f>
        <v>9.3536323084685655</v>
      </c>
      <c r="K258" s="92">
        <f t="shared" si="74"/>
        <v>10.394722526537114</v>
      </c>
      <c r="L258" s="92">
        <f t="shared" si="74"/>
        <v>11.424458483647898</v>
      </c>
      <c r="M258" s="92">
        <f t="shared" si="74"/>
        <v>12.049808623055508</v>
      </c>
      <c r="N258" s="92">
        <f t="shared" si="74"/>
        <v>12.600768865636438</v>
      </c>
      <c r="O258" s="92">
        <f t="shared" si="74"/>
        <v>13.22032458558021</v>
      </c>
      <c r="P258" s="92">
        <f t="shared" si="74"/>
        <v>13.702618044187304</v>
      </c>
      <c r="Q258" s="92"/>
      <c r="R258" s="92"/>
      <c r="S258" s="92"/>
      <c r="T258" s="92"/>
      <c r="U258" s="92"/>
      <c r="V258" s="92"/>
      <c r="W258" s="92"/>
      <c r="Y258" s="32">
        <v>4</v>
      </c>
      <c r="Z258" s="33">
        <v>16</v>
      </c>
      <c r="AA258" s="33">
        <v>0.42070000000000002</v>
      </c>
      <c r="AB258" s="33">
        <v>0.99058000000000002</v>
      </c>
    </row>
    <row r="259" spans="1:28" s="33" customFormat="1" x14ac:dyDescent="0.2">
      <c r="A259" s="30" t="s">
        <v>115</v>
      </c>
      <c r="B259" s="30" t="s">
        <v>152</v>
      </c>
      <c r="C259" s="31" t="s">
        <v>76</v>
      </c>
      <c r="D259" s="31">
        <v>10</v>
      </c>
      <c r="E259" s="31">
        <v>26</v>
      </c>
      <c r="F259" s="92">
        <f t="shared" si="73"/>
        <v>7.2101173214736907</v>
      </c>
      <c r="G259" s="92">
        <f t="shared" si="73"/>
        <v>7.554160196989951</v>
      </c>
      <c r="H259" s="92">
        <f t="shared" si="73"/>
        <v>7.8213757823004135</v>
      </c>
      <c r="I259" s="92"/>
      <c r="J259" s="92">
        <f t="shared" si="74"/>
        <v>9.4704456766577287</v>
      </c>
      <c r="K259" s="92">
        <f t="shared" si="74"/>
        <v>10.446393069765531</v>
      </c>
      <c r="L259" s="92">
        <f t="shared" si="74"/>
        <v>11.49115690649708</v>
      </c>
      <c r="M259" s="92">
        <f t="shared" si="74"/>
        <v>12.169374082414134</v>
      </c>
      <c r="N259" s="92">
        <f t="shared" si="74"/>
        <v>12.799620460867365</v>
      </c>
      <c r="O259" s="92">
        <f t="shared" si="74"/>
        <v>13.371252645136954</v>
      </c>
      <c r="P259" s="92">
        <f t="shared" si="74"/>
        <v>13.778120168745716</v>
      </c>
      <c r="Q259" s="92"/>
      <c r="R259" s="92"/>
      <c r="S259" s="92"/>
      <c r="T259" s="92"/>
      <c r="U259" s="92"/>
      <c r="V259" s="92"/>
      <c r="W259" s="92"/>
      <c r="Y259" s="32">
        <v>4</v>
      </c>
      <c r="Z259" s="33">
        <v>16</v>
      </c>
      <c r="AA259" s="33">
        <v>0.42630000000000001</v>
      </c>
      <c r="AB259" s="33">
        <v>0.99453999999999998</v>
      </c>
    </row>
    <row r="260" spans="1:28" s="33" customFormat="1" x14ac:dyDescent="0.2">
      <c r="A260" s="30" t="s">
        <v>116</v>
      </c>
      <c r="B260" s="30" t="s">
        <v>152</v>
      </c>
      <c r="C260" s="31" t="s">
        <v>76</v>
      </c>
      <c r="D260" s="31">
        <v>10</v>
      </c>
      <c r="E260" s="31">
        <v>26</v>
      </c>
      <c r="F260" s="92">
        <f t="shared" si="73"/>
        <v>7.2101173214736907</v>
      </c>
      <c r="G260" s="92">
        <f t="shared" si="73"/>
        <v>7.5322666671519443</v>
      </c>
      <c r="H260" s="92">
        <f t="shared" si="73"/>
        <v>7.805746253684859</v>
      </c>
      <c r="I260" s="92"/>
      <c r="J260" s="92">
        <f t="shared" si="74"/>
        <v>9.4784827825533462</v>
      </c>
      <c r="K260" s="92">
        <f t="shared" si="74"/>
        <v>10.437365419832272</v>
      </c>
      <c r="L260" s="92">
        <f t="shared" si="74"/>
        <v>11.445074798062054</v>
      </c>
      <c r="M260" s="92">
        <f t="shared" si="74"/>
        <v>12.141107366677815</v>
      </c>
      <c r="N260" s="92">
        <f t="shared" si="74"/>
        <v>12.675722045377416</v>
      </c>
      <c r="O260" s="92">
        <f t="shared" si="74"/>
        <v>13.328867931862172</v>
      </c>
      <c r="P260" s="92">
        <f t="shared" si="74"/>
        <v>13.77285354749829</v>
      </c>
      <c r="Q260" s="92"/>
      <c r="R260" s="92"/>
      <c r="S260" s="92"/>
      <c r="T260" s="92"/>
      <c r="U260" s="92"/>
      <c r="V260" s="92"/>
      <c r="W260" s="92"/>
      <c r="Y260" s="32">
        <v>4</v>
      </c>
      <c r="Z260" s="33">
        <v>16</v>
      </c>
      <c r="AA260" s="33">
        <v>0.41849999999999998</v>
      </c>
      <c r="AB260" s="33">
        <v>0.99287999999999998</v>
      </c>
    </row>
    <row r="261" spans="1:28" x14ac:dyDescent="0.2">
      <c r="A261" s="19" t="s">
        <v>117</v>
      </c>
      <c r="B261" s="19" t="s">
        <v>153</v>
      </c>
      <c r="C261" s="11" t="s">
        <v>76</v>
      </c>
      <c r="D261" s="11">
        <v>10</v>
      </c>
      <c r="E261" s="11">
        <v>28</v>
      </c>
      <c r="F261" s="86">
        <f t="shared" si="73"/>
        <v>7.2081931492225957</v>
      </c>
      <c r="G261" s="86">
        <f t="shared" si="73"/>
        <v>7.5612950049473033</v>
      </c>
      <c r="H261" s="86">
        <f t="shared" si="73"/>
        <v>7.4770384723196965</v>
      </c>
      <c r="I261" s="86"/>
      <c r="J261" s="86">
        <f t="shared" si="74"/>
        <v>8.4991649888968457</v>
      </c>
      <c r="K261" s="86">
        <f t="shared" si="74"/>
        <v>9.2924424960568075</v>
      </c>
      <c r="L261" s="86">
        <f t="shared" si="74"/>
        <v>10.056809317479777</v>
      </c>
      <c r="M261" s="86">
        <f t="shared" si="74"/>
        <v>10.765610687732194</v>
      </c>
      <c r="N261" s="86">
        <f t="shared" si="74"/>
        <v>11.852060819010925</v>
      </c>
      <c r="O261" s="86">
        <f t="shared" si="74"/>
        <v>12.61340268024785</v>
      </c>
      <c r="P261" s="86">
        <f t="shared" si="74"/>
        <v>13.230918783958675</v>
      </c>
      <c r="Q261" s="86">
        <f>LN(Q205)</f>
        <v>13.702416511794022</v>
      </c>
      <c r="R261" s="86"/>
      <c r="S261" s="86"/>
      <c r="T261" s="86"/>
      <c r="U261" s="86"/>
      <c r="V261" s="86"/>
      <c r="W261" s="86"/>
      <c r="Y261" s="29">
        <v>4</v>
      </c>
      <c r="Z261" s="34">
        <v>22</v>
      </c>
      <c r="AA261" s="34">
        <v>0.36940000000000001</v>
      </c>
      <c r="AB261" s="34">
        <v>0.99236999999999997</v>
      </c>
    </row>
    <row r="262" spans="1:28" x14ac:dyDescent="0.2">
      <c r="A262" s="19" t="s">
        <v>118</v>
      </c>
      <c r="B262" s="19" t="s">
        <v>153</v>
      </c>
      <c r="C262" s="11" t="s">
        <v>76</v>
      </c>
      <c r="D262" s="11">
        <v>10</v>
      </c>
      <c r="E262" s="11">
        <v>28</v>
      </c>
      <c r="F262" s="86">
        <f t="shared" si="73"/>
        <v>7.2081931492225957</v>
      </c>
      <c r="G262" s="86">
        <f t="shared" si="73"/>
        <v>7.5281525391774187</v>
      </c>
      <c r="H262" s="86">
        <f t="shared" si="73"/>
        <v>7.5345845785044343</v>
      </c>
      <c r="I262" s="86"/>
      <c r="J262" s="86">
        <f t="shared" si="74"/>
        <v>8.3891325213487189</v>
      </c>
      <c r="K262" s="86">
        <f t="shared" si="74"/>
        <v>9.222664121665014</v>
      </c>
      <c r="L262" s="86">
        <f t="shared" si="74"/>
        <v>10.049937227022648</v>
      </c>
      <c r="M262" s="86">
        <f t="shared" si="74"/>
        <v>10.683332171923386</v>
      </c>
      <c r="N262" s="86">
        <f t="shared" si="74"/>
        <v>11.671352701564746</v>
      </c>
      <c r="O262" s="86">
        <f t="shared" si="74"/>
        <v>12.354032774806818</v>
      </c>
      <c r="P262" s="86">
        <f t="shared" si="74"/>
        <v>13.059480374029578</v>
      </c>
      <c r="Q262" s="86">
        <f>LN(Q206)</f>
        <v>13.62711458922954</v>
      </c>
      <c r="R262" s="86"/>
      <c r="S262" s="86"/>
      <c r="T262" s="86"/>
      <c r="U262" s="86"/>
      <c r="V262" s="86"/>
      <c r="W262" s="86"/>
      <c r="Y262" s="29">
        <v>4</v>
      </c>
      <c r="Z262" s="34">
        <v>22</v>
      </c>
      <c r="AA262" s="34">
        <v>0.35899999999999999</v>
      </c>
      <c r="AB262" s="34">
        <v>0.99287000000000003</v>
      </c>
    </row>
    <row r="263" spans="1:28" x14ac:dyDescent="0.2">
      <c r="A263" s="19" t="s">
        <v>119</v>
      </c>
      <c r="B263" s="19" t="s">
        <v>153</v>
      </c>
      <c r="C263" s="11" t="s">
        <v>76</v>
      </c>
      <c r="D263" s="11">
        <v>10</v>
      </c>
      <c r="E263" s="11">
        <v>28</v>
      </c>
      <c r="F263" s="86">
        <f t="shared" si="73"/>
        <v>7.2081931492225957</v>
      </c>
      <c r="G263" s="86">
        <f t="shared" si="73"/>
        <v>7.2501622511231645</v>
      </c>
      <c r="H263" s="86">
        <f t="shared" si="73"/>
        <v>7.577292593902949</v>
      </c>
      <c r="I263" s="86"/>
      <c r="J263" s="86">
        <f t="shared" si="74"/>
        <v>8.4514806480508557</v>
      </c>
      <c r="K263" s="86">
        <f t="shared" si="74"/>
        <v>9.2201916880265564</v>
      </c>
      <c r="L263" s="86">
        <f t="shared" si="74"/>
        <v>9.9881350265964119</v>
      </c>
      <c r="M263" s="86">
        <f t="shared" si="74"/>
        <v>10.722701879080889</v>
      </c>
      <c r="N263" s="86">
        <f t="shared" si="74"/>
        <v>11.652281527886013</v>
      </c>
      <c r="O263" s="86">
        <f t="shared" si="74"/>
        <v>12.428282427684293</v>
      </c>
      <c r="P263" s="86">
        <f t="shared" si="74"/>
        <v>13.162583590890694</v>
      </c>
      <c r="Q263" s="86">
        <f>LN(Q207)</f>
        <v>13.593657839832987</v>
      </c>
      <c r="R263" s="86"/>
      <c r="S263" s="86"/>
      <c r="T263" s="86"/>
      <c r="U263" s="86"/>
      <c r="V263" s="86"/>
      <c r="W263" s="86"/>
      <c r="Y263" s="29">
        <v>4</v>
      </c>
      <c r="Z263" s="34">
        <v>22</v>
      </c>
      <c r="AA263" s="34">
        <v>0.35899999999999999</v>
      </c>
      <c r="AB263" s="34">
        <v>0.99156999999999995</v>
      </c>
    </row>
    <row r="264" spans="1:28" s="33" customFormat="1" x14ac:dyDescent="0.2">
      <c r="A264" s="30" t="s">
        <v>123</v>
      </c>
      <c r="B264" s="30" t="s">
        <v>154</v>
      </c>
      <c r="C264" s="31" t="s">
        <v>80</v>
      </c>
      <c r="D264" s="31">
        <v>10</v>
      </c>
      <c r="E264" s="31">
        <v>26</v>
      </c>
      <c r="F264" s="92">
        <f t="shared" si="73"/>
        <v>7.2888730482194317</v>
      </c>
      <c r="G264" s="92">
        <f t="shared" si="73"/>
        <v>7.396130773910536</v>
      </c>
      <c r="H264" s="92">
        <f t="shared" si="73"/>
        <v>7.8376858965603269</v>
      </c>
      <c r="I264" s="92"/>
      <c r="J264" s="92">
        <f t="shared" ref="J264:N269" si="75">LN(J208)</f>
        <v>9.7682213226178884</v>
      </c>
      <c r="K264" s="92">
        <f t="shared" si="75"/>
        <v>11.02672199060753</v>
      </c>
      <c r="L264" s="92">
        <f t="shared" si="75"/>
        <v>12.083452931982263</v>
      </c>
      <c r="M264" s="92">
        <f t="shared" si="75"/>
        <v>12.761450896345224</v>
      </c>
      <c r="N264" s="92">
        <f t="shared" si="75"/>
        <v>13.016780614829264</v>
      </c>
      <c r="O264" s="92"/>
      <c r="P264" s="92"/>
      <c r="Q264" s="92"/>
      <c r="R264" s="92"/>
      <c r="S264" s="92"/>
      <c r="T264" s="92"/>
      <c r="U264" s="92"/>
      <c r="V264" s="92"/>
      <c r="W264" s="92"/>
      <c r="Y264" s="32">
        <v>2</v>
      </c>
      <c r="Z264" s="33">
        <v>14</v>
      </c>
      <c r="AA264" s="33">
        <v>0.47460000000000002</v>
      </c>
      <c r="AB264" s="33">
        <v>0.99060000000000004</v>
      </c>
    </row>
    <row r="265" spans="1:28" s="33" customFormat="1" x14ac:dyDescent="0.2">
      <c r="A265" s="30" t="s">
        <v>124</v>
      </c>
      <c r="B265" s="30" t="s">
        <v>154</v>
      </c>
      <c r="C265" s="31" t="s">
        <v>80</v>
      </c>
      <c r="D265" s="31">
        <v>10</v>
      </c>
      <c r="E265" s="31">
        <v>26</v>
      </c>
      <c r="F265" s="92">
        <f t="shared" si="73"/>
        <v>7.2888730482194317</v>
      </c>
      <c r="G265" s="92">
        <f t="shared" si="73"/>
        <v>7.6610563823618296</v>
      </c>
      <c r="H265" s="92">
        <f t="shared" si="73"/>
        <v>8.0763081380768131</v>
      </c>
      <c r="I265" s="92"/>
      <c r="J265" s="92">
        <f t="shared" si="75"/>
        <v>10.16203685698089</v>
      </c>
      <c r="K265" s="92">
        <f t="shared" si="75"/>
        <v>11.251893978625942</v>
      </c>
      <c r="L265" s="92">
        <f t="shared" si="75"/>
        <v>12.260402990075221</v>
      </c>
      <c r="M265" s="92">
        <f t="shared" si="75"/>
        <v>12.94856539155125</v>
      </c>
      <c r="N265" s="92">
        <f t="shared" si="75"/>
        <v>13.236310918799443</v>
      </c>
      <c r="O265" s="92"/>
      <c r="P265" s="92"/>
      <c r="Q265" s="92"/>
      <c r="R265" s="92"/>
      <c r="S265" s="92"/>
      <c r="T265" s="92"/>
      <c r="U265" s="92"/>
      <c r="V265" s="92"/>
      <c r="W265" s="92"/>
      <c r="Y265" s="32">
        <v>2</v>
      </c>
      <c r="Z265" s="33">
        <v>14</v>
      </c>
      <c r="AA265" s="33">
        <v>0.46750000000000003</v>
      </c>
      <c r="AB265" s="33">
        <v>0.99233000000000005</v>
      </c>
    </row>
    <row r="266" spans="1:28" s="33" customFormat="1" x14ac:dyDescent="0.2">
      <c r="A266" s="30" t="s">
        <v>125</v>
      </c>
      <c r="B266" s="30" t="s">
        <v>154</v>
      </c>
      <c r="C266" s="31" t="s">
        <v>80</v>
      </c>
      <c r="D266" s="31">
        <v>10</v>
      </c>
      <c r="E266" s="31">
        <v>26</v>
      </c>
      <c r="F266" s="92">
        <f t="shared" si="73"/>
        <v>7.2888730482194317</v>
      </c>
      <c r="G266" s="92">
        <f t="shared" si="73"/>
        <v>7.5827384889144112</v>
      </c>
      <c r="H266" s="92">
        <f t="shared" si="73"/>
        <v>8.0478293574578412</v>
      </c>
      <c r="I266" s="92"/>
      <c r="J266" s="92">
        <f t="shared" si="75"/>
        <v>10.228609907961754</v>
      </c>
      <c r="K266" s="92">
        <f t="shared" si="75"/>
        <v>11.375764636762604</v>
      </c>
      <c r="L266" s="92">
        <f t="shared" si="75"/>
        <v>12.353630209887788</v>
      </c>
      <c r="M266" s="92">
        <f t="shared" si="75"/>
        <v>12.982380744012032</v>
      </c>
      <c r="N266" s="92">
        <f t="shared" si="75"/>
        <v>13.250686229099239</v>
      </c>
      <c r="O266" s="92"/>
      <c r="P266" s="92"/>
      <c r="Q266" s="92"/>
      <c r="R266" s="92"/>
      <c r="S266" s="92"/>
      <c r="T266" s="92"/>
      <c r="U266" s="92"/>
      <c r="V266" s="92"/>
      <c r="W266" s="92"/>
      <c r="Y266" s="32">
        <v>2</v>
      </c>
      <c r="Z266" s="33">
        <v>14</v>
      </c>
      <c r="AA266" s="33">
        <v>0.48</v>
      </c>
      <c r="AB266" s="33">
        <v>0.99173</v>
      </c>
    </row>
    <row r="267" spans="1:28" x14ac:dyDescent="0.2">
      <c r="A267" s="39" t="s">
        <v>126</v>
      </c>
      <c r="B267" s="39" t="s">
        <v>155</v>
      </c>
      <c r="C267" s="6" t="s">
        <v>80</v>
      </c>
      <c r="D267" s="6">
        <v>10</v>
      </c>
      <c r="E267" s="6">
        <v>26</v>
      </c>
      <c r="F267" s="86">
        <f t="shared" ref="F267:G269" si="76">LN(F211)</f>
        <v>7.0507294479332439</v>
      </c>
      <c r="G267" s="86">
        <f t="shared" si="76"/>
        <v>7.0060911797029988</v>
      </c>
      <c r="H267" s="86"/>
      <c r="I267" s="86">
        <f>LN(I211)</f>
        <v>8.2972943702669166</v>
      </c>
      <c r="J267" s="86">
        <f t="shared" si="75"/>
        <v>9.5969397470989311</v>
      </c>
      <c r="K267" s="86">
        <f t="shared" si="75"/>
        <v>10.724338762908348</v>
      </c>
      <c r="L267" s="86">
        <f t="shared" si="75"/>
        <v>11.700400387004978</v>
      </c>
      <c r="M267" s="86">
        <f t="shared" si="75"/>
        <v>12.64264874866339</v>
      </c>
      <c r="N267" s="86">
        <f t="shared" si="75"/>
        <v>12.977830740005231</v>
      </c>
      <c r="O267" s="86"/>
      <c r="P267" s="86"/>
      <c r="Q267" s="86"/>
      <c r="R267" s="86"/>
      <c r="S267" s="86"/>
      <c r="T267" s="86"/>
      <c r="U267" s="86"/>
      <c r="V267" s="86"/>
      <c r="W267" s="86"/>
      <c r="Y267" s="35">
        <v>2</v>
      </c>
      <c r="Z267" s="34">
        <v>14</v>
      </c>
      <c r="AA267" s="34">
        <v>0.48749999999999999</v>
      </c>
      <c r="AB267" s="34">
        <v>0.98899999999999999</v>
      </c>
    </row>
    <row r="268" spans="1:28" x14ac:dyDescent="0.2">
      <c r="A268" s="39" t="s">
        <v>127</v>
      </c>
      <c r="B268" s="39" t="s">
        <v>155</v>
      </c>
      <c r="C268" s="6" t="s">
        <v>80</v>
      </c>
      <c r="D268" s="6">
        <v>10</v>
      </c>
      <c r="E268" s="6">
        <v>26</v>
      </c>
      <c r="F268" s="86">
        <f t="shared" si="76"/>
        <v>7.0507294479332439</v>
      </c>
      <c r="G268" s="86">
        <f t="shared" si="76"/>
        <v>7.2672927885343466</v>
      </c>
      <c r="H268" s="86"/>
      <c r="I268" s="86">
        <f>LN(I212)</f>
        <v>8.4178147474359584</v>
      </c>
      <c r="J268" s="86">
        <f t="shared" si="75"/>
        <v>9.6070113694397943</v>
      </c>
      <c r="K268" s="86">
        <f t="shared" si="75"/>
        <v>10.625060207279777</v>
      </c>
      <c r="L268" s="86">
        <f t="shared" si="75"/>
        <v>11.531092768925678</v>
      </c>
      <c r="M268" s="86">
        <f t="shared" si="75"/>
        <v>12.666173234471191</v>
      </c>
      <c r="N268" s="86">
        <f t="shared" si="75"/>
        <v>13.106247545518144</v>
      </c>
      <c r="O268" s="86"/>
      <c r="P268" s="86"/>
      <c r="Q268" s="86"/>
      <c r="R268" s="86"/>
      <c r="S268" s="86"/>
      <c r="T268" s="86"/>
      <c r="U268" s="86"/>
      <c r="V268" s="86"/>
      <c r="W268" s="86"/>
      <c r="Y268" s="35">
        <v>2</v>
      </c>
      <c r="Z268" s="34">
        <v>14</v>
      </c>
      <c r="AA268" s="34">
        <v>0.4592</v>
      </c>
      <c r="AB268" s="34">
        <v>0.98555000000000004</v>
      </c>
    </row>
    <row r="269" spans="1:28" x14ac:dyDescent="0.2">
      <c r="A269" s="39" t="s">
        <v>128</v>
      </c>
      <c r="B269" s="39" t="s">
        <v>155</v>
      </c>
      <c r="C269" s="6" t="s">
        <v>80</v>
      </c>
      <c r="D269" s="6">
        <v>10</v>
      </c>
      <c r="E269" s="6">
        <v>26</v>
      </c>
      <c r="F269" s="86">
        <f t="shared" si="76"/>
        <v>7.0507294479332439</v>
      </c>
      <c r="G269" s="86">
        <f t="shared" si="76"/>
        <v>7.1621390660324034</v>
      </c>
      <c r="H269" s="86"/>
      <c r="I269" s="86">
        <f>LN(I213)</f>
        <v>8.3483799846470745</v>
      </c>
      <c r="J269" s="86">
        <f t="shared" si="75"/>
        <v>9.4209793999296512</v>
      </c>
      <c r="K269" s="86">
        <f t="shared" si="75"/>
        <v>10.494140476161673</v>
      </c>
      <c r="L269" s="86">
        <f t="shared" si="75"/>
        <v>11.726853348833348</v>
      </c>
      <c r="M269" s="86">
        <f t="shared" si="75"/>
        <v>12.597393752741441</v>
      </c>
      <c r="N269" s="86">
        <f t="shared" si="75"/>
        <v>13.061593745074378</v>
      </c>
      <c r="O269" s="86"/>
      <c r="P269" s="86"/>
      <c r="Q269" s="86"/>
      <c r="R269" s="86"/>
      <c r="S269" s="86"/>
      <c r="T269" s="86"/>
      <c r="U269" s="86"/>
      <c r="V269" s="86"/>
      <c r="W269" s="86"/>
      <c r="Y269" s="35">
        <v>2</v>
      </c>
      <c r="Z269" s="34">
        <v>14</v>
      </c>
      <c r="AA269" s="34">
        <v>0.47120000000000001</v>
      </c>
      <c r="AB269" s="34">
        <v>0.98304000000000002</v>
      </c>
    </row>
    <row r="270" spans="1:28" x14ac:dyDescent="0.2">
      <c r="A270" s="39" t="s">
        <v>120</v>
      </c>
      <c r="B270" s="39" t="s">
        <v>156</v>
      </c>
      <c r="C270" s="6" t="s">
        <v>76</v>
      </c>
      <c r="D270" s="6">
        <v>10</v>
      </c>
      <c r="E270" s="6">
        <v>30</v>
      </c>
      <c r="F270" s="96">
        <f>LN(F214)</f>
        <v>7.1942003366465093</v>
      </c>
      <c r="G270" s="96">
        <f t="shared" ref="G270:R274" si="77">LN(G214)</f>
        <v>7.4698441966856688</v>
      </c>
      <c r="H270" s="96">
        <f t="shared" si="77"/>
        <v>7.1642046490028193</v>
      </c>
      <c r="I270" s="96"/>
      <c r="J270" s="96">
        <f t="shared" si="77"/>
        <v>6.9612960459101672</v>
      </c>
      <c r="K270" s="96">
        <f t="shared" si="77"/>
        <v>6.8610130164300056</v>
      </c>
      <c r="L270" s="96">
        <f t="shared" si="77"/>
        <v>7.3987862754199485</v>
      </c>
      <c r="M270" s="96"/>
      <c r="N270" s="96">
        <f t="shared" si="77"/>
        <v>7.3953122758087737</v>
      </c>
      <c r="O270" s="96">
        <f t="shared" si="77"/>
        <v>7.447557010984645</v>
      </c>
      <c r="P270" s="96"/>
      <c r="Q270" s="96">
        <f t="shared" si="77"/>
        <v>7.4868001417252712</v>
      </c>
      <c r="R270" s="96">
        <f t="shared" si="77"/>
        <v>7.0822686533282804</v>
      </c>
      <c r="S270" s="96"/>
      <c r="Y270" s="29">
        <v>4</v>
      </c>
      <c r="Z270" s="34">
        <v>22</v>
      </c>
      <c r="AA270" s="34">
        <v>2.9399999999999999E-2</v>
      </c>
      <c r="AB270" s="34">
        <v>0.52431000000000005</v>
      </c>
    </row>
    <row r="271" spans="1:28" x14ac:dyDescent="0.2">
      <c r="A271" s="39" t="s">
        <v>121</v>
      </c>
      <c r="B271" s="39" t="s">
        <v>156</v>
      </c>
      <c r="C271" s="6" t="s">
        <v>76</v>
      </c>
      <c r="D271" s="6">
        <v>10</v>
      </c>
      <c r="E271" s="6">
        <v>30</v>
      </c>
      <c r="F271" s="96">
        <f t="shared" ref="F271:L275" si="78">LN(F215)</f>
        <v>7.1942003366465093</v>
      </c>
      <c r="G271" s="96">
        <f t="shared" si="78"/>
        <v>7.3685499691425624</v>
      </c>
      <c r="H271" s="96">
        <f t="shared" si="78"/>
        <v>7.1667806421841131</v>
      </c>
      <c r="I271" s="96"/>
      <c r="J271" s="96">
        <f t="shared" si="78"/>
        <v>7.3698107383786979</v>
      </c>
      <c r="K271" s="96">
        <f t="shared" si="78"/>
        <v>6.9434441213906437</v>
      </c>
      <c r="L271" s="96">
        <f t="shared" si="78"/>
        <v>7.4535618716433731</v>
      </c>
      <c r="M271" s="96"/>
      <c r="N271" s="96">
        <f t="shared" si="77"/>
        <v>7.3438573565521912</v>
      </c>
      <c r="O271" s="96">
        <f t="shared" si="77"/>
        <v>7.2322513245566347</v>
      </c>
      <c r="P271" s="96"/>
      <c r="Q271" s="96">
        <f t="shared" si="77"/>
        <v>7.8276395463664219</v>
      </c>
      <c r="R271" s="96">
        <f t="shared" si="77"/>
        <v>7.1780368367537504</v>
      </c>
      <c r="S271" s="96"/>
      <c r="Y271" s="29">
        <v>4</v>
      </c>
      <c r="Z271" s="34">
        <v>22</v>
      </c>
      <c r="AA271" s="34">
        <v>2.75E-2</v>
      </c>
      <c r="AB271" s="34">
        <v>0.38693</v>
      </c>
    </row>
    <row r="272" spans="1:28" x14ac:dyDescent="0.2">
      <c r="A272" s="40" t="s">
        <v>122</v>
      </c>
      <c r="B272" s="40" t="s">
        <v>156</v>
      </c>
      <c r="C272" s="41" t="s">
        <v>76</v>
      </c>
      <c r="D272" s="41">
        <v>10</v>
      </c>
      <c r="E272" s="41">
        <v>30</v>
      </c>
      <c r="F272" s="96">
        <f t="shared" si="78"/>
        <v>7.1942003366465093</v>
      </c>
      <c r="G272" s="96">
        <f t="shared" si="78"/>
        <v>7.3746290152189449</v>
      </c>
      <c r="H272" s="96">
        <f t="shared" si="78"/>
        <v>7.2201299640242897</v>
      </c>
      <c r="I272" s="96"/>
      <c r="J272" s="96">
        <f t="shared" si="78"/>
        <v>7.1848818374944017</v>
      </c>
      <c r="K272" s="96">
        <f t="shared" si="78"/>
        <v>6.9769703480036105</v>
      </c>
      <c r="L272" s="96">
        <f t="shared" si="78"/>
        <v>7.2973168152550887</v>
      </c>
      <c r="M272" s="96"/>
      <c r="N272" s="96">
        <f t="shared" si="77"/>
        <v>7.4704140513881452</v>
      </c>
      <c r="O272" s="96">
        <f t="shared" si="77"/>
        <v>7.3552150271263077</v>
      </c>
      <c r="P272" s="96"/>
      <c r="Q272" s="96">
        <f t="shared" si="77"/>
        <v>8.0024710973711244</v>
      </c>
      <c r="R272" s="96">
        <f t="shared" si="77"/>
        <v>7.2122944685003407</v>
      </c>
      <c r="S272" s="96"/>
      <c r="Y272" s="29">
        <v>4</v>
      </c>
      <c r="Z272" s="34">
        <v>22</v>
      </c>
      <c r="AA272" s="34">
        <v>4.0899999999999999E-2</v>
      </c>
      <c r="AB272" s="34">
        <v>0.61600999999999995</v>
      </c>
    </row>
    <row r="273" spans="1:28" s="33" customFormat="1" x14ac:dyDescent="0.2">
      <c r="A273" s="36" t="s">
        <v>129</v>
      </c>
      <c r="B273" s="36" t="s">
        <v>157</v>
      </c>
      <c r="C273" s="31" t="s">
        <v>80</v>
      </c>
      <c r="D273" s="31">
        <v>10</v>
      </c>
      <c r="E273" s="31">
        <v>30</v>
      </c>
      <c r="F273" s="97">
        <f t="shared" si="78"/>
        <v>7.2114386451608583</v>
      </c>
      <c r="G273" s="97">
        <f t="shared" si="78"/>
        <v>7.5336937098486327</v>
      </c>
      <c r="H273" s="97">
        <f t="shared" si="78"/>
        <v>6.9682230257492268</v>
      </c>
      <c r="I273" s="97"/>
      <c r="J273" s="97">
        <f t="shared" si="78"/>
        <v>6.9960713600307045</v>
      </c>
      <c r="K273" s="97">
        <f t="shared" si="78"/>
        <v>6.5676096369946153</v>
      </c>
      <c r="L273" s="97">
        <f t="shared" si="78"/>
        <v>7.1260872732991247</v>
      </c>
      <c r="M273" s="97"/>
      <c r="N273" s="97">
        <f t="shared" si="77"/>
        <v>7.627382092346461</v>
      </c>
      <c r="O273" s="97">
        <f t="shared" si="77"/>
        <v>7.6501687008450006</v>
      </c>
      <c r="P273" s="97"/>
      <c r="Q273" s="97">
        <f t="shared" si="77"/>
        <v>7.5120712458354664</v>
      </c>
      <c r="R273" s="97">
        <f t="shared" si="77"/>
        <v>7.4977617006225685</v>
      </c>
      <c r="S273" s="97"/>
      <c r="T273" s="31"/>
      <c r="Y273" s="32">
        <v>10</v>
      </c>
      <c r="Z273" s="33">
        <v>22</v>
      </c>
      <c r="AA273" s="33">
        <v>7.7399999999999997E-2</v>
      </c>
      <c r="AB273" s="33">
        <v>0.64885999999999999</v>
      </c>
    </row>
    <row r="274" spans="1:28" s="33" customFormat="1" x14ac:dyDescent="0.2">
      <c r="A274" s="36" t="s">
        <v>130</v>
      </c>
      <c r="B274" s="36" t="s">
        <v>157</v>
      </c>
      <c r="C274" s="31" t="s">
        <v>80</v>
      </c>
      <c r="D274" s="31">
        <v>10</v>
      </c>
      <c r="E274" s="31">
        <v>30</v>
      </c>
      <c r="F274" s="97">
        <f t="shared" si="78"/>
        <v>7.2114386451608583</v>
      </c>
      <c r="G274" s="97">
        <f t="shared" si="78"/>
        <v>7.3375877435385961</v>
      </c>
      <c r="H274" s="97">
        <f t="shared" si="78"/>
        <v>7.0811482050317904</v>
      </c>
      <c r="I274" s="97"/>
      <c r="J274" s="97">
        <f t="shared" si="78"/>
        <v>6.8824374709978473</v>
      </c>
      <c r="K274" s="97">
        <f t="shared" si="78"/>
        <v>6.80128303447162</v>
      </c>
      <c r="L274" s="97">
        <f t="shared" si="78"/>
        <v>6.9492170687897312</v>
      </c>
      <c r="M274" s="97"/>
      <c r="N274" s="97">
        <f t="shared" si="77"/>
        <v>7.6195606413606161</v>
      </c>
      <c r="O274" s="97">
        <f t="shared" si="77"/>
        <v>7.562334866392824</v>
      </c>
      <c r="P274" s="97"/>
      <c r="Q274" s="97">
        <f t="shared" si="77"/>
        <v>7.5752427127615043</v>
      </c>
      <c r="R274" s="97">
        <f t="shared" si="77"/>
        <v>7.8754992924452081</v>
      </c>
      <c r="S274" s="97"/>
      <c r="T274" s="31"/>
      <c r="Y274" s="32">
        <v>10</v>
      </c>
      <c r="Z274" s="33">
        <v>22</v>
      </c>
      <c r="AA274" s="33">
        <v>7.2099999999999997E-2</v>
      </c>
      <c r="AB274" s="33">
        <v>0.76637</v>
      </c>
    </row>
    <row r="275" spans="1:28" s="33" customFormat="1" x14ac:dyDescent="0.2">
      <c r="A275" s="36" t="s">
        <v>131</v>
      </c>
      <c r="B275" s="36" t="s">
        <v>157</v>
      </c>
      <c r="C275" s="31" t="s">
        <v>80</v>
      </c>
      <c r="D275" s="31">
        <v>10</v>
      </c>
      <c r="E275" s="31">
        <v>30</v>
      </c>
      <c r="F275" s="97">
        <f t="shared" si="78"/>
        <v>7.2114386451608583</v>
      </c>
      <c r="G275" s="97">
        <f t="shared" si="78"/>
        <v>7.4301141385618008</v>
      </c>
      <c r="H275" s="97">
        <f t="shared" si="78"/>
        <v>7.134890851565884</v>
      </c>
      <c r="I275" s="97"/>
      <c r="J275" s="97">
        <f t="shared" si="78"/>
        <v>7.0434509944360366</v>
      </c>
      <c r="K275" s="97">
        <f t="shared" si="78"/>
        <v>7.2288721275201553</v>
      </c>
      <c r="L275" s="97">
        <f t="shared" si="78"/>
        <v>7.3107729501138223</v>
      </c>
      <c r="M275" s="97"/>
      <c r="N275" s="97">
        <f t="shared" ref="N275:R275" si="79">LN(N219)</f>
        <v>7.5750716995075607</v>
      </c>
      <c r="O275" s="97">
        <f t="shared" si="79"/>
        <v>7.6473088323562379</v>
      </c>
      <c r="P275" s="97"/>
      <c r="Q275" s="97">
        <f t="shared" si="79"/>
        <v>7.6399629034426768</v>
      </c>
      <c r="R275" s="97">
        <f t="shared" si="79"/>
        <v>7.8410997654221193</v>
      </c>
      <c r="S275" s="97"/>
      <c r="T275" s="31"/>
      <c r="Y275" s="32">
        <v>10</v>
      </c>
      <c r="Z275" s="33">
        <v>22</v>
      </c>
      <c r="AA275" s="33">
        <v>3.8100000000000002E-2</v>
      </c>
      <c r="AB275" s="33">
        <v>0.85990999999999995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raw_cellden</vt:lpstr>
      <vt:lpstr>spgrowth_r</vt:lpstr>
      <vt:lpstr>pH</vt:lpstr>
      <vt:lpstr>vol</vt:lpstr>
      <vt:lpstr>spgrowth_calc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2019-07-15T15:26:37Z</dcterms:created>
  <dcterms:modified xsi:type="dcterms:W3CDTF">2020-01-20T18:53:56Z</dcterms:modified>
</cp:coreProperties>
</file>