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hiny App\Aging Error\"/>
    </mc:Choice>
  </mc:AlternateContent>
  <xr:revisionPtr revIDLastSave="0" documentId="13_ncr:1_{DB8EE92A-D644-4536-8EFC-21D9FCB541C7}" xr6:coauthVersionLast="40" xr6:coauthVersionMax="40" xr10:uidLastSave="{00000000-0000-0000-0000-000000000000}"/>
  <bookViews>
    <workbookView xWindow="-26565" yWindow="345" windowWidth="24765" windowHeight="17490" tabRatio="660" xr2:uid="{00000000-000D-0000-FFFF-FFFF00000000}"/>
  </bookViews>
  <sheets>
    <sheet name="Data brood" sheetId="9" r:id="rId1"/>
    <sheet name="DW" sheetId="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123Graph_A" hidden="1">#REF!</definedName>
    <definedName name="__123Graph_AD11CU95" hidden="1">[1]CATCH01T!$V$44:$V$59</definedName>
    <definedName name="__123Graph_AD11WK95" hidden="1">[1]CATCH01T!$U$44:$U$59</definedName>
    <definedName name="__123Graph_AFIG2" hidden="1">[2]Harvest!$K$8:$K$43</definedName>
    <definedName name="__123Graph_AFIG2A" hidden="1">#REF!</definedName>
    <definedName name="__123Graph_AHISPUACT.CGM" hidden="1">[3]Notes!$P$7:$P$30</definedName>
    <definedName name="__123Graph_AHISPUHAR.CGM" hidden="1">[3]Notes!$I$7:$I$30</definedName>
    <definedName name="__123Graph_AHISPUPMT.CGM" hidden="1">[3]Notes!$P$7:$P$30</definedName>
    <definedName name="__123Graph_APSC93" hidden="1">[1]CATCH01T!$Q$10:$Q$25</definedName>
    <definedName name="__123Graph_APSCTRSK" hidden="1">[1]CATCH01T!$S$10:$S$29</definedName>
    <definedName name="__123Graph_ASOCO93" hidden="1">[1]CATCH01T!$S$10:$S$25</definedName>
    <definedName name="__123Graph_ATRCOWK94" hidden="1">[1]CATCH01T!$AJ$10:$AJ$29</definedName>
    <definedName name="__123Graph_ATRSKCU95" hidden="1">[1]CATCH01T!$T$10:$T$25</definedName>
    <definedName name="__123Graph_ATRSKWK95" hidden="1">[1]CATCH01T!$S$10:$S$29</definedName>
    <definedName name="__123Graph_B" hidden="1">[3]Notes!$F$7:$F$32</definedName>
    <definedName name="__123Graph_BD11CU95" hidden="1">[1]CATCH01T!$X$44:$X$59</definedName>
    <definedName name="__123Graph_BD11WK95" hidden="1">[1]CATCH01T!$W$44:$W$59</definedName>
    <definedName name="__123Graph_BHISPUPMT.CGM" hidden="1">[3]Notes!$F$7:$F$30</definedName>
    <definedName name="__123Graph_BPSC93" hidden="1">[1]CATCH01T!$S$10:$S$25</definedName>
    <definedName name="__123Graph_BPSCTRSK" hidden="1">[1]CATCH01T!$U$10:$U$29</definedName>
    <definedName name="__123Graph_BSOCO93" hidden="1">[1]CATCH01T!$U$10:$U$25</definedName>
    <definedName name="__123Graph_BTRCOWK94" hidden="1">[1]CATCH01T!$AK$10:$AK$29</definedName>
    <definedName name="__123Graph_BTRSKCU95" hidden="1">[1]CATCH01T!$Y$10:$Y$25</definedName>
    <definedName name="__123Graph_BTRSKWK95" hidden="1">[1]CATCH01T!$U$10:$U$29</definedName>
    <definedName name="__123Graph_C" hidden="1">[3]Notes!$Q$7:$Q$32</definedName>
    <definedName name="__123Graph_CHISPUPMT.CGM" hidden="1">[3]Notes!$Q$7:$Q$30</definedName>
    <definedName name="__123Graph_CPSC93" hidden="1">[1]CATCH01T!$U$10:$U$25</definedName>
    <definedName name="__123Graph_CPSCTRSK" hidden="1">[1]CATCH01T!$G$10:$G$29</definedName>
    <definedName name="__123Graph_CSOCO93" hidden="1">[1]CATCH01T!$AH$10:$AH$25</definedName>
    <definedName name="__123Graph_CTRCOWK94" hidden="1">[1]CATCH01T!$AI$10:$AI$29</definedName>
    <definedName name="__123Graph_D" hidden="1">[1]CATCH01T!$O$10:$O$29</definedName>
    <definedName name="__123Graph_DPSCTRSK" hidden="1">[1]CATCH01T!$C$10:$C$29</definedName>
    <definedName name="__123Graph_DSOCO93" hidden="1">[1]CATCH01T!$AI$10:$AI$25</definedName>
    <definedName name="__123Graph_DTRCOWK94" hidden="1">[1]CATCH01T!$O$10:$O$29</definedName>
    <definedName name="__123Graph_ESOCO93" hidden="1">[1]CATCH01T!$AG$10:$AG$25</definedName>
    <definedName name="__123Graph_X" hidden="1">[2]Harvest!$A$8:$A$41</definedName>
    <definedName name="__123Graph_XD11CU95" hidden="1">[1]CATCH01T!$M$44:$M$59</definedName>
    <definedName name="__123Graph_XD11WK95" hidden="1">[1]CATCH01T!$M$44:$M$59</definedName>
    <definedName name="__123Graph_XFIG2" hidden="1">[2]Harvest!$A$8:$A$41</definedName>
    <definedName name="__123Graph_XFIG2A" hidden="1">[2]Harvest!$A$8:$A$41</definedName>
    <definedName name="__123Graph_XHISPUACT.CGM" hidden="1">[3]Notes!$A$7:$A$30</definedName>
    <definedName name="__123Graph_XHISPUHAR.CGM" hidden="1">[3]Notes!$A$7:$A$30</definedName>
    <definedName name="__123Graph_XHISPUPMT.CGM" hidden="1">[3]Notes!$A$7:$A$30</definedName>
    <definedName name="__123Graph_XPSC93" hidden="1">[1]CATCH01T!$M$10:$M$25</definedName>
    <definedName name="__123Graph_XPSCTRSK" hidden="1">[1]CATCH01T!$M$10:$M$29</definedName>
    <definedName name="__123Graph_XSOCO93" hidden="1">[1]CATCH01T!$M$10:$M$25</definedName>
    <definedName name="__123Graph_XTRCOWK94" hidden="1">[1]CATCH01T!$M$10:$M$29</definedName>
    <definedName name="__123Graph_XTRSKCU95" hidden="1">[1]CATCH01T!$M$10:$M$25</definedName>
    <definedName name="__123Graph_XTRSKWK95" hidden="1">[1]CATCH01T!$M$10:$M$29</definedName>
    <definedName name="_Fill" hidden="1">[3]EffTb1!$A$8:$A$34</definedName>
    <definedName name="_Key1" hidden="1">[4]RADIOSN!#REF!</definedName>
    <definedName name="_Order1" hidden="1">255</definedName>
    <definedName name="_Regression_Out" hidden="1">[1]CATCH01T!#REF!</definedName>
    <definedName name="_Regression_X" hidden="1">[1]CATCH01T!$AO$11:$AO$21</definedName>
    <definedName name="_Regression_Y" hidden="1">[1]CATCH01T!$AK$11:$AK$21</definedName>
    <definedName name="PopSumm" localSheetId="1">[5]Data!$A$6:$N$29</definedName>
    <definedName name="solver_adj" localSheetId="0" hidden="1">'Data brood'!#REF!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'Data brood'!#REF!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42" i="9" l="1"/>
  <c r="BI42" i="9"/>
  <c r="BJ42" i="9"/>
  <c r="BK42" i="9"/>
  <c r="BL42" i="9"/>
  <c r="BH42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6" i="9"/>
  <c r="BI7" i="9"/>
  <c r="BJ7" i="9"/>
  <c r="BK7" i="9"/>
  <c r="BI8" i="9"/>
  <c r="BJ8" i="9"/>
  <c r="BK8" i="9"/>
  <c r="BI9" i="9"/>
  <c r="BJ9" i="9"/>
  <c r="BK9" i="9"/>
  <c r="BI10" i="9"/>
  <c r="BJ10" i="9"/>
  <c r="BK10" i="9"/>
  <c r="BI11" i="9"/>
  <c r="BJ11" i="9"/>
  <c r="BK11" i="9"/>
  <c r="BI12" i="9"/>
  <c r="BJ12" i="9"/>
  <c r="BK12" i="9"/>
  <c r="BI13" i="9"/>
  <c r="BJ13" i="9"/>
  <c r="BK13" i="9"/>
  <c r="BI14" i="9"/>
  <c r="BJ14" i="9"/>
  <c r="BK14" i="9"/>
  <c r="BI15" i="9"/>
  <c r="BJ15" i="9"/>
  <c r="BK15" i="9"/>
  <c r="BI16" i="9"/>
  <c r="BJ16" i="9"/>
  <c r="BK16" i="9"/>
  <c r="BI17" i="9"/>
  <c r="BJ17" i="9"/>
  <c r="BK17" i="9"/>
  <c r="BI18" i="9"/>
  <c r="BJ18" i="9"/>
  <c r="BK18" i="9"/>
  <c r="BI19" i="9"/>
  <c r="BJ19" i="9"/>
  <c r="BK19" i="9"/>
  <c r="BI20" i="9"/>
  <c r="BJ20" i="9"/>
  <c r="BK20" i="9"/>
  <c r="BI21" i="9"/>
  <c r="BJ21" i="9"/>
  <c r="BK21" i="9"/>
  <c r="BI22" i="9"/>
  <c r="BJ22" i="9"/>
  <c r="BK22" i="9"/>
  <c r="BI23" i="9"/>
  <c r="BJ23" i="9"/>
  <c r="BK23" i="9"/>
  <c r="BI24" i="9"/>
  <c r="BJ24" i="9"/>
  <c r="BK24" i="9"/>
  <c r="BI25" i="9"/>
  <c r="BJ25" i="9"/>
  <c r="BK25" i="9"/>
  <c r="BI26" i="9"/>
  <c r="BJ26" i="9"/>
  <c r="BK26" i="9"/>
  <c r="BI27" i="9"/>
  <c r="BJ27" i="9"/>
  <c r="BK27" i="9"/>
  <c r="BI28" i="9"/>
  <c r="BJ28" i="9"/>
  <c r="BK28" i="9"/>
  <c r="BI29" i="9"/>
  <c r="BJ29" i="9"/>
  <c r="BK29" i="9"/>
  <c r="BI30" i="9"/>
  <c r="BJ30" i="9"/>
  <c r="BK30" i="9"/>
  <c r="BI31" i="9"/>
  <c r="BJ31" i="9"/>
  <c r="BK31" i="9"/>
  <c r="BI32" i="9"/>
  <c r="BJ32" i="9"/>
  <c r="BK32" i="9"/>
  <c r="BI33" i="9"/>
  <c r="BJ33" i="9"/>
  <c r="BK33" i="9"/>
  <c r="BI34" i="9"/>
  <c r="BJ34" i="9"/>
  <c r="BK34" i="9"/>
  <c r="BI35" i="9"/>
  <c r="BJ35" i="9"/>
  <c r="BK35" i="9"/>
  <c r="BI36" i="9"/>
  <c r="BJ36" i="9"/>
  <c r="BK36" i="9"/>
  <c r="BI37" i="9"/>
  <c r="BJ37" i="9"/>
  <c r="BK37" i="9"/>
  <c r="BI38" i="9"/>
  <c r="BJ38" i="9"/>
  <c r="BK38" i="9"/>
  <c r="BI39" i="9"/>
  <c r="BJ39" i="9"/>
  <c r="BK39" i="9"/>
  <c r="BI40" i="9"/>
  <c r="BJ40" i="9"/>
  <c r="BK40" i="9"/>
  <c r="BI41" i="9"/>
  <c r="BJ41" i="9"/>
  <c r="BK41" i="9"/>
  <c r="BI6" i="9"/>
  <c r="BJ6" i="9"/>
  <c r="BK6" i="9"/>
  <c r="BB6" i="9"/>
  <c r="AN60" i="9" l="1"/>
  <c r="AK60" i="9"/>
  <c r="AK46" i="9" s="1"/>
  <c r="AK44" i="9"/>
  <c r="AL44" i="9"/>
  <c r="AM44" i="9"/>
  <c r="AN44" i="9"/>
  <c r="AO44" i="9"/>
  <c r="AO45" i="9"/>
  <c r="AN45" i="9"/>
  <c r="AM45" i="9"/>
  <c r="AL45" i="9"/>
  <c r="AK45" i="9"/>
  <c r="AL43" i="9"/>
  <c r="AK61" i="9"/>
  <c r="AU44" i="9"/>
  <c r="AU45" i="9"/>
  <c r="AU46" i="9"/>
  <c r="AT47" i="9"/>
  <c r="AA46" i="9"/>
  <c r="AA47" i="9"/>
  <c r="AA48" i="9"/>
  <c r="P46" i="9"/>
  <c r="AT46" i="9" s="1"/>
  <c r="P47" i="9"/>
  <c r="P48" i="9"/>
  <c r="AT48" i="9" s="1"/>
  <c r="G46" i="9"/>
  <c r="K46" i="9" s="1"/>
  <c r="G47" i="9"/>
  <c r="K47" i="9" s="1"/>
  <c r="G48" i="9"/>
  <c r="K48" i="9" s="1"/>
  <c r="G45" i="9"/>
  <c r="K45" i="9" s="1"/>
  <c r="H45" i="9" l="1"/>
  <c r="AU39" i="9" l="1"/>
  <c r="AU40" i="9"/>
  <c r="AU41" i="9"/>
  <c r="AU42" i="9"/>
  <c r="AU43" i="9"/>
  <c r="AN42" i="9"/>
  <c r="W42" i="9" s="1"/>
  <c r="AY36" i="9" s="1"/>
  <c r="AA42" i="9"/>
  <c r="AK42" i="9" s="1"/>
  <c r="AA43" i="9"/>
  <c r="AM43" i="9" s="1"/>
  <c r="AA44" i="9"/>
  <c r="AA45" i="9"/>
  <c r="AA41" i="9"/>
  <c r="AO41" i="9" s="1"/>
  <c r="AL40" i="9"/>
  <c r="AM40" i="9"/>
  <c r="AN40" i="9"/>
  <c r="AO40" i="9"/>
  <c r="AK40" i="9"/>
  <c r="AK39" i="9"/>
  <c r="AL39" i="9"/>
  <c r="AM39" i="9"/>
  <c r="AN39" i="9"/>
  <c r="AO39" i="9"/>
  <c r="G41" i="9"/>
  <c r="G42" i="9"/>
  <c r="K42" i="9" s="1"/>
  <c r="H42" i="9" s="1"/>
  <c r="G43" i="9"/>
  <c r="K43" i="9" s="1"/>
  <c r="H43" i="9" s="1"/>
  <c r="G44" i="9"/>
  <c r="K44" i="9" s="1"/>
  <c r="H44" i="9" s="1"/>
  <c r="O45" i="9"/>
  <c r="P45" i="9"/>
  <c r="AT45" i="9" s="1"/>
  <c r="O44" i="9"/>
  <c r="P44" i="9"/>
  <c r="AT44" i="9" s="1"/>
  <c r="O43" i="9"/>
  <c r="P43" i="9"/>
  <c r="AT43" i="9" s="1"/>
  <c r="O42" i="9"/>
  <c r="P42" i="9"/>
  <c r="O41" i="9"/>
  <c r="P41" i="9"/>
  <c r="AT42" i="9" l="1"/>
  <c r="BE42" i="9"/>
  <c r="AT41" i="9"/>
  <c r="BE41" i="9"/>
  <c r="U43" i="9"/>
  <c r="AW39" i="9" s="1"/>
  <c r="V43" i="9"/>
  <c r="AX38" i="9" s="1"/>
  <c r="AK43" i="9"/>
  <c r="T43" i="9" s="1"/>
  <c r="AO42" i="9"/>
  <c r="X42" i="9" s="1"/>
  <c r="AZ35" i="9" s="1"/>
  <c r="T42" i="9"/>
  <c r="AM41" i="9"/>
  <c r="AL41" i="9"/>
  <c r="AM42" i="9"/>
  <c r="V42" i="9" s="1"/>
  <c r="AX37" i="9" s="1"/>
  <c r="AO43" i="9"/>
  <c r="AL42" i="9"/>
  <c r="AN41" i="9"/>
  <c r="AK41" i="9"/>
  <c r="AN43" i="9"/>
  <c r="W43" i="9" s="1"/>
  <c r="AY37" i="9" s="1"/>
  <c r="K41" i="9"/>
  <c r="H41" i="9" s="1"/>
  <c r="AK48" i="9" l="1"/>
  <c r="AK47" i="9"/>
  <c r="AV39" i="9"/>
  <c r="AV40" i="9"/>
  <c r="AQ41" i="9"/>
  <c r="AQ42" i="9"/>
  <c r="AQ43" i="9"/>
  <c r="U41" i="9"/>
  <c r="AW37" i="9" s="1"/>
  <c r="V41" i="9"/>
  <c r="AX36" i="9" s="1"/>
  <c r="T41" i="9"/>
  <c r="U42" i="9"/>
  <c r="AW38" i="9" s="1"/>
  <c r="T45" i="9"/>
  <c r="X43" i="9"/>
  <c r="AZ36" i="9" s="1"/>
  <c r="W41" i="9"/>
  <c r="AY35" i="9" s="1"/>
  <c r="X41" i="9"/>
  <c r="AZ34" i="9" s="1"/>
  <c r="T44" i="9"/>
  <c r="Z43" i="9" l="1"/>
  <c r="AV38" i="9"/>
  <c r="Z41" i="9"/>
  <c r="AV41" i="9"/>
  <c r="T48" i="9"/>
  <c r="AV42" i="9"/>
  <c r="Z42" i="9"/>
  <c r="T47" i="9"/>
  <c r="AV44" i="9" s="1"/>
  <c r="T46" i="9"/>
  <c r="BA32" i="9"/>
  <c r="AU38" i="9"/>
  <c r="Q38" i="9"/>
  <c r="Q39" i="9"/>
  <c r="Q40" i="9"/>
  <c r="O40" i="9"/>
  <c r="P40" i="9"/>
  <c r="F39" i="9"/>
  <c r="AV45" i="9" l="1"/>
  <c r="AT40" i="9"/>
  <c r="BE40" i="9"/>
  <c r="AV43" i="9"/>
  <c r="AQ40" i="9"/>
  <c r="G40" i="9" l="1"/>
  <c r="P39" i="9"/>
  <c r="O39" i="9"/>
  <c r="G39" i="9"/>
  <c r="AO38" i="9"/>
  <c r="AN38" i="9"/>
  <c r="AM38" i="9"/>
  <c r="P38" i="9"/>
  <c r="O38" i="9"/>
  <c r="G38" i="9"/>
  <c r="K38" i="9" s="1"/>
  <c r="S39" i="9" s="1"/>
  <c r="F38" i="9"/>
  <c r="AS37" i="9"/>
  <c r="AP37" i="9"/>
  <c r="AO37" i="9"/>
  <c r="AN37" i="9"/>
  <c r="AM37" i="9"/>
  <c r="AL37" i="9"/>
  <c r="AJ37" i="9"/>
  <c r="Q37" i="9"/>
  <c r="P37" i="9"/>
  <c r="O37" i="9"/>
  <c r="N37" i="9"/>
  <c r="G37" i="9"/>
  <c r="K37" i="9" s="1"/>
  <c r="F37" i="9"/>
  <c r="AS36" i="9"/>
  <c r="AQ36" i="9"/>
  <c r="AF36" i="9" s="1"/>
  <c r="Q36" i="9"/>
  <c r="P36" i="9"/>
  <c r="O36" i="9"/>
  <c r="N36" i="9"/>
  <c r="G36" i="9"/>
  <c r="K36" i="9" s="1"/>
  <c r="F36" i="9"/>
  <c r="AS35" i="9"/>
  <c r="AQ35" i="9"/>
  <c r="AG35" i="9" s="1"/>
  <c r="Q35" i="9"/>
  <c r="P35" i="9"/>
  <c r="O35" i="9"/>
  <c r="N35" i="9"/>
  <c r="G35" i="9"/>
  <c r="K35" i="9" s="1"/>
  <c r="X35" i="9" s="1"/>
  <c r="F35" i="9"/>
  <c r="AS34" i="9"/>
  <c r="AQ34" i="9"/>
  <c r="AG34" i="9" s="1"/>
  <c r="Q34" i="9"/>
  <c r="P34" i="9"/>
  <c r="O34" i="9"/>
  <c r="N34" i="9"/>
  <c r="G34" i="9"/>
  <c r="F34" i="9"/>
  <c r="AS33" i="9"/>
  <c r="AQ33" i="9"/>
  <c r="AG33" i="9" s="1"/>
  <c r="Q33" i="9"/>
  <c r="P33" i="9"/>
  <c r="O33" i="9"/>
  <c r="N33" i="9"/>
  <c r="G33" i="9"/>
  <c r="F33" i="9"/>
  <c r="AS32" i="9"/>
  <c r="AQ32" i="9"/>
  <c r="AG32" i="9" s="1"/>
  <c r="Q32" i="9"/>
  <c r="P32" i="9"/>
  <c r="BE32" i="9" s="1"/>
  <c r="O32" i="9"/>
  <c r="N32" i="9"/>
  <c r="G32" i="9"/>
  <c r="F32" i="9"/>
  <c r="AS31" i="9"/>
  <c r="AQ31" i="9"/>
  <c r="AG31" i="9" s="1"/>
  <c r="Q31" i="9"/>
  <c r="P31" i="9"/>
  <c r="BE31" i="9" s="1"/>
  <c r="O31" i="9"/>
  <c r="N31" i="9"/>
  <c r="G31" i="9"/>
  <c r="K31" i="9" s="1"/>
  <c r="S32" i="9" s="1"/>
  <c r="AS30" i="9"/>
  <c r="AQ30" i="9"/>
  <c r="AG30" i="9" s="1"/>
  <c r="Q30" i="9"/>
  <c r="P30" i="9"/>
  <c r="BE30" i="9" s="1"/>
  <c r="O30" i="9"/>
  <c r="N30" i="9"/>
  <c r="G30" i="9"/>
  <c r="AS29" i="9"/>
  <c r="AQ29" i="9"/>
  <c r="AF29" i="9" s="1"/>
  <c r="Q29" i="9"/>
  <c r="P29" i="9"/>
  <c r="AT29" i="9" s="1"/>
  <c r="O29" i="9"/>
  <c r="N29" i="9"/>
  <c r="G29" i="9"/>
  <c r="K29" i="9" s="1"/>
  <c r="AU28" i="9"/>
  <c r="AS28" i="9"/>
  <c r="AG28" i="9"/>
  <c r="AF28" i="9"/>
  <c r="AE28" i="9"/>
  <c r="AD28" i="9"/>
  <c r="AC28" i="9"/>
  <c r="P28" i="9"/>
  <c r="BE28" i="9" s="1"/>
  <c r="O28" i="9"/>
  <c r="N28" i="9"/>
  <c r="J28" i="9"/>
  <c r="Q28" i="9" s="1"/>
  <c r="G28" i="9"/>
  <c r="K28" i="9" s="1"/>
  <c r="V28" i="9" s="1"/>
  <c r="AU27" i="9"/>
  <c r="AS27" i="9"/>
  <c r="AG27" i="9"/>
  <c r="AF27" i="9"/>
  <c r="AE27" i="9"/>
  <c r="AD27" i="9"/>
  <c r="AC27" i="9"/>
  <c r="Q27" i="9"/>
  <c r="P27" i="9"/>
  <c r="AT27" i="9" s="1"/>
  <c r="O27" i="9"/>
  <c r="N27" i="9"/>
  <c r="G27" i="9"/>
  <c r="K27" i="9" s="1"/>
  <c r="U27" i="9" s="1"/>
  <c r="AU26" i="9"/>
  <c r="AS26" i="9"/>
  <c r="AG26" i="9"/>
  <c r="AF26" i="9"/>
  <c r="AE26" i="9"/>
  <c r="AD26" i="9"/>
  <c r="AC26" i="9"/>
  <c r="Q26" i="9"/>
  <c r="P26" i="9"/>
  <c r="AT26" i="9" s="1"/>
  <c r="O26" i="9"/>
  <c r="N26" i="9"/>
  <c r="G26" i="9"/>
  <c r="K26" i="9" s="1"/>
  <c r="W26" i="9" s="1"/>
  <c r="AU25" i="9"/>
  <c r="AS25" i="9"/>
  <c r="AG25" i="9"/>
  <c r="AF25" i="9"/>
  <c r="AE25" i="9"/>
  <c r="AD25" i="9"/>
  <c r="AC25" i="9"/>
  <c r="Q25" i="9"/>
  <c r="P25" i="9"/>
  <c r="AT25" i="9" s="1"/>
  <c r="O25" i="9"/>
  <c r="N25" i="9"/>
  <c r="G25" i="9"/>
  <c r="K25" i="9" s="1"/>
  <c r="Y25" i="9" s="1"/>
  <c r="AU24" i="9"/>
  <c r="AS24" i="9"/>
  <c r="AG24" i="9"/>
  <c r="AF24" i="9"/>
  <c r="AE24" i="9"/>
  <c r="AD24" i="9"/>
  <c r="AC24" i="9"/>
  <c r="Q24" i="9"/>
  <c r="P24" i="9"/>
  <c r="BE24" i="9" s="1"/>
  <c r="O24" i="9"/>
  <c r="N24" i="9"/>
  <c r="G24" i="9"/>
  <c r="K24" i="9" s="1"/>
  <c r="AU23" i="9"/>
  <c r="AS23" i="9"/>
  <c r="AG23" i="9"/>
  <c r="AF23" i="9"/>
  <c r="AE23" i="9"/>
  <c r="AD23" i="9"/>
  <c r="AC23" i="9"/>
  <c r="Q23" i="9"/>
  <c r="P23" i="9"/>
  <c r="AT23" i="9" s="1"/>
  <c r="O23" i="9"/>
  <c r="N23" i="9"/>
  <c r="G23" i="9"/>
  <c r="K23" i="9" s="1"/>
  <c r="AU22" i="9"/>
  <c r="AS22" i="9"/>
  <c r="Q22" i="9"/>
  <c r="P22" i="9"/>
  <c r="AT22" i="9" s="1"/>
  <c r="O22" i="9"/>
  <c r="N22" i="9"/>
  <c r="G22" i="9"/>
  <c r="K22" i="9" s="1"/>
  <c r="AU21" i="9"/>
  <c r="AS21" i="9"/>
  <c r="Q21" i="9"/>
  <c r="P21" i="9"/>
  <c r="AT21" i="9" s="1"/>
  <c r="O21" i="9"/>
  <c r="N21" i="9"/>
  <c r="G21" i="9"/>
  <c r="K21" i="9" s="1"/>
  <c r="H21" i="9" s="1"/>
  <c r="AU20" i="9"/>
  <c r="AS20" i="9"/>
  <c r="Q20" i="9"/>
  <c r="P20" i="9"/>
  <c r="AT20" i="9" s="1"/>
  <c r="O20" i="9"/>
  <c r="N20" i="9"/>
  <c r="G20" i="9"/>
  <c r="K20" i="9" s="1"/>
  <c r="AU19" i="9"/>
  <c r="AS19" i="9"/>
  <c r="Q19" i="9"/>
  <c r="P19" i="9"/>
  <c r="AT19" i="9" s="1"/>
  <c r="O19" i="9"/>
  <c r="N19" i="9"/>
  <c r="G19" i="9"/>
  <c r="AU18" i="9"/>
  <c r="AS18" i="9"/>
  <c r="Q18" i="9"/>
  <c r="P18" i="9"/>
  <c r="BE18" i="9" s="1"/>
  <c r="O18" i="9"/>
  <c r="N18" i="9"/>
  <c r="G18" i="9"/>
  <c r="K18" i="9" s="1"/>
  <c r="AU17" i="9"/>
  <c r="AS17" i="9"/>
  <c r="Q17" i="9"/>
  <c r="P17" i="9"/>
  <c r="AT17" i="9" s="1"/>
  <c r="O17" i="9"/>
  <c r="N17" i="9"/>
  <c r="G17" i="9"/>
  <c r="AU16" i="9"/>
  <c r="AS16" i="9"/>
  <c r="Q16" i="9"/>
  <c r="P16" i="9"/>
  <c r="AT16" i="9" s="1"/>
  <c r="O16" i="9"/>
  <c r="N16" i="9"/>
  <c r="G16" i="9"/>
  <c r="K16" i="9" s="1"/>
  <c r="H16" i="9" s="1"/>
  <c r="AU15" i="9"/>
  <c r="AS15" i="9"/>
  <c r="Q15" i="9"/>
  <c r="P15" i="9"/>
  <c r="AT15" i="9" s="1"/>
  <c r="O15" i="9"/>
  <c r="N15" i="9"/>
  <c r="G15" i="9"/>
  <c r="K15" i="9" s="1"/>
  <c r="AU14" i="9"/>
  <c r="AS14" i="9"/>
  <c r="Q14" i="9"/>
  <c r="P14" i="9"/>
  <c r="BE14" i="9" s="1"/>
  <c r="O14" i="9"/>
  <c r="N14" i="9"/>
  <c r="G14" i="9"/>
  <c r="K14" i="9" s="1"/>
  <c r="AU13" i="9"/>
  <c r="AS13" i="9"/>
  <c r="Q13" i="9"/>
  <c r="P13" i="9"/>
  <c r="AT13" i="9" s="1"/>
  <c r="O13" i="9"/>
  <c r="N13" i="9"/>
  <c r="G13" i="9"/>
  <c r="AU12" i="9"/>
  <c r="AS12" i="9"/>
  <c r="Q12" i="9"/>
  <c r="P12" i="9"/>
  <c r="AT12" i="9" s="1"/>
  <c r="O12" i="9"/>
  <c r="N12" i="9"/>
  <c r="G12" i="9"/>
  <c r="K12" i="9" s="1"/>
  <c r="AU11" i="9"/>
  <c r="AS11" i="9"/>
  <c r="G11" i="9"/>
  <c r="K11" i="9" s="1"/>
  <c r="AU10" i="9"/>
  <c r="AS10" i="9"/>
  <c r="G10" i="9"/>
  <c r="K10" i="9" s="1"/>
  <c r="AU9" i="9"/>
  <c r="AS9" i="9"/>
  <c r="G9" i="9"/>
  <c r="K9" i="9" s="1"/>
  <c r="AU8" i="9"/>
  <c r="AS8" i="9"/>
  <c r="G8" i="9"/>
  <c r="K8" i="9" s="1"/>
  <c r="AU7" i="9"/>
  <c r="AS7" i="9"/>
  <c r="G7" i="9"/>
  <c r="K7" i="9" s="1"/>
  <c r="AU6" i="9"/>
  <c r="AS6" i="9"/>
  <c r="G6" i="9"/>
  <c r="K6" i="9" s="1"/>
  <c r="Z5" i="9"/>
  <c r="AL61" i="9" l="1"/>
  <c r="AL60" i="9"/>
  <c r="AM61" i="9"/>
  <c r="AM60" i="9"/>
  <c r="AN61" i="9"/>
  <c r="AO60" i="9"/>
  <c r="AO61" i="9"/>
  <c r="AC29" i="9"/>
  <c r="AF35" i="9"/>
  <c r="AG36" i="9"/>
  <c r="BE38" i="9"/>
  <c r="AT38" i="9"/>
  <c r="BE34" i="9"/>
  <c r="AT34" i="9"/>
  <c r="BE35" i="9"/>
  <c r="AT35" i="9"/>
  <c r="BE39" i="9"/>
  <c r="AT39" i="9"/>
  <c r="BE36" i="9"/>
  <c r="AT36" i="9"/>
  <c r="BE37" i="9"/>
  <c r="AT37" i="9"/>
  <c r="R22" i="9"/>
  <c r="AD30" i="9"/>
  <c r="Y37" i="9"/>
  <c r="BA30" i="9" s="1"/>
  <c r="R15" i="9"/>
  <c r="H31" i="9"/>
  <c r="R14" i="9"/>
  <c r="R29" i="9"/>
  <c r="H12" i="9"/>
  <c r="Y24" i="9"/>
  <c r="U24" i="9"/>
  <c r="T25" i="9"/>
  <c r="T31" i="9"/>
  <c r="AT14" i="9"/>
  <c r="U25" i="9"/>
  <c r="AD31" i="9"/>
  <c r="H35" i="9"/>
  <c r="AD36" i="9"/>
  <c r="R17" i="9"/>
  <c r="R13" i="9"/>
  <c r="R18" i="9"/>
  <c r="AD33" i="9"/>
  <c r="H24" i="9"/>
  <c r="Y28" i="9"/>
  <c r="R20" i="9"/>
  <c r="R28" i="9"/>
  <c r="R31" i="9"/>
  <c r="AE35" i="9"/>
  <c r="H8" i="9"/>
  <c r="AT18" i="9"/>
  <c r="BE19" i="9"/>
  <c r="BE21" i="9"/>
  <c r="V24" i="9"/>
  <c r="AX19" i="9" s="1"/>
  <c r="H28" i="9"/>
  <c r="AD29" i="9"/>
  <c r="V38" i="9"/>
  <c r="AX33" i="9" s="1"/>
  <c r="R19" i="9"/>
  <c r="R25" i="9"/>
  <c r="AG29" i="9"/>
  <c r="X31" i="9"/>
  <c r="AD34" i="9"/>
  <c r="AC36" i="9"/>
  <c r="H9" i="9"/>
  <c r="R21" i="9"/>
  <c r="R30" i="9"/>
  <c r="R12" i="9"/>
  <c r="BE15" i="9"/>
  <c r="R16" i="9"/>
  <c r="BE25" i="9"/>
  <c r="V26" i="9"/>
  <c r="U35" i="9"/>
  <c r="K40" i="9"/>
  <c r="H40" i="9" s="1"/>
  <c r="H15" i="9"/>
  <c r="R26" i="9"/>
  <c r="AQ39" i="9"/>
  <c r="K19" i="9"/>
  <c r="R23" i="9"/>
  <c r="BE23" i="9"/>
  <c r="H25" i="9"/>
  <c r="T27" i="9"/>
  <c r="Y35" i="9"/>
  <c r="BA28" i="9" s="1"/>
  <c r="H22" i="9"/>
  <c r="AQ38" i="9"/>
  <c r="AE38" i="9" s="1"/>
  <c r="BE22" i="9"/>
  <c r="H26" i="9"/>
  <c r="BE27" i="9"/>
  <c r="AD32" i="9"/>
  <c r="BE33" i="9"/>
  <c r="AT33" i="9"/>
  <c r="AD35" i="9"/>
  <c r="K39" i="9"/>
  <c r="H7" i="9"/>
  <c r="H11" i="9"/>
  <c r="O11" i="9"/>
  <c r="P11" i="9"/>
  <c r="Y26" i="9"/>
  <c r="U26" i="9"/>
  <c r="X26" i="9"/>
  <c r="AZ19" i="9" s="1"/>
  <c r="T26" i="9"/>
  <c r="W27" i="9"/>
  <c r="V27" i="9"/>
  <c r="X28" i="9"/>
  <c r="T28" i="9"/>
  <c r="W28" i="9"/>
  <c r="H6" i="9"/>
  <c r="H10" i="9"/>
  <c r="K13" i="9"/>
  <c r="BE13" i="9"/>
  <c r="H14" i="9"/>
  <c r="K17" i="9"/>
  <c r="BE17" i="9"/>
  <c r="H18" i="9"/>
  <c r="AT24" i="9"/>
  <c r="X27" i="9"/>
  <c r="Y23" i="9"/>
  <c r="U23" i="9"/>
  <c r="AW19" i="9" s="1"/>
  <c r="X23" i="9"/>
  <c r="AZ16" i="9" s="1"/>
  <c r="T23" i="9"/>
  <c r="AY20" i="9"/>
  <c r="AW23" i="9"/>
  <c r="V29" i="9"/>
  <c r="W29" i="9"/>
  <c r="X29" i="9"/>
  <c r="T29" i="9"/>
  <c r="Y29" i="9"/>
  <c r="U29" i="9"/>
  <c r="V36" i="9"/>
  <c r="W36" i="9"/>
  <c r="S37" i="9"/>
  <c r="X36" i="9"/>
  <c r="T36" i="9"/>
  <c r="AV33" i="9" s="1"/>
  <c r="Y36" i="9"/>
  <c r="BA29" i="9" s="1"/>
  <c r="U36" i="9"/>
  <c r="AW32" i="9" s="1"/>
  <c r="BE12" i="9"/>
  <c r="BE16" i="9"/>
  <c r="AT28" i="9"/>
  <c r="AX23" i="9"/>
  <c r="AZ28" i="9"/>
  <c r="H20" i="9"/>
  <c r="BE20" i="9"/>
  <c r="H23" i="9"/>
  <c r="W23" i="9"/>
  <c r="AY17" i="9" s="1"/>
  <c r="X24" i="9"/>
  <c r="AZ17" i="9" s="1"/>
  <c r="T24" i="9"/>
  <c r="W24" i="9"/>
  <c r="AY18" i="9" s="1"/>
  <c r="W25" i="9"/>
  <c r="AY19" i="9" s="1"/>
  <c r="V25" i="9"/>
  <c r="AU30" i="9"/>
  <c r="AU37" i="9"/>
  <c r="V23" i="9"/>
  <c r="AX18" i="9" s="1"/>
  <c r="R24" i="9"/>
  <c r="X25" i="9"/>
  <c r="AZ18" i="9" s="1"/>
  <c r="H27" i="9"/>
  <c r="R27" i="9"/>
  <c r="Y27" i="9"/>
  <c r="U28" i="9"/>
  <c r="BE26" i="9"/>
  <c r="H29" i="9"/>
  <c r="AE29" i="9"/>
  <c r="BE29" i="9"/>
  <c r="K30" i="9"/>
  <c r="H30" i="9" s="1"/>
  <c r="AF30" i="9"/>
  <c r="AT30" i="9"/>
  <c r="V31" i="9"/>
  <c r="AF31" i="9"/>
  <c r="AT31" i="9"/>
  <c r="K32" i="9"/>
  <c r="AF32" i="9"/>
  <c r="AT32" i="9"/>
  <c r="K33" i="9"/>
  <c r="AF33" i="9"/>
  <c r="K34" i="9"/>
  <c r="H34" i="9" s="1"/>
  <c r="AF34" i="9"/>
  <c r="W35" i="9"/>
  <c r="AC35" i="9"/>
  <c r="H36" i="9"/>
  <c r="AE36" i="9"/>
  <c r="T37" i="9"/>
  <c r="AV34" i="9" s="1"/>
  <c r="X37" i="9"/>
  <c r="U38" i="9"/>
  <c r="AW34" i="9" s="1"/>
  <c r="Y38" i="9"/>
  <c r="BA31" i="9" s="1"/>
  <c r="AE30" i="9"/>
  <c r="U31" i="9"/>
  <c r="Y31" i="9"/>
  <c r="AE31" i="9"/>
  <c r="AE32" i="9"/>
  <c r="AE33" i="9"/>
  <c r="AE34" i="9"/>
  <c r="V35" i="9"/>
  <c r="W37" i="9"/>
  <c r="T38" i="9"/>
  <c r="AV35" i="9" s="1"/>
  <c r="X38" i="9"/>
  <c r="AZ31" i="9" s="1"/>
  <c r="S36" i="9"/>
  <c r="V37" i="9"/>
  <c r="AX32" i="9" s="1"/>
  <c r="AQ37" i="9"/>
  <c r="S38" i="9"/>
  <c r="W38" i="9"/>
  <c r="AY32" i="9" s="1"/>
  <c r="AC30" i="9"/>
  <c r="W31" i="9"/>
  <c r="AC31" i="9"/>
  <c r="AC32" i="9"/>
  <c r="AC33" i="9"/>
  <c r="AC34" i="9"/>
  <c r="T35" i="9"/>
  <c r="AV32" i="9" s="1"/>
  <c r="H37" i="9"/>
  <c r="U37" i="9"/>
  <c r="AW33" i="9" s="1"/>
  <c r="H38" i="9"/>
  <c r="AW21" i="9" l="1"/>
  <c r="AV24" i="9"/>
  <c r="AX21" i="9"/>
  <c r="AV28" i="9"/>
  <c r="AV22" i="9"/>
  <c r="AZ24" i="9"/>
  <c r="AW31" i="9"/>
  <c r="AW20" i="9"/>
  <c r="V45" i="9"/>
  <c r="AX40" i="9" s="1"/>
  <c r="AM48" i="9"/>
  <c r="V48" i="9" s="1"/>
  <c r="AX43" i="9" s="1"/>
  <c r="AM46" i="9"/>
  <c r="V46" i="9" s="1"/>
  <c r="AX41" i="9" s="1"/>
  <c r="AM47" i="9"/>
  <c r="V47" i="9" s="1"/>
  <c r="AL20" i="9"/>
  <c r="U20" i="9" s="1"/>
  <c r="AW16" i="9" s="1"/>
  <c r="AL46" i="9"/>
  <c r="AL48" i="9"/>
  <c r="AL47" i="9"/>
  <c r="AN22" i="9"/>
  <c r="W22" i="9" s="1"/>
  <c r="AY16" i="9" s="1"/>
  <c r="AN46" i="9"/>
  <c r="W46" i="9" s="1"/>
  <c r="AY40" i="9" s="1"/>
  <c r="AN48" i="9"/>
  <c r="W48" i="9" s="1"/>
  <c r="AY42" i="9" s="1"/>
  <c r="AN47" i="9"/>
  <c r="W47" i="9" s="1"/>
  <c r="AY41" i="9" s="1"/>
  <c r="AO47" i="9"/>
  <c r="X47" i="9" s="1"/>
  <c r="AZ40" i="9" s="1"/>
  <c r="AO46" i="9"/>
  <c r="X46" i="9" s="1"/>
  <c r="AZ39" i="9" s="1"/>
  <c r="AO48" i="9"/>
  <c r="X48" i="9" s="1"/>
  <c r="AZ41" i="9" s="1"/>
  <c r="V44" i="9"/>
  <c r="AX39" i="9" s="1"/>
  <c r="AL12" i="9"/>
  <c r="U12" i="9" s="1"/>
  <c r="AW8" i="9" s="1"/>
  <c r="AL8" i="9"/>
  <c r="U8" i="9" s="1"/>
  <c r="AL10" i="9"/>
  <c r="U10" i="9" s="1"/>
  <c r="AW6" i="9" s="1"/>
  <c r="AL15" i="9"/>
  <c r="U15" i="9" s="1"/>
  <c r="AW11" i="9" s="1"/>
  <c r="AL13" i="9"/>
  <c r="U13" i="9" s="1"/>
  <c r="AW9" i="9" s="1"/>
  <c r="AL16" i="9"/>
  <c r="U16" i="9" s="1"/>
  <c r="AW12" i="9" s="1"/>
  <c r="AL21" i="9"/>
  <c r="U21" i="9" s="1"/>
  <c r="AW17" i="9" s="1"/>
  <c r="AN21" i="9"/>
  <c r="W21" i="9" s="1"/>
  <c r="AY15" i="9" s="1"/>
  <c r="O6" i="9"/>
  <c r="X45" i="9"/>
  <c r="AZ38" i="9" s="1"/>
  <c r="X44" i="9"/>
  <c r="AZ37" i="9" s="1"/>
  <c r="AL14" i="9"/>
  <c r="U14" i="9" s="1"/>
  <c r="AW10" i="9" s="1"/>
  <c r="AL7" i="9"/>
  <c r="U7" i="9" s="1"/>
  <c r="AL19" i="9"/>
  <c r="U19" i="9" s="1"/>
  <c r="AW15" i="9" s="1"/>
  <c r="AL6" i="9"/>
  <c r="U6" i="9" s="1"/>
  <c r="AL18" i="9"/>
  <c r="U18" i="9" s="1"/>
  <c r="AW14" i="9" s="1"/>
  <c r="AL11" i="9"/>
  <c r="U11" i="9" s="1"/>
  <c r="AW7" i="9" s="1"/>
  <c r="AL17" i="9"/>
  <c r="U17" i="9" s="1"/>
  <c r="AW13" i="9" s="1"/>
  <c r="W44" i="9"/>
  <c r="AY38" i="9" s="1"/>
  <c r="W45" i="9"/>
  <c r="AY39" i="9" s="1"/>
  <c r="AN20" i="9"/>
  <c r="W20" i="9" s="1"/>
  <c r="AY14" i="9" s="1"/>
  <c r="AN12" i="9"/>
  <c r="W12" i="9" s="1"/>
  <c r="AY6" i="9" s="1"/>
  <c r="AN8" i="9"/>
  <c r="W8" i="9" s="1"/>
  <c r="AN7" i="9"/>
  <c r="W7" i="9" s="1"/>
  <c r="AN17" i="9"/>
  <c r="W17" i="9" s="1"/>
  <c r="AY11" i="9" s="1"/>
  <c r="AN9" i="9"/>
  <c r="W9" i="9" s="1"/>
  <c r="AN16" i="9"/>
  <c r="W16" i="9" s="1"/>
  <c r="AY10" i="9" s="1"/>
  <c r="AN14" i="9"/>
  <c r="W14" i="9" s="1"/>
  <c r="AY8" i="9" s="1"/>
  <c r="AN10" i="9"/>
  <c r="W10" i="9" s="1"/>
  <c r="AN11" i="9"/>
  <c r="W11" i="9" s="1"/>
  <c r="AN18" i="9"/>
  <c r="W18" i="9" s="1"/>
  <c r="AY12" i="9" s="1"/>
  <c r="AN13" i="9"/>
  <c r="W13" i="9" s="1"/>
  <c r="AY7" i="9" s="1"/>
  <c r="AN19" i="9"/>
  <c r="W19" i="9" s="1"/>
  <c r="AY13" i="9" s="1"/>
  <c r="AN6" i="9"/>
  <c r="W6" i="9" s="1"/>
  <c r="AN15" i="9"/>
  <c r="W15" i="9" s="1"/>
  <c r="AY9" i="9" s="1"/>
  <c r="AL22" i="9"/>
  <c r="U22" i="9" s="1"/>
  <c r="AW18" i="9" s="1"/>
  <c r="AL9" i="9"/>
  <c r="U9" i="9" s="1"/>
  <c r="O10" i="9"/>
  <c r="H19" i="9"/>
  <c r="P6" i="9"/>
  <c r="AT6" i="9" s="1"/>
  <c r="H17" i="9"/>
  <c r="P10" i="9"/>
  <c r="BE10" i="9" s="1"/>
  <c r="H13" i="9"/>
  <c r="X39" i="9"/>
  <c r="AZ32" i="9" s="1"/>
  <c r="U39" i="9"/>
  <c r="AW35" i="9" s="1"/>
  <c r="T39" i="9"/>
  <c r="AF38" i="9"/>
  <c r="AD38" i="9"/>
  <c r="AG38" i="9"/>
  <c r="AC38" i="9"/>
  <c r="P9" i="9"/>
  <c r="O9" i="9"/>
  <c r="U40" i="9"/>
  <c r="AW36" i="9" s="1"/>
  <c r="V40" i="9"/>
  <c r="AX35" i="9" s="1"/>
  <c r="X40" i="9"/>
  <c r="AZ33" i="9" s="1"/>
  <c r="T40" i="9"/>
  <c r="W40" i="9"/>
  <c r="AY34" i="9" s="1"/>
  <c r="W39" i="9"/>
  <c r="AY33" i="9" s="1"/>
  <c r="V39" i="9"/>
  <c r="AX34" i="9" s="1"/>
  <c r="H39" i="9"/>
  <c r="AF37" i="9"/>
  <c r="AG37" i="9"/>
  <c r="AC37" i="9"/>
  <c r="AK22" i="9"/>
  <c r="T22" i="9" s="1"/>
  <c r="AK18" i="9"/>
  <c r="T18" i="9" s="1"/>
  <c r="AK14" i="9"/>
  <c r="T14" i="9" s="1"/>
  <c r="AK8" i="9"/>
  <c r="T8" i="9" s="1"/>
  <c r="AK19" i="9"/>
  <c r="T19" i="9" s="1"/>
  <c r="AK15" i="9"/>
  <c r="T15" i="9" s="1"/>
  <c r="AK11" i="9"/>
  <c r="T11" i="9" s="1"/>
  <c r="AK7" i="9"/>
  <c r="T7" i="9" s="1"/>
  <c r="AK21" i="9"/>
  <c r="T21" i="9" s="1"/>
  <c r="AK20" i="9"/>
  <c r="T20" i="9" s="1"/>
  <c r="AK16" i="9"/>
  <c r="T16" i="9" s="1"/>
  <c r="AK12" i="9"/>
  <c r="T12" i="9" s="1"/>
  <c r="AK10" i="9"/>
  <c r="T10" i="9" s="1"/>
  <c r="AK6" i="9"/>
  <c r="T6" i="9" s="1"/>
  <c r="AK17" i="9"/>
  <c r="T17" i="9" s="1"/>
  <c r="AK13" i="9"/>
  <c r="T13" i="9" s="1"/>
  <c r="AK9" i="9"/>
  <c r="T9" i="9" s="1"/>
  <c r="S34" i="9"/>
  <c r="W33" i="9"/>
  <c r="X33" i="9"/>
  <c r="T33" i="9"/>
  <c r="Y33" i="9"/>
  <c r="BA26" i="9" s="1"/>
  <c r="U33" i="9"/>
  <c r="V33" i="9"/>
  <c r="AX20" i="9"/>
  <c r="AZ29" i="9"/>
  <c r="AW25" i="9"/>
  <c r="AY23" i="9"/>
  <c r="AZ20" i="9"/>
  <c r="O8" i="9"/>
  <c r="P8" i="9"/>
  <c r="AZ21" i="9"/>
  <c r="H33" i="9"/>
  <c r="AY25" i="9"/>
  <c r="AM22" i="9"/>
  <c r="V22" i="9" s="1"/>
  <c r="AX17" i="9" s="1"/>
  <c r="AM21" i="9"/>
  <c r="V21" i="9" s="1"/>
  <c r="AX16" i="9" s="1"/>
  <c r="AM20" i="9"/>
  <c r="V20" i="9" s="1"/>
  <c r="AX15" i="9" s="1"/>
  <c r="AM16" i="9"/>
  <c r="V16" i="9" s="1"/>
  <c r="AX11" i="9" s="1"/>
  <c r="AM12" i="9"/>
  <c r="V12" i="9" s="1"/>
  <c r="AX7" i="9" s="1"/>
  <c r="AM10" i="9"/>
  <c r="V10" i="9" s="1"/>
  <c r="AM6" i="9"/>
  <c r="V6" i="9" s="1"/>
  <c r="AM17" i="9"/>
  <c r="V17" i="9" s="1"/>
  <c r="AX12" i="9" s="1"/>
  <c r="AM13" i="9"/>
  <c r="V13" i="9" s="1"/>
  <c r="AX8" i="9" s="1"/>
  <c r="AM9" i="9"/>
  <c r="V9" i="9" s="1"/>
  <c r="AM18" i="9"/>
  <c r="V18" i="9" s="1"/>
  <c r="AX13" i="9" s="1"/>
  <c r="AM14" i="9"/>
  <c r="V14" i="9" s="1"/>
  <c r="AX9" i="9" s="1"/>
  <c r="AM8" i="9"/>
  <c r="V8" i="9" s="1"/>
  <c r="AM19" i="9"/>
  <c r="V19" i="9" s="1"/>
  <c r="AX14" i="9" s="1"/>
  <c r="AM15" i="9"/>
  <c r="V15" i="9" s="1"/>
  <c r="AX10" i="9" s="1"/>
  <c r="AM11" i="9"/>
  <c r="V11" i="9" s="1"/>
  <c r="AX6" i="9" s="1"/>
  <c r="AM7" i="9"/>
  <c r="V7" i="9" s="1"/>
  <c r="Z38" i="9"/>
  <c r="AU36" i="9"/>
  <c r="AX30" i="9"/>
  <c r="AO21" i="9"/>
  <c r="X21" i="9" s="1"/>
  <c r="AZ14" i="9" s="1"/>
  <c r="AO18" i="9"/>
  <c r="X18" i="9" s="1"/>
  <c r="AZ11" i="9" s="1"/>
  <c r="AO14" i="9"/>
  <c r="X14" i="9" s="1"/>
  <c r="AZ7" i="9" s="1"/>
  <c r="AO8" i="9"/>
  <c r="X8" i="9" s="1"/>
  <c r="AO19" i="9"/>
  <c r="X19" i="9" s="1"/>
  <c r="AZ12" i="9" s="1"/>
  <c r="AO15" i="9"/>
  <c r="X15" i="9" s="1"/>
  <c r="AZ8" i="9" s="1"/>
  <c r="AO11" i="9"/>
  <c r="X11" i="9" s="1"/>
  <c r="AO7" i="9"/>
  <c r="X7" i="9" s="1"/>
  <c r="AO22" i="9"/>
  <c r="X22" i="9" s="1"/>
  <c r="AZ15" i="9" s="1"/>
  <c r="AO20" i="9"/>
  <c r="X20" i="9" s="1"/>
  <c r="AZ13" i="9" s="1"/>
  <c r="AO16" i="9"/>
  <c r="X16" i="9" s="1"/>
  <c r="AZ9" i="9" s="1"/>
  <c r="AO12" i="9"/>
  <c r="X12" i="9" s="1"/>
  <c r="AO10" i="9"/>
  <c r="X10" i="9" s="1"/>
  <c r="AO6" i="9"/>
  <c r="X6" i="9" s="1"/>
  <c r="AO17" i="9"/>
  <c r="X17" i="9" s="1"/>
  <c r="AZ10" i="9" s="1"/>
  <c r="AO13" i="9"/>
  <c r="X13" i="9" s="1"/>
  <c r="AZ6" i="9" s="1"/>
  <c r="AO9" i="9"/>
  <c r="X9" i="9" s="1"/>
  <c r="AY29" i="9"/>
  <c r="S33" i="9"/>
  <c r="W32" i="9"/>
  <c r="X32" i="9"/>
  <c r="T32" i="9"/>
  <c r="Y32" i="9"/>
  <c r="BA25" i="9" s="1"/>
  <c r="U32" i="9"/>
  <c r="V32" i="9"/>
  <c r="O7" i="9"/>
  <c r="P7" i="9"/>
  <c r="Z24" i="9"/>
  <c r="AV21" i="9"/>
  <c r="AX31" i="9"/>
  <c r="AZ22" i="9"/>
  <c r="AV20" i="9"/>
  <c r="Z23" i="9"/>
  <c r="AV25" i="9"/>
  <c r="Z28" i="9"/>
  <c r="AV23" i="9"/>
  <c r="Z26" i="9"/>
  <c r="BE11" i="9"/>
  <c r="AT11" i="9"/>
  <c r="Z27" i="9"/>
  <c r="Z36" i="9"/>
  <c r="AU34" i="9"/>
  <c r="AY31" i="9"/>
  <c r="AZ30" i="9"/>
  <c r="W34" i="9"/>
  <c r="X34" i="9"/>
  <c r="T34" i="9"/>
  <c r="Y34" i="9"/>
  <c r="BA27" i="9" s="1"/>
  <c r="U34" i="9"/>
  <c r="S35" i="9"/>
  <c r="V34" i="9"/>
  <c r="AX26" i="9"/>
  <c r="AY30" i="9"/>
  <c r="Z29" i="9"/>
  <c r="AV26" i="9"/>
  <c r="AY22" i="9"/>
  <c r="AY21" i="9"/>
  <c r="AE37" i="9"/>
  <c r="AW27" i="9"/>
  <c r="S31" i="9"/>
  <c r="W30" i="9"/>
  <c r="X30" i="9"/>
  <c r="T30" i="9"/>
  <c r="Y30" i="9"/>
  <c r="U30" i="9"/>
  <c r="V30" i="9"/>
  <c r="AW24" i="9"/>
  <c r="Z37" i="9"/>
  <c r="AU35" i="9"/>
  <c r="AX24" i="9"/>
  <c r="AX22" i="9"/>
  <c r="AW22" i="9"/>
  <c r="AD37" i="9"/>
  <c r="H32" i="9"/>
  <c r="Z25" i="9"/>
  <c r="AV36" i="9" l="1"/>
  <c r="Z39" i="9"/>
  <c r="BB39" i="9"/>
  <c r="BC39" i="9" s="1"/>
  <c r="AX42" i="9"/>
  <c r="U48" i="9"/>
  <c r="AQ48" i="9"/>
  <c r="U47" i="9"/>
  <c r="AW43" i="9" s="1"/>
  <c r="AQ47" i="9"/>
  <c r="BB36" i="9"/>
  <c r="BC36" i="9" s="1"/>
  <c r="U46" i="9"/>
  <c r="AQ46" i="9"/>
  <c r="AV37" i="9"/>
  <c r="Z40" i="9"/>
  <c r="BB35" i="9"/>
  <c r="AT10" i="9"/>
  <c r="BB38" i="9"/>
  <c r="U44" i="9"/>
  <c r="AQ44" i="9"/>
  <c r="BB34" i="9"/>
  <c r="U45" i="9"/>
  <c r="AQ45" i="9"/>
  <c r="BE6" i="9"/>
  <c r="AT9" i="9"/>
  <c r="BE9" i="9"/>
  <c r="AV27" i="9"/>
  <c r="Z30" i="9"/>
  <c r="AU29" i="9"/>
  <c r="Z31" i="9"/>
  <c r="AW26" i="9"/>
  <c r="AY24" i="9"/>
  <c r="BB22" i="9"/>
  <c r="AX25" i="9"/>
  <c r="AZ23" i="9"/>
  <c r="AX29" i="9"/>
  <c r="AV31" i="9"/>
  <c r="BB20" i="9"/>
  <c r="BE7" i="9"/>
  <c r="AT7" i="9"/>
  <c r="AU31" i="9"/>
  <c r="Z33" i="9"/>
  <c r="AW29" i="9"/>
  <c r="AY27" i="9"/>
  <c r="AV14" i="9"/>
  <c r="BB14" i="9" s="1"/>
  <c r="Z17" i="9"/>
  <c r="Z16" i="9"/>
  <c r="AV13" i="9"/>
  <c r="BB13" i="9" s="1"/>
  <c r="Z11" i="9"/>
  <c r="AV8" i="9"/>
  <c r="BB8" i="9" s="1"/>
  <c r="AV11" i="9"/>
  <c r="BB11" i="9" s="1"/>
  <c r="Z14" i="9"/>
  <c r="AW28" i="9"/>
  <c r="AY26" i="9"/>
  <c r="BE8" i="9"/>
  <c r="AT8" i="9"/>
  <c r="AX28" i="9"/>
  <c r="AZ26" i="9"/>
  <c r="Z13" i="9"/>
  <c r="AV10" i="9"/>
  <c r="BB10" i="9" s="1"/>
  <c r="Z12" i="9"/>
  <c r="AV9" i="9"/>
  <c r="BB9" i="9" s="1"/>
  <c r="Z7" i="9"/>
  <c r="Z8" i="9"/>
  <c r="AW30" i="9"/>
  <c r="AY28" i="9"/>
  <c r="AX27" i="9"/>
  <c r="AZ25" i="9"/>
  <c r="AV30" i="9"/>
  <c r="Z9" i="9"/>
  <c r="AV6" i="9"/>
  <c r="Z10" i="9"/>
  <c r="AV7" i="9"/>
  <c r="BB7" i="9" s="1"/>
  <c r="Z21" i="9"/>
  <c r="AV18" i="9"/>
  <c r="BB18" i="9" s="1"/>
  <c r="Z19" i="9"/>
  <c r="AV16" i="9"/>
  <c r="BB16" i="9" s="1"/>
  <c r="Z22" i="9"/>
  <c r="AV19" i="9"/>
  <c r="BB19" i="9" s="1"/>
  <c r="Z35" i="9"/>
  <c r="AU33" i="9"/>
  <c r="BB33" i="9" s="1"/>
  <c r="AZ27" i="9"/>
  <c r="BB21" i="9"/>
  <c r="AV29" i="9"/>
  <c r="Z32" i="9"/>
  <c r="AU32" i="9"/>
  <c r="BB32" i="9" s="1"/>
  <c r="Z34" i="9"/>
  <c r="Z20" i="9"/>
  <c r="AV17" i="9"/>
  <c r="BB17" i="9" s="1"/>
  <c r="Z15" i="9"/>
  <c r="AV12" i="9"/>
  <c r="BB12" i="9" s="1"/>
  <c r="AV15" i="9"/>
  <c r="BB15" i="9" s="1"/>
  <c r="Z18" i="9"/>
  <c r="Z6" i="9"/>
  <c r="BD39" i="9" l="1"/>
  <c r="BD36" i="9"/>
  <c r="BB23" i="9"/>
  <c r="BB24" i="9"/>
  <c r="AW40" i="9"/>
  <c r="BB40" i="9" s="1"/>
  <c r="Z44" i="9"/>
  <c r="BB37" i="9"/>
  <c r="AW44" i="9"/>
  <c r="Z48" i="9"/>
  <c r="BD35" i="9"/>
  <c r="BC35" i="9"/>
  <c r="AW42" i="9"/>
  <c r="BB42" i="9" s="1"/>
  <c r="Z46" i="9"/>
  <c r="Z47" i="9"/>
  <c r="AW41" i="9"/>
  <c r="BB41" i="9" s="1"/>
  <c r="Z45" i="9"/>
  <c r="BD38" i="9"/>
  <c r="BC38" i="9"/>
  <c r="BC34" i="9"/>
  <c r="BD34" i="9"/>
  <c r="BB25" i="9"/>
  <c r="BC33" i="9"/>
  <c r="BD33" i="9"/>
  <c r="BB31" i="9"/>
  <c r="BC32" i="9"/>
  <c r="BD32" i="9"/>
  <c r="BD21" i="9"/>
  <c r="BC21" i="9"/>
  <c r="BD11" i="9"/>
  <c r="BC11" i="9"/>
  <c r="BC12" i="9"/>
  <c r="BD12" i="9"/>
  <c r="BD19" i="9"/>
  <c r="BC19" i="9"/>
  <c r="BC18" i="9"/>
  <c r="BD18" i="9"/>
  <c r="BC6" i="9"/>
  <c r="BD6" i="9"/>
  <c r="BC10" i="9"/>
  <c r="BD10" i="9"/>
  <c r="BC13" i="9"/>
  <c r="BD13" i="9"/>
  <c r="BD20" i="9"/>
  <c r="BC20" i="9"/>
  <c r="BB29" i="9"/>
  <c r="BD15" i="9"/>
  <c r="BC15" i="9"/>
  <c r="BB30" i="9"/>
  <c r="BC14" i="9"/>
  <c r="BD14" i="9"/>
  <c r="BD22" i="9"/>
  <c r="BC22" i="9"/>
  <c r="BB27" i="9"/>
  <c r="BB26" i="9"/>
  <c r="BC17" i="9"/>
  <c r="BD17" i="9"/>
  <c r="BC16" i="9"/>
  <c r="BD16" i="9"/>
  <c r="BD7" i="9"/>
  <c r="BC7" i="9"/>
  <c r="BC9" i="9"/>
  <c r="BD9" i="9"/>
  <c r="BB28" i="9"/>
  <c r="BC8" i="9"/>
  <c r="BD8" i="9"/>
  <c r="BC24" i="9" l="1"/>
  <c r="BD24" i="9"/>
  <c r="BD23" i="9"/>
  <c r="BC23" i="9"/>
  <c r="BD37" i="9"/>
  <c r="BC37" i="9"/>
  <c r="BD25" i="9"/>
  <c r="BD40" i="9"/>
  <c r="BC40" i="9"/>
  <c r="BC41" i="9"/>
  <c r="BD41" i="9"/>
  <c r="BC25" i="9"/>
  <c r="BC31" i="9"/>
  <c r="BD31" i="9"/>
  <c r="BC26" i="9"/>
  <c r="BD26" i="9"/>
  <c r="BC29" i="9"/>
  <c r="BD29" i="9"/>
  <c r="BC30" i="9"/>
  <c r="BD30" i="9"/>
  <c r="BD28" i="9"/>
  <c r="BC28" i="9"/>
  <c r="BD27" i="9"/>
  <c r="BC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Fleischman</author>
    <author>sjfleischman</author>
    <author>jwerickson</author>
  </authors>
  <commentList>
    <comment ref="AA2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minimum effective sample size 1995-2004</t>
        </r>
      </text>
    </comment>
    <comment ref="L34" authorId="1" shapeId="0" xr:uid="{00000000-0006-0000-0C00-000002000000}">
      <text>
        <r>
          <rPr>
            <b/>
            <sz val="10"/>
            <color indexed="81"/>
            <rFont val="Tahoma"/>
            <family val="2"/>
          </rPr>
          <t>sjfleischman:</t>
        </r>
        <r>
          <rPr>
            <sz val="10"/>
            <color indexed="81"/>
            <rFont val="Tahoma"/>
            <family val="2"/>
          </rPr>
          <t xml:space="preserve">
swhs 297 se 112</t>
        </r>
      </text>
    </comment>
    <comment ref="L35" authorId="1" shapeId="0" xr:uid="{00000000-0006-0000-0C00-000003000000}">
      <text>
        <r>
          <rPr>
            <b/>
            <sz val="10"/>
            <color indexed="81"/>
            <rFont val="Tahoma"/>
            <family val="2"/>
          </rPr>
          <t>sjfleischman:</t>
        </r>
        <r>
          <rPr>
            <sz val="10"/>
            <color indexed="81"/>
            <rFont val="Tahoma"/>
            <family val="2"/>
          </rPr>
          <t xml:space="preserve">
swhs 114 se 68</t>
        </r>
      </text>
    </comment>
    <comment ref="L36" authorId="1" shapeId="0" xr:uid="{00000000-0006-0000-0C00-000004000000}">
      <text>
        <r>
          <rPr>
            <b/>
            <sz val="10"/>
            <color indexed="81"/>
            <rFont val="Tahoma"/>
            <family val="2"/>
          </rPr>
          <t>sjfleischman:</t>
        </r>
        <r>
          <rPr>
            <sz val="10"/>
            <color indexed="81"/>
            <rFont val="Tahoma"/>
            <family val="2"/>
          </rPr>
          <t xml:space="preserve">
swhs 439 se 272</t>
        </r>
      </text>
    </comment>
    <comment ref="E37" authorId="2" shapeId="0" xr:uid="{00000000-0006-0000-0C00-000005000000}">
      <text>
        <r>
          <rPr>
            <b/>
            <sz val="8"/>
            <color indexed="81"/>
            <rFont val="Tahoma"/>
            <family val="2"/>
          </rPr>
          <t>jwerickson:</t>
        </r>
        <r>
          <rPr>
            <sz val="8"/>
            <color indexed="81"/>
            <rFont val="Tahoma"/>
            <family val="2"/>
          </rPr>
          <t xml:space="preserve">
need to update
</t>
        </r>
      </text>
    </comment>
    <comment ref="L37" authorId="2" shapeId="0" xr:uid="{00000000-0006-0000-0C00-000006000000}">
      <text>
        <r>
          <rPr>
            <b/>
            <sz val="8"/>
            <color indexed="81"/>
            <rFont val="Tahoma"/>
            <family val="2"/>
          </rPr>
          <t>jwerickson:</t>
        </r>
        <r>
          <rPr>
            <sz val="8"/>
            <color indexed="81"/>
            <rFont val="Tahoma"/>
            <family val="2"/>
          </rPr>
          <t xml:space="preserve">
SWHS  68
</t>
        </r>
      </text>
    </comment>
    <comment ref="AA37" authorId="2" shapeId="0" xr:uid="{00000000-0006-0000-0C00-000007000000}">
      <text>
        <r>
          <rPr>
            <b/>
            <sz val="8"/>
            <color indexed="81"/>
            <rFont val="Tahoma"/>
            <family val="2"/>
          </rPr>
          <t>jwerickson:</t>
        </r>
        <r>
          <rPr>
            <sz val="8"/>
            <color indexed="81"/>
            <rFont val="Tahoma"/>
            <family val="2"/>
          </rPr>
          <t xml:space="preserve">
differ from steve
</t>
        </r>
      </text>
    </comment>
    <comment ref="AL37" authorId="2" shapeId="0" xr:uid="{00000000-0006-0000-0C00-000008000000}">
      <text>
        <r>
          <rPr>
            <b/>
            <sz val="8"/>
            <color indexed="81"/>
            <rFont val="Tahoma"/>
            <family val="2"/>
          </rPr>
          <t>jwerickson:</t>
        </r>
        <r>
          <rPr>
            <sz val="8"/>
            <color indexed="81"/>
            <rFont val="Tahoma"/>
            <family val="2"/>
          </rPr>
          <t xml:space="preserve">
did not agree with Steve's
</t>
        </r>
      </text>
    </comment>
    <comment ref="L38" authorId="2" shapeId="0" xr:uid="{00000000-0006-0000-0C00-000009000000}">
      <text>
        <r>
          <rPr>
            <b/>
            <sz val="8"/>
            <color indexed="81"/>
            <rFont val="Tahoma"/>
            <family val="2"/>
          </rPr>
          <t>jwerickson:</t>
        </r>
        <r>
          <rPr>
            <sz val="8"/>
            <color indexed="81"/>
            <rFont val="Tahoma"/>
            <family val="2"/>
          </rPr>
          <t xml:space="preserve">
swhs 0
</t>
        </r>
      </text>
    </comment>
  </commentList>
</comments>
</file>

<file path=xl/sharedStrings.xml><?xml version="1.0" encoding="utf-8"?>
<sst xmlns="http://schemas.openxmlformats.org/spreadsheetml/2006/main" count="96" uniqueCount="67">
  <si>
    <t>from</t>
  </si>
  <si>
    <t>http://www.paolocoletti.it/statistics/exercises/Durbin-Watson.html</t>
  </si>
  <si>
    <t>Critical Values for the Durbin-Watson Statistic</t>
  </si>
  <si>
    <r>
      <t>n</t>
    </r>
    <r>
      <rPr>
        <sz val="10"/>
        <rFont val="Arial"/>
        <family val="2"/>
      </rPr>
      <t> </t>
    </r>
  </si>
  <si>
    <t>1,43</t>
  </si>
  <si>
    <r>
      <t> Level of Significance </t>
    </r>
    <r>
      <rPr>
        <b/>
        <sz val="10"/>
        <color indexed="9"/>
        <rFont val="Symbol"/>
        <family val="1"/>
        <charset val="2"/>
      </rPr>
      <t>a</t>
    </r>
    <r>
      <rPr>
        <sz val="10"/>
        <color indexed="9"/>
        <rFont val="Arial"/>
        <family val="2"/>
      </rPr>
      <t xml:space="preserve"> = .05</t>
    </r>
  </si>
  <si>
    <r>
      <t xml:space="preserve">k </t>
    </r>
    <r>
      <rPr>
        <b/>
        <sz val="10"/>
        <rFont val="Arial"/>
        <family val="2"/>
      </rPr>
      <t>= l </t>
    </r>
  </si>
  <si>
    <r>
      <t xml:space="preserve">k </t>
    </r>
    <r>
      <rPr>
        <b/>
        <sz val="10"/>
        <rFont val="Arial"/>
        <family val="2"/>
      </rPr>
      <t>= 2 </t>
    </r>
  </si>
  <si>
    <r>
      <t xml:space="preserve">k </t>
    </r>
    <r>
      <rPr>
        <b/>
        <sz val="10"/>
        <rFont val="Arial"/>
        <family val="2"/>
      </rPr>
      <t>= 3 </t>
    </r>
  </si>
  <si>
    <r>
      <t xml:space="preserve">k </t>
    </r>
    <r>
      <rPr>
        <b/>
        <sz val="10"/>
        <rFont val="Arial"/>
        <family val="2"/>
      </rPr>
      <t>= 4 </t>
    </r>
  </si>
  <si>
    <r>
      <t xml:space="preserve">k </t>
    </r>
    <r>
      <rPr>
        <b/>
        <sz val="10"/>
        <rFont val="Arial"/>
        <family val="2"/>
      </rPr>
      <t>= 5 </t>
    </r>
  </si>
  <si>
    <r>
      <t>d</t>
    </r>
    <r>
      <rPr>
        <b/>
        <vertAlign val="subscript"/>
        <sz val="10"/>
        <rFont val="Arial"/>
        <family val="2"/>
      </rPr>
      <t>L</t>
    </r>
  </si>
  <si>
    <r>
      <t>d</t>
    </r>
    <r>
      <rPr>
        <b/>
        <vertAlign val="subscript"/>
        <sz val="10"/>
        <rFont val="Arial"/>
        <family val="2"/>
      </rPr>
      <t>U</t>
    </r>
  </si>
  <si>
    <r>
      <t>d</t>
    </r>
    <r>
      <rPr>
        <b/>
        <vertAlign val="subscript"/>
        <sz val="10"/>
        <rFont val="Arial"/>
        <family val="2"/>
      </rPr>
      <t>L</t>
    </r>
  </si>
  <si>
    <r>
      <t>d</t>
    </r>
    <r>
      <rPr>
        <b/>
        <vertAlign val="subscript"/>
        <sz val="10"/>
        <rFont val="Arial"/>
        <family val="2"/>
      </rPr>
      <t>U</t>
    </r>
  </si>
  <si>
    <t>S</t>
  </si>
  <si>
    <t>Karluk Chinook Salmon</t>
  </si>
  <si>
    <t>Below</t>
  </si>
  <si>
    <t>Total</t>
  </si>
  <si>
    <t>Above</t>
  </si>
  <si>
    <t>Weir</t>
  </si>
  <si>
    <t>Harvest</t>
  </si>
  <si>
    <t>effective</t>
  </si>
  <si>
    <t>Comm</t>
  </si>
  <si>
    <t>Subs</t>
  </si>
  <si>
    <t>Sport</t>
  </si>
  <si>
    <t>Inriver</t>
  </si>
  <si>
    <t>Number by age in total return</t>
  </si>
  <si>
    <t>sample</t>
  </si>
  <si>
    <t>Proportion by age in inriver return</t>
  </si>
  <si>
    <t>Brood</t>
  </si>
  <si>
    <t>Return by age</t>
  </si>
  <si>
    <t>Year</t>
  </si>
  <si>
    <t>se</t>
  </si>
  <si>
    <t>mu sport</t>
  </si>
  <si>
    <t>mu</t>
  </si>
  <si>
    <t>Return</t>
  </si>
  <si>
    <t>cv</t>
  </si>
  <si>
    <t>Escape</t>
  </si>
  <si>
    <t>size</t>
  </si>
  <si>
    <t>Escapement</t>
  </si>
  <si>
    <t>Yield</t>
  </si>
  <si>
    <t>R/S</t>
  </si>
  <si>
    <t>Age Proportions by Calendar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</si>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</sst>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0.0"/>
    <numFmt numFmtId="166" formatCode="0.0;[Red]0.0"/>
    <numFmt numFmtId="167" formatCode="&quot;$&quot;#,##0\ ;\(&quot;$&quot;#,##0\)"/>
    <numFmt numFmtId="168" formatCode="General_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Symbol"/>
      <family val="1"/>
      <charset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0"/>
      <name val="Symbol"/>
      <family val="1"/>
      <charset val="2"/>
    </font>
    <font>
      <i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indexed="81"/>
      <name val="Tahoma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u/>
      <sz val="10"/>
      <color indexed="12"/>
      <name val="Arial"/>
      <family val="2"/>
    </font>
    <font>
      <sz val="8"/>
      <color rgb="FFC00000"/>
      <name val="Arial"/>
      <family val="2"/>
    </font>
    <font>
      <i/>
      <sz val="8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6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2" fontId="24" fillId="0" borderId="0" applyFont="0" applyFill="0" applyBorder="0" applyAlignment="0" applyProtection="0"/>
    <xf numFmtId="2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6" fillId="0" borderId="0"/>
    <xf numFmtId="0" fontId="6" fillId="0" borderId="0"/>
    <xf numFmtId="0" fontId="25" fillId="0" borderId="9" applyNumberFormat="0" applyFont="0" applyFill="0" applyAlignment="0" applyProtection="0"/>
    <xf numFmtId="0" fontId="25" fillId="0" borderId="9" applyNumberFormat="0" applyFont="0" applyFill="0" applyAlignment="0" applyProtection="0"/>
    <xf numFmtId="43" fontId="6" fillId="0" borderId="0" applyFont="0" applyFill="0" applyBorder="0" applyAlignment="0" applyProtection="0"/>
    <xf numFmtId="3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" fontId="25" fillId="0" borderId="0" applyFont="0" applyFill="0" applyBorder="0" applyAlignment="0" applyProtection="0"/>
    <xf numFmtId="2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9" applyNumberFormat="0" applyFont="0" applyFill="0" applyAlignment="0" applyProtection="0"/>
    <xf numFmtId="0" fontId="25" fillId="0" borderId="9" applyNumberFormat="0" applyFont="0" applyFill="0" applyAlignment="0" applyProtection="0"/>
    <xf numFmtId="0" fontId="25" fillId="0" borderId="9" applyNumberFormat="0" applyFont="0" applyFill="0" applyAlignment="0" applyProtection="0"/>
    <xf numFmtId="168" fontId="31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horizontal="center" wrapText="1"/>
    </xf>
    <xf numFmtId="0" fontId="13" fillId="5" borderId="2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2" fontId="5" fillId="6" borderId="2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15" fillId="0" borderId="0" xfId="0" applyFont="1"/>
    <xf numFmtId="2" fontId="15" fillId="0" borderId="0" xfId="0" applyNumberFormat="1" applyFont="1"/>
    <xf numFmtId="1" fontId="15" fillId="0" borderId="0" xfId="0" applyNumberFormat="1" applyFont="1"/>
    <xf numFmtId="3" fontId="15" fillId="0" borderId="0" xfId="0" applyNumberFormat="1" applyFont="1"/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3" fontId="15" fillId="0" borderId="0" xfId="0" applyNumberFormat="1" applyFont="1" applyFill="1" applyAlignment="1">
      <alignment horizontal="right"/>
    </xf>
    <xf numFmtId="0" fontId="15" fillId="0" borderId="1" xfId="0" applyFont="1" applyFill="1" applyBorder="1" applyAlignment="1">
      <alignment horizontal="right"/>
    </xf>
    <xf numFmtId="0" fontId="18" fillId="0" borderId="1" xfId="0" applyFont="1" applyFill="1" applyBorder="1" applyAlignment="1">
      <alignment horizontal="right"/>
    </xf>
    <xf numFmtId="0" fontId="16" fillId="0" borderId="0" xfId="0" applyFont="1" applyAlignment="1">
      <alignment horizontal="left"/>
    </xf>
    <xf numFmtId="1" fontId="15" fillId="3" borderId="0" xfId="0" applyNumberFormat="1" applyFont="1" applyFill="1"/>
    <xf numFmtId="3" fontId="15" fillId="3" borderId="0" xfId="0" applyNumberFormat="1" applyFont="1" applyFill="1"/>
    <xf numFmtId="0" fontId="15" fillId="3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2" fontId="19" fillId="3" borderId="0" xfId="0" applyNumberFormat="1" applyFont="1" applyFill="1"/>
    <xf numFmtId="1" fontId="15" fillId="5" borderId="0" xfId="0" applyNumberFormat="1" applyFont="1" applyFill="1"/>
    <xf numFmtId="2" fontId="15" fillId="5" borderId="0" xfId="0" applyNumberFormat="1" applyFont="1" applyFill="1"/>
    <xf numFmtId="2" fontId="17" fillId="0" borderId="0" xfId="0" applyNumberFormat="1" applyFont="1" applyFill="1"/>
    <xf numFmtId="1" fontId="15" fillId="2" borderId="0" xfId="0" applyNumberFormat="1" applyFont="1" applyFill="1"/>
    <xf numFmtId="1" fontId="15" fillId="8" borderId="0" xfId="0" applyNumberFormat="1" applyFont="1" applyFill="1"/>
    <xf numFmtId="1" fontId="16" fillId="0" borderId="0" xfId="0" applyNumberFormat="1" applyFont="1"/>
    <xf numFmtId="0" fontId="16" fillId="0" borderId="0" xfId="0" applyFont="1"/>
    <xf numFmtId="3" fontId="15" fillId="9" borderId="0" xfId="0" applyNumberFormat="1" applyFont="1" applyFill="1"/>
    <xf numFmtId="3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164" fontId="15" fillId="0" borderId="0" xfId="0" applyNumberFormat="1" applyFont="1"/>
    <xf numFmtId="0" fontId="15" fillId="0" borderId="0" xfId="0" applyFont="1" applyBorder="1"/>
    <xf numFmtId="2" fontId="15" fillId="0" borderId="0" xfId="0" applyNumberFormat="1" applyFont="1" applyBorder="1"/>
    <xf numFmtId="2" fontId="15" fillId="3" borderId="0" xfId="0" applyNumberFormat="1" applyFont="1" applyFill="1"/>
    <xf numFmtId="3" fontId="15" fillId="0" borderId="0" xfId="0" applyNumberFormat="1" applyFont="1" applyBorder="1"/>
    <xf numFmtId="0" fontId="16" fillId="0" borderId="0" xfId="0" applyFont="1" applyAlignment="1"/>
    <xf numFmtId="1" fontId="20" fillId="3" borderId="0" xfId="0" applyNumberFormat="1" applyFont="1" applyFill="1"/>
    <xf numFmtId="3" fontId="17" fillId="4" borderId="0" xfId="0" applyNumberFormat="1" applyFont="1" applyFill="1"/>
    <xf numFmtId="1" fontId="17" fillId="4" borderId="0" xfId="0" applyNumberFormat="1" applyFont="1" applyFill="1"/>
    <xf numFmtId="2" fontId="17" fillId="4" borderId="0" xfId="0" applyNumberFormat="1" applyFont="1" applyFill="1"/>
    <xf numFmtId="0" fontId="17" fillId="4" borderId="0" xfId="0" applyFont="1" applyFill="1"/>
    <xf numFmtId="1" fontId="15" fillId="10" borderId="0" xfId="0" applyNumberFormat="1" applyFont="1" applyFill="1"/>
    <xf numFmtId="166" fontId="15" fillId="0" borderId="0" xfId="0" applyNumberFormat="1" applyFont="1" applyBorder="1"/>
    <xf numFmtId="166" fontId="17" fillId="0" borderId="0" xfId="0" applyNumberFormat="1" applyFont="1" applyBorder="1"/>
    <xf numFmtId="164" fontId="15" fillId="0" borderId="3" xfId="0" applyNumberFormat="1" applyFont="1" applyFill="1" applyBorder="1"/>
    <xf numFmtId="164" fontId="15" fillId="0" borderId="0" xfId="0" applyNumberFormat="1" applyFont="1" applyFill="1" applyBorder="1"/>
    <xf numFmtId="164" fontId="15" fillId="0" borderId="0" xfId="0" applyNumberFormat="1" applyFont="1" applyBorder="1"/>
    <xf numFmtId="3" fontId="15" fillId="0" borderId="0" xfId="0" applyNumberFormat="1" applyFont="1" applyFill="1" applyBorder="1"/>
    <xf numFmtId="0" fontId="15" fillId="0" borderId="0" xfId="0" applyFont="1" applyFill="1" applyBorder="1"/>
    <xf numFmtId="0" fontId="15" fillId="11" borderId="0" xfId="0" applyFont="1" applyFill="1"/>
    <xf numFmtId="0" fontId="16" fillId="11" borderId="0" xfId="0" applyFont="1" applyFill="1"/>
    <xf numFmtId="0" fontId="16" fillId="4" borderId="0" xfId="0" applyFont="1" applyFill="1"/>
    <xf numFmtId="2" fontId="15" fillId="11" borderId="0" xfId="0" applyNumberFormat="1" applyFont="1" applyFill="1"/>
    <xf numFmtId="0" fontId="30" fillId="0" borderId="0" xfId="0" applyFont="1"/>
    <xf numFmtId="0" fontId="5" fillId="0" borderId="0" xfId="0" quotePrefix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7" fillId="0" borderId="0" xfId="0" applyNumberFormat="1" applyFont="1" applyBorder="1"/>
    <xf numFmtId="0" fontId="29" fillId="0" borderId="0" xfId="0" applyFont="1" applyBorder="1"/>
    <xf numFmtId="0" fontId="29" fillId="0" borderId="0" xfId="0" applyFont="1" applyBorder="1" applyAlignment="1">
      <alignment horizontal="right"/>
    </xf>
    <xf numFmtId="3" fontId="29" fillId="0" borderId="0" xfId="0" applyNumberFormat="1" applyFont="1" applyBorder="1"/>
    <xf numFmtId="9" fontId="29" fillId="0" borderId="0" xfId="0" applyNumberFormat="1" applyFont="1" applyBorder="1"/>
    <xf numFmtId="9" fontId="15" fillId="0" borderId="0" xfId="0" applyNumberFormat="1" applyFont="1" applyBorder="1"/>
    <xf numFmtId="165" fontId="15" fillId="0" borderId="0" xfId="0" applyNumberFormat="1" applyFont="1" applyBorder="1"/>
    <xf numFmtId="0" fontId="16" fillId="0" borderId="0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8" fillId="7" borderId="4" xfId="0" applyFont="1" applyFill="1" applyBorder="1" applyAlignment="1">
      <alignment horizontal="center" wrapText="1"/>
    </xf>
    <xf numFmtId="0" fontId="8" fillId="7" borderId="5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10" fillId="7" borderId="4" xfId="0" applyFont="1" applyFill="1" applyBorder="1" applyAlignment="1">
      <alignment horizontal="center" wrapText="1"/>
    </xf>
    <xf numFmtId="0" fontId="10" fillId="7" borderId="5" xfId="0" applyFont="1" applyFill="1" applyBorder="1" applyAlignment="1">
      <alignment horizontal="center" wrapText="1"/>
    </xf>
    <xf numFmtId="0" fontId="10" fillId="7" borderId="6" xfId="0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11" fillId="5" borderId="6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32" fillId="0" borderId="11" xfId="0" applyFont="1" applyFill="1" applyBorder="1" applyAlignment="1">
      <alignment horizontal="center"/>
    </xf>
    <xf numFmtId="0" fontId="32" fillId="0" borderId="11" xfId="0" applyFont="1" applyFill="1" applyBorder="1" applyAlignment="1">
      <alignment horizontal="centerContinuous"/>
    </xf>
    <xf numFmtId="0" fontId="33" fillId="12" borderId="0" xfId="0" applyFont="1" applyFill="1"/>
    <xf numFmtId="0" fontId="34" fillId="12" borderId="0" xfId="0" applyFont="1" applyFill="1" applyBorder="1" applyAlignment="1"/>
    <xf numFmtId="0" fontId="34" fillId="12" borderId="10" xfId="0" applyFont="1" applyFill="1" applyBorder="1" applyAlignment="1"/>
  </cellXfs>
  <cellStyles count="46">
    <cellStyle name="Comma 2" xfId="21" xr:uid="{00000000-0005-0000-0000-000000000000}"/>
    <cellStyle name="Comma 2 2" xfId="1" xr:uid="{00000000-0005-0000-0000-000001000000}"/>
    <cellStyle name="Comma0" xfId="2" xr:uid="{00000000-0005-0000-0000-000002000000}"/>
    <cellStyle name="Comma0 2" xfId="3" xr:uid="{00000000-0005-0000-0000-000003000000}"/>
    <cellStyle name="Comma0 3" xfId="22" xr:uid="{00000000-0005-0000-0000-000004000000}"/>
    <cellStyle name="Comma0 4" xfId="23" xr:uid="{00000000-0005-0000-0000-000005000000}"/>
    <cellStyle name="Currency0" xfId="4" xr:uid="{00000000-0005-0000-0000-000006000000}"/>
    <cellStyle name="Currency0 2" xfId="5" xr:uid="{00000000-0005-0000-0000-000007000000}"/>
    <cellStyle name="Currency0 3" xfId="24" xr:uid="{00000000-0005-0000-0000-000008000000}"/>
    <cellStyle name="Currency0 4" xfId="25" xr:uid="{00000000-0005-0000-0000-000009000000}"/>
    <cellStyle name="Date" xfId="6" xr:uid="{00000000-0005-0000-0000-00000A000000}"/>
    <cellStyle name="Date 2" xfId="7" xr:uid="{00000000-0005-0000-0000-00000B000000}"/>
    <cellStyle name="Date 3" xfId="26" xr:uid="{00000000-0005-0000-0000-00000C000000}"/>
    <cellStyle name="Date 4" xfId="27" xr:uid="{00000000-0005-0000-0000-00000D000000}"/>
    <cellStyle name="Fixed" xfId="8" xr:uid="{00000000-0005-0000-0000-00000E000000}"/>
    <cellStyle name="Fixed 2" xfId="9" xr:uid="{00000000-0005-0000-0000-00000F000000}"/>
    <cellStyle name="Fixed 3" xfId="28" xr:uid="{00000000-0005-0000-0000-000010000000}"/>
    <cellStyle name="Fixed 4" xfId="29" xr:uid="{00000000-0005-0000-0000-000011000000}"/>
    <cellStyle name="Heading 1 2" xfId="10" xr:uid="{00000000-0005-0000-0000-000012000000}"/>
    <cellStyle name="Heading 1 2 2" xfId="11" xr:uid="{00000000-0005-0000-0000-000013000000}"/>
    <cellStyle name="Heading 1 2 3" xfId="30" xr:uid="{00000000-0005-0000-0000-000014000000}"/>
    <cellStyle name="Heading 1 3" xfId="31" xr:uid="{00000000-0005-0000-0000-000015000000}"/>
    <cellStyle name="Heading 1 4" xfId="32" xr:uid="{00000000-0005-0000-0000-000016000000}"/>
    <cellStyle name="Heading 2 2" xfId="12" xr:uid="{00000000-0005-0000-0000-000017000000}"/>
    <cellStyle name="Heading 2 2 2" xfId="13" xr:uid="{00000000-0005-0000-0000-000018000000}"/>
    <cellStyle name="Heading 2 2 3" xfId="33" xr:uid="{00000000-0005-0000-0000-000019000000}"/>
    <cellStyle name="Heading 2 3" xfId="34" xr:uid="{00000000-0005-0000-0000-00001A000000}"/>
    <cellStyle name="Heading 2 4" xfId="35" xr:uid="{00000000-0005-0000-0000-00001B000000}"/>
    <cellStyle name="Hyperlink_Keta SR 2008_JDSM 7-14-2008" xfId="14" xr:uid="{00000000-0005-0000-0000-00001C000000}"/>
    <cellStyle name="Normal" xfId="0" builtinId="0"/>
    <cellStyle name="Normal 2" xfId="15" xr:uid="{00000000-0005-0000-0000-00001E000000}"/>
    <cellStyle name="Normal 2 2" xfId="16" xr:uid="{00000000-0005-0000-0000-00001F000000}"/>
    <cellStyle name="Normal 2 3" xfId="43" xr:uid="{00000000-0005-0000-0000-000020000000}"/>
    <cellStyle name="Normal 3" xfId="17" xr:uid="{00000000-0005-0000-0000-000021000000}"/>
    <cellStyle name="Normal 3 2" xfId="18" xr:uid="{00000000-0005-0000-0000-000022000000}"/>
    <cellStyle name="Normal 3 3" xfId="36" xr:uid="{00000000-0005-0000-0000-000023000000}"/>
    <cellStyle name="Normal 4" xfId="37" xr:uid="{00000000-0005-0000-0000-000024000000}"/>
    <cellStyle name="Normal 5" xfId="38" xr:uid="{00000000-0005-0000-0000-000025000000}"/>
    <cellStyle name="Normal 6" xfId="39" xr:uid="{00000000-0005-0000-0000-000026000000}"/>
    <cellStyle name="Normal 7" xfId="44" xr:uid="{00000000-0005-0000-0000-000027000000}"/>
    <cellStyle name="Normal 8" xfId="45" xr:uid="{00000000-0005-0000-0000-000028000000}"/>
    <cellStyle name="Total 2" xfId="19" xr:uid="{00000000-0005-0000-0000-00002A000000}"/>
    <cellStyle name="Total 2 2" xfId="20" xr:uid="{00000000-0005-0000-0000-00002B000000}"/>
    <cellStyle name="Total 2 3" xfId="40" xr:uid="{00000000-0005-0000-0000-00002C000000}"/>
    <cellStyle name="Total 3" xfId="41" xr:uid="{00000000-0005-0000-0000-00002D000000}"/>
    <cellStyle name="Total 4" xfId="42" xr:uid="{00000000-0005-0000-0000-00002E000000}"/>
  </cellStyles>
  <dxfs count="0"/>
  <tableStyles count="0" defaultTableStyle="TableStyleMedium9" defaultPivotStyle="PivotStyleLight16"/>
  <colors>
    <mruColors>
      <color rgb="FF9900FF"/>
      <color rgb="FFFFFFCC"/>
      <color rgb="FF212AE7"/>
      <color rgb="FFCCFFCC"/>
      <color rgb="FFFF9900"/>
      <color rgb="FFFFCC99"/>
      <color rgb="FFCCFFFF"/>
      <color rgb="FFCCCCFF"/>
      <color rgb="FFFFCCCC"/>
      <color rgb="FF111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TADINFO\2001\CATCHES\TAKU\Catch01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-anc1\USER\home\stevef\My%20Documents\Comprehensive\Kenai%20Chinook\ER%20Stock%20Assessment%20Report%202002-2005\draft2\StockRecruit%20stev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-anc1\USER\NICKYS\FMR2001_2003\LCIAMRTworking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-anc1\USER\Ed\FDS\Unuk\Adult\Coho\2000\Radiotelemetry\unk00radio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-anc1\USER\home\STEVEF\My%20Documents\StockAssessment\StockRecruit\Kenai%20Chinook\Early%20Run\thru%202004\BASSR%20Kenai%20Chinook%20ER%20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-anc1\USER\home\stevef\My%20Documents\Escapement%20Goals\Original%20SR\Kodiak%20Chinook\Karluk\data%20thru%202004\KodiakChinookBEG%20Steve%202004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ATCH01T"/>
      <sheetName val="Mgt"/>
      <sheetName val="DailyCom"/>
      <sheetName val="Chronology"/>
      <sheetName val="Cdn cpue graphs"/>
      <sheetName val="US cpue graphs"/>
      <sheetName val="TestCk"/>
      <sheetName val="DailyA"/>
      <sheetName val="Combined Chinook CPUE"/>
      <sheetName val="CK  CPUE graphs"/>
      <sheetName val="CohoMgt"/>
    </sheetNames>
    <sheetDataSet>
      <sheetData sheetId="0"/>
      <sheetData sheetId="1">
        <row r="5">
          <cell r="A5" t="str">
            <v>CANADIAN TAKU RIVER COMMERCIAL GILLNET FISHERY: 2001 WEEKLY CATCH SUMMARY:</v>
          </cell>
        </row>
        <row r="10">
          <cell r="C10">
            <v>3</v>
          </cell>
          <cell r="G10">
            <v>2117</v>
          </cell>
        </row>
        <row r="11">
          <cell r="C11">
            <v>3</v>
          </cell>
          <cell r="G11">
            <v>4312</v>
          </cell>
        </row>
        <row r="12">
          <cell r="C12">
            <v>4</v>
          </cell>
          <cell r="G12">
            <v>3928</v>
          </cell>
        </row>
        <row r="13">
          <cell r="C13">
            <v>3</v>
          </cell>
          <cell r="G13">
            <v>3094</v>
          </cell>
          <cell r="M13">
            <v>1694</v>
          </cell>
        </row>
        <row r="14">
          <cell r="C14">
            <v>3.5</v>
          </cell>
          <cell r="G14">
            <v>9641</v>
          </cell>
          <cell r="M14">
            <v>692</v>
          </cell>
        </row>
        <row r="15">
          <cell r="C15">
            <v>5</v>
          </cell>
          <cell r="G15">
            <v>7401</v>
          </cell>
          <cell r="M15">
            <v>182</v>
          </cell>
        </row>
        <row r="16">
          <cell r="C16">
            <v>5</v>
          </cell>
          <cell r="G16">
            <v>8449</v>
          </cell>
        </row>
        <row r="17">
          <cell r="C17">
            <v>5</v>
          </cell>
          <cell r="G17">
            <v>5456</v>
          </cell>
        </row>
        <row r="18">
          <cell r="C18">
            <v>4</v>
          </cell>
          <cell r="G18">
            <v>2813</v>
          </cell>
        </row>
        <row r="19">
          <cell r="C19">
            <v>3</v>
          </cell>
          <cell r="G19">
            <v>449</v>
          </cell>
        </row>
        <row r="20">
          <cell r="C20">
            <v>0</v>
          </cell>
          <cell r="G20">
            <v>0</v>
          </cell>
        </row>
        <row r="21">
          <cell r="C21">
            <v>0</v>
          </cell>
          <cell r="G21">
            <v>0</v>
          </cell>
        </row>
        <row r="22">
          <cell r="C22">
            <v>0</v>
          </cell>
          <cell r="G22">
            <v>0</v>
          </cell>
          <cell r="M22">
            <v>874</v>
          </cell>
        </row>
        <row r="23">
          <cell r="C23">
            <v>0</v>
          </cell>
          <cell r="G23">
            <v>0</v>
          </cell>
        </row>
        <row r="24">
          <cell r="C24">
            <v>3</v>
          </cell>
          <cell r="G24">
            <v>0</v>
          </cell>
        </row>
        <row r="25">
          <cell r="C25">
            <v>0</v>
          </cell>
          <cell r="G25">
            <v>0</v>
          </cell>
        </row>
        <row r="26">
          <cell r="C26">
            <v>0</v>
          </cell>
          <cell r="G26">
            <v>0</v>
          </cell>
        </row>
        <row r="28">
          <cell r="C28">
            <v>41.5</v>
          </cell>
          <cell r="G28">
            <v>47660</v>
          </cell>
        </row>
        <row r="29">
          <cell r="G29">
            <v>210</v>
          </cell>
        </row>
        <row r="44">
          <cell r="M44">
            <v>464.72083629787915</v>
          </cell>
        </row>
        <row r="45">
          <cell r="M45">
            <v>579.90047302259063</v>
          </cell>
        </row>
        <row r="46">
          <cell r="M46">
            <v>681.92919046201598</v>
          </cell>
        </row>
        <row r="47">
          <cell r="M47">
            <v>737.53206465824735</v>
          </cell>
        </row>
        <row r="48">
          <cell r="M48">
            <v>781.61133894548573</v>
          </cell>
        </row>
        <row r="49">
          <cell r="M49">
            <v>810.76614034377781</v>
          </cell>
        </row>
        <row r="50">
          <cell r="M50">
            <v>826.82615845971998</v>
          </cell>
        </row>
        <row r="51">
          <cell r="M51">
            <v>834.17876501254523</v>
          </cell>
        </row>
        <row r="52">
          <cell r="M52">
            <v>836.35850707603731</v>
          </cell>
        </row>
        <row r="53">
          <cell r="M53">
            <v>837.14945945698969</v>
          </cell>
        </row>
        <row r="54">
          <cell r="M54">
            <v>837.4566023141324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c SR"/>
      <sheetName val="BUGS Input"/>
      <sheetName val="PopSumm"/>
      <sheetName val="SpawnEsc"/>
      <sheetName val="SiblingRatios"/>
      <sheetName val="BroodYrRtn"/>
      <sheetName val="AgeCompRtn"/>
      <sheetName val="TotalRtnAges"/>
      <sheetName val="InriverRtnTable (Table 2)"/>
      <sheetName val="Harvest"/>
      <sheetName val="UpperHarv"/>
      <sheetName val="HarvestAges"/>
      <sheetName val="HookRel"/>
      <sheetName val="HookRelAges"/>
      <sheetName val="Ages1986"/>
      <sheetName val="Ages1987"/>
      <sheetName val="Ages1988"/>
      <sheetName val="Ages1989"/>
      <sheetName val="Ages1990"/>
      <sheetName val="Ages1991"/>
      <sheetName val="Ages1992"/>
      <sheetName val="Ages1993"/>
      <sheetName val="Ages1994"/>
      <sheetName val="Ages1995"/>
      <sheetName val="Ages1996"/>
      <sheetName val="Ages1997"/>
      <sheetName val="Ages1998"/>
      <sheetName val="Ages1999"/>
      <sheetName val="Ages2000"/>
      <sheetName val="Ages2001"/>
      <sheetName val="Ages2002"/>
      <sheetName val="Ages2003"/>
      <sheetName val="Ages2004"/>
      <sheetName val="Ages2005"/>
      <sheetName val="Ages2006"/>
      <sheetName val="Harv1976"/>
      <sheetName val="Harv1977"/>
      <sheetName val="Harv1978"/>
      <sheetName val="Harv1979"/>
      <sheetName val="Harv1980"/>
      <sheetName val="Harv1981"/>
      <sheetName val="Harv1982"/>
      <sheetName val="Harv1983"/>
      <sheetName val="Harv1984"/>
      <sheetName val="Harv1985"/>
      <sheetName val="Harv1986"/>
      <sheetName val="Harv1987"/>
      <sheetName val="Harv1988"/>
      <sheetName val="Harv1989"/>
      <sheetName val="Harv1990"/>
      <sheetName val="Harv1991"/>
      <sheetName val="Harv1992"/>
      <sheetName val="Harv1993"/>
      <sheetName val="Harv1994"/>
      <sheetName val="Harv1995"/>
      <sheetName val="Harv1996"/>
      <sheetName val="Harv1997"/>
      <sheetName val="Harv1998"/>
      <sheetName val="Harv1999"/>
      <sheetName val="Harv2001"/>
      <sheetName val="Harv2000"/>
      <sheetName val="Harv2002"/>
      <sheetName val="Harv2003"/>
      <sheetName val="Harv2004"/>
      <sheetName val="Harv2005"/>
      <sheetName val="Harv2006"/>
    </sheetNames>
    <sheetDataSet>
      <sheetData sheetId="0" refreshError="1"/>
      <sheetData sheetId="1">
        <row r="11">
          <cell r="B11">
            <v>18681.759999999998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 t="str">
            <v>Inriver Return</v>
          </cell>
        </row>
      </sheetData>
      <sheetData sheetId="9">
        <row r="4">
          <cell r="C4" t="str">
            <v>Harvest</v>
          </cell>
        </row>
        <row r="8">
          <cell r="A8">
            <v>1974</v>
          </cell>
          <cell r="K8">
            <v>1685</v>
          </cell>
        </row>
        <row r="9">
          <cell r="A9">
            <v>1975</v>
          </cell>
          <cell r="K9">
            <v>615</v>
          </cell>
        </row>
        <row r="10">
          <cell r="A10">
            <v>1976</v>
          </cell>
          <cell r="K10">
            <v>1554</v>
          </cell>
        </row>
        <row r="11">
          <cell r="A11">
            <v>1977</v>
          </cell>
          <cell r="K11">
            <v>2173</v>
          </cell>
        </row>
        <row r="12">
          <cell r="A12">
            <v>1978</v>
          </cell>
          <cell r="K12">
            <v>1542</v>
          </cell>
        </row>
        <row r="13">
          <cell r="A13">
            <v>1979</v>
          </cell>
          <cell r="K13">
            <v>2661</v>
          </cell>
        </row>
        <row r="14">
          <cell r="A14">
            <v>1980</v>
          </cell>
          <cell r="K14">
            <v>1946</v>
          </cell>
        </row>
        <row r="15">
          <cell r="A15">
            <v>1981</v>
          </cell>
          <cell r="K15" t="e">
            <v>#REF!</v>
          </cell>
        </row>
        <row r="16">
          <cell r="A16">
            <v>1982</v>
          </cell>
          <cell r="K16" t="e">
            <v>#REF!</v>
          </cell>
        </row>
        <row r="17">
          <cell r="A17">
            <v>1983</v>
          </cell>
          <cell r="K17" t="e">
            <v>#REF!</v>
          </cell>
        </row>
        <row r="18">
          <cell r="A18">
            <v>1984</v>
          </cell>
          <cell r="K18" t="e">
            <v>#REF!</v>
          </cell>
        </row>
        <row r="19">
          <cell r="A19">
            <v>1985</v>
          </cell>
          <cell r="K19" t="e">
            <v>#REF!</v>
          </cell>
        </row>
        <row r="20">
          <cell r="A20">
            <v>1986</v>
          </cell>
          <cell r="K20">
            <v>8156</v>
          </cell>
        </row>
        <row r="21">
          <cell r="A21">
            <v>1987</v>
          </cell>
          <cell r="K21">
            <v>13557</v>
          </cell>
        </row>
        <row r="22">
          <cell r="A22">
            <v>1988</v>
          </cell>
          <cell r="K22">
            <v>15208.5</v>
          </cell>
        </row>
        <row r="23">
          <cell r="A23">
            <v>1989</v>
          </cell>
          <cell r="K23">
            <v>8394</v>
          </cell>
        </row>
        <row r="24">
          <cell r="A24">
            <v>1990</v>
          </cell>
          <cell r="K24">
            <v>1807</v>
          </cell>
        </row>
        <row r="25">
          <cell r="A25">
            <v>1991</v>
          </cell>
          <cell r="K25">
            <v>1945</v>
          </cell>
        </row>
        <row r="26">
          <cell r="A26">
            <v>1992</v>
          </cell>
          <cell r="K26">
            <v>2241</v>
          </cell>
        </row>
        <row r="27">
          <cell r="A27">
            <v>1993</v>
          </cell>
          <cell r="K27">
            <v>9341.5</v>
          </cell>
        </row>
        <row r="28">
          <cell r="A28">
            <v>1994</v>
          </cell>
          <cell r="K28">
            <v>8171</v>
          </cell>
        </row>
        <row r="29">
          <cell r="A29">
            <v>1995</v>
          </cell>
          <cell r="K29">
            <v>10217</v>
          </cell>
        </row>
        <row r="30">
          <cell r="A30">
            <v>1996</v>
          </cell>
          <cell r="K30">
            <v>6623</v>
          </cell>
        </row>
        <row r="31">
          <cell r="A31">
            <v>1997</v>
          </cell>
          <cell r="K31">
            <v>6429</v>
          </cell>
        </row>
        <row r="32">
          <cell r="A32">
            <v>1998</v>
          </cell>
          <cell r="K32">
            <v>1170</v>
          </cell>
        </row>
        <row r="33">
          <cell r="A33">
            <v>1999</v>
          </cell>
          <cell r="K33">
            <v>8129</v>
          </cell>
        </row>
        <row r="34">
          <cell r="A34">
            <v>2000</v>
          </cell>
          <cell r="K34">
            <v>1818</v>
          </cell>
        </row>
        <row r="35">
          <cell r="A35">
            <v>2001</v>
          </cell>
          <cell r="K35">
            <v>2398.8253390191658</v>
          </cell>
        </row>
        <row r="36">
          <cell r="A36">
            <v>2002</v>
          </cell>
          <cell r="K36">
            <v>899</v>
          </cell>
        </row>
        <row r="37">
          <cell r="A37">
            <v>2003</v>
          </cell>
          <cell r="K37">
            <v>2839</v>
          </cell>
        </row>
        <row r="38">
          <cell r="A38">
            <v>2004</v>
          </cell>
          <cell r="K38">
            <v>3386</v>
          </cell>
        </row>
        <row r="39">
          <cell r="A39">
            <v>2005</v>
          </cell>
          <cell r="K39">
            <v>3810</v>
          </cell>
        </row>
        <row r="40">
          <cell r="A40">
            <v>2006</v>
          </cell>
          <cell r="K40">
            <v>4693</v>
          </cell>
        </row>
      </sheetData>
      <sheetData sheetId="10" refreshError="1"/>
      <sheetData sheetId="11">
        <row r="5">
          <cell r="F5" t="str">
            <v>Age Classa</v>
          </cell>
        </row>
      </sheetData>
      <sheetData sheetId="12">
        <row r="4">
          <cell r="J4" t="str">
            <v>Hook-and-</v>
          </cell>
        </row>
      </sheetData>
      <sheetData sheetId="13">
        <row r="6">
          <cell r="B6" t="str">
            <v>Age Class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">
          <cell r="G5" t="str">
            <v>Age Classa</v>
          </cell>
        </row>
      </sheetData>
      <sheetData sheetId="26">
        <row r="5">
          <cell r="G5" t="str">
            <v>Age Classa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5">
          <cell r="B5" t="str">
            <v>Age Class</v>
          </cell>
        </row>
      </sheetData>
      <sheetData sheetId="57">
        <row r="5">
          <cell r="B5" t="str">
            <v>Age Class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igure 2"/>
      <sheetName val="EffTb1"/>
      <sheetName val="HalibutT2"/>
      <sheetName val="KingsT3"/>
      <sheetName val="CohosT4"/>
      <sheetName val="DolliesT5"/>
      <sheetName val="Razor clamT6"/>
      <sheetName val="Shellfish kbT7"/>
      <sheetName val="ERchinookTb8"/>
      <sheetName val="LRchinookTb9"/>
      <sheetName val="ELguidechinTb10"/>
      <sheetName val="SWHS_logbkTb11"/>
      <sheetName val="LRcontrTable 12"/>
      <sheetName val="ERcontrTb13"/>
      <sheetName val="nonspnTb14"/>
      <sheetName val="orig_CWTTb15"/>
      <sheetName val="orig_unexplTb16"/>
      <sheetName val="charterT17"/>
      <sheetName val="CWT SBP T18"/>
      <sheetName val="Feeders SBPT19"/>
      <sheetName val="AnchorTb20"/>
      <sheetName val="DCTb21 "/>
      <sheetName val="NinTb22"/>
      <sheetName val="AerialsT23"/>
      <sheetName val="DC smoltTb24"/>
      <sheetName val="DC king weir Tb25"/>
      <sheetName val="Nin creel 26"/>
      <sheetName val="NinweirTb27"/>
      <sheetName val="NinSEG Tb28"/>
      <sheetName val="ARDVweir Tb29"/>
      <sheetName val="DCcoho Tb30"/>
      <sheetName val="StarTb31"/>
      <sheetName val="WCIcoho Tb32"/>
      <sheetName val="DVTb33"/>
      <sheetName val="SH Tb34"/>
      <sheetName val="RelTb35"/>
      <sheetName val="SpitTb36"/>
      <sheetName val="PUTb37"/>
      <sheetName val="PUcontribTb38"/>
      <sheetName val="HCL Tb39"/>
      <sheetName val="Seld Tb40"/>
      <sheetName val="Seldsubst Tb41"/>
      <sheetName val="RceffortTb42"/>
      <sheetName val="Rcabund Tb43"/>
      <sheetName val="RcavlenTb44"/>
      <sheetName val="CF HSC harvTb45"/>
      <sheetName val="PermitHSC harvTb46"/>
      <sheetName val="SHS_perm SFTb47"/>
      <sheetName val="Comm DC Tb48"/>
      <sheetName val="Crab perm Tb49"/>
      <sheetName val="DCpsurv Tb50"/>
      <sheetName val="DCtsurv Tb51"/>
      <sheetName val="TCharv52"/>
      <sheetName val="TCtsurv Tb53"/>
      <sheetName val="Ed fish Tb54"/>
      <sheetName val="AppA1"/>
      <sheetName val="AppC1"/>
      <sheetName val="AppC2"/>
      <sheetName val="AppC3"/>
      <sheetName val="AppC4"/>
      <sheetName val="AppC5"/>
      <sheetName val="SFpermSHScompare"/>
      <sheetName val="SpPUhsc SHSpermCompare"/>
      <sheetName val="Tanner crab for BOF02"/>
      <sheetName val="Charter coho"/>
      <sheetName val="Ninilchik chinook weir counts"/>
      <sheetName val="CharteroldT17"/>
    </sheetNames>
    <sheetDataSet>
      <sheetData sheetId="0"/>
      <sheetData sheetId="1"/>
      <sheetData sheetId="2">
        <row r="1">
          <cell r="A1" t="str">
            <v>Table 1.- Angler days of effort expended by recreational anglers fishing Lower Cook Inlet Management Area waters, 1977-2003.</v>
          </cell>
        </row>
        <row r="8">
          <cell r="A8" t="str">
            <v>1977</v>
          </cell>
        </row>
        <row r="9">
          <cell r="A9" t="str">
            <v>1978</v>
          </cell>
        </row>
        <row r="10">
          <cell r="A10" t="str">
            <v>1979</v>
          </cell>
        </row>
        <row r="11">
          <cell r="A11" t="str">
            <v>1980</v>
          </cell>
        </row>
        <row r="12">
          <cell r="A12" t="str">
            <v>1981</v>
          </cell>
        </row>
        <row r="13">
          <cell r="A13" t="str">
            <v>1982</v>
          </cell>
        </row>
        <row r="14">
          <cell r="A14" t="str">
            <v>1983</v>
          </cell>
        </row>
        <row r="15">
          <cell r="A15" t="str">
            <v>1984</v>
          </cell>
        </row>
        <row r="16">
          <cell r="A16" t="str">
            <v>1985</v>
          </cell>
        </row>
        <row r="17">
          <cell r="A17" t="str">
            <v>1986</v>
          </cell>
        </row>
        <row r="18">
          <cell r="A18" t="str">
            <v>1987</v>
          </cell>
        </row>
        <row r="19">
          <cell r="A19" t="str">
            <v>1988</v>
          </cell>
        </row>
        <row r="20">
          <cell r="A20" t="str">
            <v>1989</v>
          </cell>
        </row>
        <row r="21">
          <cell r="A21" t="str">
            <v>1990</v>
          </cell>
        </row>
        <row r="22">
          <cell r="A22" t="str">
            <v>1991</v>
          </cell>
        </row>
        <row r="23">
          <cell r="A23" t="str">
            <v>1992</v>
          </cell>
        </row>
        <row r="24">
          <cell r="A24" t="str">
            <v>1993</v>
          </cell>
        </row>
        <row r="25">
          <cell r="A25" t="str">
            <v>1994</v>
          </cell>
        </row>
        <row r="26">
          <cell r="A26" t="str">
            <v>1995</v>
          </cell>
        </row>
        <row r="27">
          <cell r="A27" t="str">
            <v>1996</v>
          </cell>
        </row>
        <row r="28">
          <cell r="A28" t="str">
            <v>1997</v>
          </cell>
        </row>
        <row r="29">
          <cell r="A29" t="str">
            <v>1998</v>
          </cell>
        </row>
        <row r="30">
          <cell r="A30" t="str">
            <v>1999</v>
          </cell>
        </row>
        <row r="31">
          <cell r="A31" t="str">
            <v>2000</v>
          </cell>
        </row>
        <row r="32">
          <cell r="A32" t="str">
            <v>2001</v>
          </cell>
        </row>
        <row r="33">
          <cell r="A33" t="str">
            <v>2002</v>
          </cell>
        </row>
        <row r="34">
          <cell r="A34" t="str">
            <v>2003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"/>
      <sheetName val="North"/>
      <sheetName val="Appendix"/>
      <sheetName val="RADIOSN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lassic SR"/>
      <sheetName val="simulate m"/>
      <sheetName val="Bayes R meas error"/>
      <sheetName val="Bayes RS official se"/>
      <sheetName val="Bayes RS cv.3"/>
      <sheetName val="Bayes RS v6"/>
      <sheetName val="Bayes RS v7"/>
      <sheetName val="Bayes Ricker"/>
      <sheetName val="Bayes Resids"/>
      <sheetName val="Bayes S.msc"/>
      <sheetName val="Bayes Forecast"/>
      <sheetName val="Hindcast"/>
      <sheetName val="sibling plots"/>
    </sheetNames>
    <sheetDataSet>
      <sheetData sheetId="0">
        <row r="6">
          <cell r="B6" t="str">
            <v>Deep Creek</v>
          </cell>
          <cell r="C6" t="str">
            <v>Eastside</v>
          </cell>
          <cell r="D6" t="str">
            <v>Drift</v>
          </cell>
          <cell r="H6" t="str">
            <v>Total</v>
          </cell>
          <cell r="I6" t="str">
            <v>Kenai River</v>
          </cell>
          <cell r="L6" t="str">
            <v>Hook-and-</v>
          </cell>
        </row>
        <row r="7">
          <cell r="B7" t="str">
            <v>Marine</v>
          </cell>
          <cell r="C7" t="str">
            <v>Set Net</v>
          </cell>
          <cell r="D7" t="str">
            <v>Gillnet</v>
          </cell>
          <cell r="F7" t="str">
            <v>Inriver</v>
          </cell>
          <cell r="G7" t="str">
            <v>Total</v>
          </cell>
          <cell r="H7" t="str">
            <v>Return</v>
          </cell>
          <cell r="I7" t="str">
            <v>Sport</v>
          </cell>
          <cell r="K7" t="str">
            <v>Harv + HR</v>
          </cell>
          <cell r="L7" t="str">
            <v>Release</v>
          </cell>
          <cell r="N7" t="str">
            <v>Spawning</v>
          </cell>
        </row>
        <row r="8">
          <cell r="A8" t="str">
            <v>Year</v>
          </cell>
          <cell r="B8" t="str">
            <v>Harvest</v>
          </cell>
          <cell r="C8" t="str">
            <v>Harvest</v>
          </cell>
          <cell r="D8" t="str">
            <v>Harvest</v>
          </cell>
          <cell r="E8" t="str">
            <v>Subsistencea</v>
          </cell>
          <cell r="F8" t="str">
            <v>Return</v>
          </cell>
          <cell r="G8" t="str">
            <v>Return</v>
          </cell>
          <cell r="H8" t="str">
            <v>Check</v>
          </cell>
          <cell r="I8" t="str">
            <v>Harvest</v>
          </cell>
          <cell r="J8" t="str">
            <v>Harv SE</v>
          </cell>
          <cell r="K8" t="str">
            <v>SE</v>
          </cell>
          <cell r="L8" t="str">
            <v>Mortality</v>
          </cell>
          <cell r="N8" t="str">
            <v>Escapement</v>
          </cell>
        </row>
        <row r="10">
          <cell r="A10">
            <v>1985</v>
          </cell>
          <cell r="B10" t="str">
            <v>Unknown</v>
          </cell>
          <cell r="C10" t="str">
            <v>Closed</v>
          </cell>
          <cell r="D10" t="str">
            <v>Closed</v>
          </cell>
          <cell r="F10">
            <v>15972</v>
          </cell>
          <cell r="G10">
            <v>15972</v>
          </cell>
          <cell r="H10">
            <v>15972</v>
          </cell>
          <cell r="I10">
            <v>7971</v>
          </cell>
          <cell r="L10" t="str">
            <v>Unknown</v>
          </cell>
          <cell r="N10">
            <v>8001</v>
          </cell>
        </row>
        <row r="11">
          <cell r="A11">
            <v>1986</v>
          </cell>
          <cell r="B11" t="str">
            <v>Unknown</v>
          </cell>
          <cell r="C11" t="str">
            <v>Closed</v>
          </cell>
          <cell r="D11" t="str">
            <v>Closed</v>
          </cell>
          <cell r="F11">
            <v>27080</v>
          </cell>
          <cell r="G11">
            <v>27080</v>
          </cell>
          <cell r="H11">
            <v>27080</v>
          </cell>
          <cell r="I11">
            <v>8156</v>
          </cell>
          <cell r="J11">
            <v>514.8374079981196</v>
          </cell>
          <cell r="K11">
            <v>539.27530454984583</v>
          </cell>
          <cell r="L11">
            <v>242.24</v>
          </cell>
          <cell r="M11">
            <v>2.9700833742030409E-2</v>
          </cell>
          <cell r="N11">
            <v>18681.759999999998</v>
          </cell>
        </row>
        <row r="12">
          <cell r="A12">
            <v>1987</v>
          </cell>
          <cell r="B12" t="str">
            <v>Unknown</v>
          </cell>
          <cell r="C12" t="str">
            <v>Closed</v>
          </cell>
          <cell r="D12" t="str">
            <v>Closed</v>
          </cell>
          <cell r="F12">
            <v>25643</v>
          </cell>
          <cell r="G12">
            <v>25643</v>
          </cell>
          <cell r="H12">
            <v>25643</v>
          </cell>
          <cell r="I12">
            <v>13557</v>
          </cell>
          <cell r="J12">
            <v>912.42917533362561</v>
          </cell>
          <cell r="K12">
            <v>935.9024054894827</v>
          </cell>
          <cell r="L12">
            <v>306.11200000000002</v>
          </cell>
          <cell r="M12">
            <v>2.2579626761082838E-2</v>
          </cell>
          <cell r="N12">
            <v>11779.888000000001</v>
          </cell>
        </row>
        <row r="13">
          <cell r="A13">
            <v>1988</v>
          </cell>
          <cell r="B13" t="str">
            <v>Unknown</v>
          </cell>
          <cell r="C13" t="str">
            <v>Closed</v>
          </cell>
          <cell r="D13" t="str">
            <v>Closed</v>
          </cell>
          <cell r="F13">
            <v>20880</v>
          </cell>
          <cell r="G13">
            <v>20880</v>
          </cell>
          <cell r="H13">
            <v>20880</v>
          </cell>
          <cell r="I13">
            <v>15208.5</v>
          </cell>
          <cell r="J13">
            <v>815.24444187004428</v>
          </cell>
          <cell r="K13">
            <v>845.83812419930564</v>
          </cell>
          <cell r="L13">
            <v>340.28800000000001</v>
          </cell>
          <cell r="M13">
            <v>2.2374856165959824E-2</v>
          </cell>
          <cell r="N13">
            <v>5331.2119999999995</v>
          </cell>
        </row>
        <row r="14">
          <cell r="A14">
            <v>1989</v>
          </cell>
          <cell r="B14" t="str">
            <v>Unknown</v>
          </cell>
          <cell r="C14" t="str">
            <v>Closed</v>
          </cell>
          <cell r="D14" t="str">
            <v>Closed</v>
          </cell>
          <cell r="E14">
            <v>73</v>
          </cell>
          <cell r="F14">
            <v>17992</v>
          </cell>
          <cell r="G14">
            <v>18065</v>
          </cell>
          <cell r="H14">
            <v>18065</v>
          </cell>
          <cell r="I14">
            <v>8394</v>
          </cell>
          <cell r="J14">
            <v>517.10226261349897</v>
          </cell>
          <cell r="K14">
            <v>527.23580343452591</v>
          </cell>
          <cell r="L14">
            <v>148.672</v>
          </cell>
          <cell r="M14">
            <v>1.7711698832499404E-2</v>
          </cell>
          <cell r="N14">
            <v>9449.3279999999995</v>
          </cell>
        </row>
        <row r="15">
          <cell r="A15">
            <v>1990</v>
          </cell>
          <cell r="B15" t="str">
            <v>Unknown</v>
          </cell>
          <cell r="C15" t="str">
            <v>Closed</v>
          </cell>
          <cell r="D15" t="str">
            <v>Closed</v>
          </cell>
          <cell r="E15">
            <v>40</v>
          </cell>
          <cell r="F15">
            <v>10679</v>
          </cell>
          <cell r="G15">
            <v>10719</v>
          </cell>
          <cell r="H15">
            <v>10719</v>
          </cell>
          <cell r="I15">
            <v>1807</v>
          </cell>
          <cell r="J15">
            <v>226.98568236785331</v>
          </cell>
          <cell r="K15">
            <v>254.57373625377079</v>
          </cell>
          <cell r="L15">
            <v>378.00399999999996</v>
          </cell>
          <cell r="M15">
            <v>0.20918871057000551</v>
          </cell>
          <cell r="N15">
            <v>8493.9959999999992</v>
          </cell>
        </row>
        <row r="16">
          <cell r="A16">
            <v>1991</v>
          </cell>
          <cell r="B16" t="str">
            <v>Unknown</v>
          </cell>
          <cell r="C16" t="str">
            <v>Closed</v>
          </cell>
          <cell r="D16" t="str">
            <v>Closed</v>
          </cell>
          <cell r="E16">
            <v>2</v>
          </cell>
          <cell r="F16">
            <v>10931</v>
          </cell>
          <cell r="G16">
            <v>10933</v>
          </cell>
          <cell r="H16">
            <v>10933</v>
          </cell>
          <cell r="I16">
            <v>1945</v>
          </cell>
          <cell r="J16">
            <v>208.50899261182957</v>
          </cell>
          <cell r="K16">
            <v>222.59942188583992</v>
          </cell>
          <cell r="L16">
            <v>152.02000000000001</v>
          </cell>
          <cell r="M16">
            <v>7.815938303341903E-2</v>
          </cell>
          <cell r="N16">
            <v>8833.98</v>
          </cell>
        </row>
        <row r="17">
          <cell r="A17">
            <v>1992</v>
          </cell>
          <cell r="B17" t="str">
            <v>Unknown</v>
          </cell>
          <cell r="C17" t="str">
            <v>Closed</v>
          </cell>
          <cell r="D17" t="str">
            <v>Closed</v>
          </cell>
          <cell r="E17">
            <v>73</v>
          </cell>
          <cell r="F17">
            <v>10087</v>
          </cell>
          <cell r="G17">
            <v>10160</v>
          </cell>
          <cell r="H17">
            <v>10160</v>
          </cell>
          <cell r="I17">
            <v>2241</v>
          </cell>
          <cell r="J17">
            <v>177.04166176355213</v>
          </cell>
          <cell r="K17">
            <v>233.159504645157</v>
          </cell>
          <cell r="L17">
            <v>236</v>
          </cell>
          <cell r="M17">
            <v>0.10531012940651495</v>
          </cell>
          <cell r="N17">
            <v>7610</v>
          </cell>
        </row>
        <row r="18">
          <cell r="A18">
            <v>1993</v>
          </cell>
          <cell r="B18" t="str">
            <v>Unknown</v>
          </cell>
          <cell r="C18" t="str">
            <v>Closed</v>
          </cell>
          <cell r="D18" t="str">
            <v>Closed</v>
          </cell>
          <cell r="E18">
            <v>118</v>
          </cell>
          <cell r="F18">
            <v>19921</v>
          </cell>
          <cell r="G18">
            <v>20039</v>
          </cell>
          <cell r="H18">
            <v>20039</v>
          </cell>
          <cell r="I18">
            <v>9341.5</v>
          </cell>
          <cell r="J18">
            <v>419.44385685094971</v>
          </cell>
          <cell r="K18">
            <v>458.82817674385132</v>
          </cell>
          <cell r="L18">
            <v>286.33600000000001</v>
          </cell>
          <cell r="M18">
            <v>3.0652036610822674E-2</v>
          </cell>
          <cell r="N18">
            <v>10293.164000000001</v>
          </cell>
        </row>
        <row r="19">
          <cell r="A19">
            <v>1994</v>
          </cell>
          <cell r="B19" t="str">
            <v>Unknown</v>
          </cell>
          <cell r="C19" t="str">
            <v>Closed</v>
          </cell>
          <cell r="D19" t="str">
            <v>Closed</v>
          </cell>
          <cell r="E19">
            <v>56</v>
          </cell>
          <cell r="F19">
            <v>18403</v>
          </cell>
          <cell r="G19">
            <v>18459</v>
          </cell>
          <cell r="H19">
            <v>18459</v>
          </cell>
          <cell r="I19">
            <v>8171</v>
          </cell>
          <cell r="J19">
            <v>363.33916699827449</v>
          </cell>
          <cell r="K19">
            <v>407.64347737927204</v>
          </cell>
          <cell r="L19">
            <v>285.28000000000003</v>
          </cell>
          <cell r="M19">
            <v>3.4913719251009674E-2</v>
          </cell>
          <cell r="N19">
            <v>9946.7199999999993</v>
          </cell>
        </row>
        <row r="20">
          <cell r="A20">
            <v>1995</v>
          </cell>
          <cell r="B20" t="str">
            <v>Unknown</v>
          </cell>
          <cell r="C20" t="str">
            <v>Closed</v>
          </cell>
          <cell r="D20" t="str">
            <v>Closed</v>
          </cell>
          <cell r="E20">
            <v>37</v>
          </cell>
          <cell r="F20">
            <v>21884</v>
          </cell>
          <cell r="G20">
            <v>21921</v>
          </cell>
          <cell r="H20">
            <v>21921</v>
          </cell>
          <cell r="I20">
            <v>10217</v>
          </cell>
          <cell r="J20">
            <v>447.57689903523845</v>
          </cell>
          <cell r="K20">
            <v>503.51141221952696</v>
          </cell>
          <cell r="L20">
            <v>356.89600000000002</v>
          </cell>
          <cell r="M20">
            <v>3.4931584613878831E-2</v>
          </cell>
          <cell r="N20">
            <v>11310.103999999999</v>
          </cell>
        </row>
        <row r="21">
          <cell r="A21">
            <v>1996</v>
          </cell>
          <cell r="B21" t="str">
            <v>Unknown</v>
          </cell>
          <cell r="C21" t="str">
            <v>Closed</v>
          </cell>
          <cell r="D21" t="str">
            <v>Closed</v>
          </cell>
          <cell r="E21">
            <v>104</v>
          </cell>
          <cell r="F21">
            <v>23505</v>
          </cell>
          <cell r="G21">
            <v>23609</v>
          </cell>
          <cell r="H21">
            <v>23609</v>
          </cell>
          <cell r="I21">
            <v>6623</v>
          </cell>
          <cell r="J21">
            <v>354.07767509403919</v>
          </cell>
          <cell r="K21">
            <v>400.80243714017007</v>
          </cell>
          <cell r="L21">
            <v>287.42399999999998</v>
          </cell>
          <cell r="M21">
            <v>4.3397855956515172E-2</v>
          </cell>
          <cell r="N21">
            <v>16594.576000000001</v>
          </cell>
        </row>
        <row r="22">
          <cell r="A22">
            <v>1997</v>
          </cell>
          <cell r="B22" t="str">
            <v>Unknown</v>
          </cell>
          <cell r="C22" t="str">
            <v>Closed</v>
          </cell>
          <cell r="D22" t="str">
            <v>Closed</v>
          </cell>
          <cell r="E22">
            <v>122</v>
          </cell>
          <cell r="F22">
            <v>14963</v>
          </cell>
          <cell r="G22">
            <v>15085</v>
          </cell>
          <cell r="H22">
            <v>15085</v>
          </cell>
          <cell r="I22">
            <v>6437</v>
          </cell>
          <cell r="J22">
            <v>642.66632088510755</v>
          </cell>
          <cell r="K22">
            <v>683.44335809487529</v>
          </cell>
          <cell r="L22">
            <v>349.952</v>
          </cell>
          <cell r="M22">
            <v>5.4365698306664594E-2</v>
          </cell>
          <cell r="N22">
            <v>8176.0479999999998</v>
          </cell>
        </row>
        <row r="23">
          <cell r="A23">
            <v>1998</v>
          </cell>
          <cell r="B23" t="str">
            <v>Unknown</v>
          </cell>
          <cell r="C23" t="str">
            <v>Closed</v>
          </cell>
          <cell r="D23" t="str">
            <v>Closed</v>
          </cell>
          <cell r="E23">
            <v>131</v>
          </cell>
          <cell r="F23">
            <v>9184</v>
          </cell>
          <cell r="G23">
            <v>9315</v>
          </cell>
          <cell r="H23">
            <v>9315</v>
          </cell>
          <cell r="I23">
            <v>1170</v>
          </cell>
          <cell r="J23">
            <v>122.97967311714567</v>
          </cell>
          <cell r="K23">
            <v>205.37711363854544</v>
          </cell>
          <cell r="L23">
            <v>254.27199999999999</v>
          </cell>
          <cell r="M23">
            <v>0.21732649572649571</v>
          </cell>
          <cell r="N23">
            <v>7759.7280000000001</v>
          </cell>
        </row>
        <row r="24">
          <cell r="A24">
            <v>1999</v>
          </cell>
          <cell r="B24" t="str">
            <v>Unknown</v>
          </cell>
          <cell r="C24" t="str">
            <v>Closed</v>
          </cell>
          <cell r="D24" t="str">
            <v>Closed</v>
          </cell>
          <cell r="E24">
            <v>114</v>
          </cell>
          <cell r="F24">
            <v>25666</v>
          </cell>
          <cell r="G24">
            <v>25780</v>
          </cell>
          <cell r="H24">
            <v>114</v>
          </cell>
          <cell r="I24">
            <v>8129</v>
          </cell>
          <cell r="J24">
            <v>477.81063194533459</v>
          </cell>
          <cell r="K24">
            <v>507.42590270107416</v>
          </cell>
          <cell r="L24">
            <v>260.608</v>
          </cell>
          <cell r="M24">
            <v>3.2059047853364497E-2</v>
          </cell>
          <cell r="N24">
            <v>17276.392</v>
          </cell>
        </row>
        <row r="25">
          <cell r="A25">
            <v>2000</v>
          </cell>
          <cell r="B25" t="str">
            <v>Unknown</v>
          </cell>
          <cell r="C25" t="str">
            <v>Closed</v>
          </cell>
          <cell r="D25" t="str">
            <v>Closed</v>
          </cell>
          <cell r="E25">
            <v>124</v>
          </cell>
          <cell r="F25">
            <v>12478.630000104904</v>
          </cell>
          <cell r="G25">
            <v>12602.630000104904</v>
          </cell>
          <cell r="H25">
            <v>124</v>
          </cell>
          <cell r="I25">
            <v>1818</v>
          </cell>
          <cell r="J25">
            <v>197.88127753782058</v>
          </cell>
          <cell r="K25">
            <v>231.76641454921801</v>
          </cell>
          <cell r="L25">
            <v>184.83199999999999</v>
          </cell>
          <cell r="M25">
            <v>0.10166776677667766</v>
          </cell>
          <cell r="N25">
            <v>10475.798000104904</v>
          </cell>
        </row>
        <row r="26">
          <cell r="A26">
            <v>2001</v>
          </cell>
          <cell r="B26" t="str">
            <v>Unknown</v>
          </cell>
          <cell r="C26" t="str">
            <v>Closed</v>
          </cell>
          <cell r="D26" t="str">
            <v>Closed</v>
          </cell>
          <cell r="E26">
            <v>198</v>
          </cell>
          <cell r="F26">
            <v>16676</v>
          </cell>
          <cell r="G26">
            <v>16874</v>
          </cell>
          <cell r="H26">
            <v>198</v>
          </cell>
          <cell r="I26">
            <v>2396.8253390191658</v>
          </cell>
          <cell r="J26">
            <v>190.44894493024401</v>
          </cell>
          <cell r="K26">
            <v>231.26417857596468</v>
          </cell>
          <cell r="L26">
            <v>204.59610824142419</v>
          </cell>
          <cell r="M26">
            <v>8.536129225217115E-2</v>
          </cell>
          <cell r="N26">
            <v>14074.578552739411</v>
          </cell>
        </row>
        <row r="27">
          <cell r="A27">
            <v>2002</v>
          </cell>
          <cell r="E27">
            <v>132.16666666666666</v>
          </cell>
          <cell r="F27">
            <v>7162</v>
          </cell>
          <cell r="G27">
            <v>7294.166666666667</v>
          </cell>
          <cell r="I27">
            <v>376</v>
          </cell>
          <cell r="J27">
            <v>100</v>
          </cell>
          <cell r="K27">
            <v>200</v>
          </cell>
          <cell r="L27">
            <v>26.312967292689127</v>
          </cell>
          <cell r="N27">
            <v>6759.6870327073111</v>
          </cell>
        </row>
        <row r="28">
          <cell r="A28">
            <v>2003</v>
          </cell>
          <cell r="E28">
            <v>132.16666666666666</v>
          </cell>
          <cell r="F28">
            <v>13325</v>
          </cell>
          <cell r="G28">
            <v>13457.166666666666</v>
          </cell>
          <cell r="I28">
            <v>1917</v>
          </cell>
          <cell r="J28">
            <v>200</v>
          </cell>
          <cell r="K28">
            <v>250</v>
          </cell>
          <cell r="L28">
            <v>134.15414441511984</v>
          </cell>
          <cell r="N28">
            <v>11273.845855584881</v>
          </cell>
        </row>
        <row r="29">
          <cell r="M29">
            <v>6.9981295991194487E-2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Karluk"/>
      <sheetName val="Karluk &amp; comm hrv"/>
      <sheetName val="Bayes"/>
      <sheetName val="ASA talk"/>
      <sheetName val="Summary"/>
    </sheetNames>
    <sheetDataSet>
      <sheetData sheetId="0"/>
      <sheetData sheetId="1">
        <row r="9">
          <cell r="M9" t="str">
            <v>Total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L89"/>
  <sheetViews>
    <sheetView tabSelected="1" zoomScale="130" zoomScaleNormal="130" workbookViewId="0">
      <pane xSplit="1" ySplit="5" topLeftCell="AL9" activePane="bottomRight" state="frozen"/>
      <selection pane="topRight" activeCell="B1" sqref="B1"/>
      <selection pane="bottomLeft" activeCell="A10" sqref="A10"/>
      <selection pane="bottomRight" activeCell="AY44" sqref="AY44"/>
    </sheetView>
  </sheetViews>
  <sheetFormatPr defaultRowHeight="11.25" x14ac:dyDescent="0.2"/>
  <cols>
    <col min="1" max="1" width="6.28515625" style="7" customWidth="1"/>
    <col min="2" max="2" width="7" style="7" customWidth="1"/>
    <col min="3" max="5" width="5.7109375" style="7" customWidth="1"/>
    <col min="6" max="6" width="7" style="7" customWidth="1"/>
    <col min="7" max="8" width="5.7109375" style="7" customWidth="1"/>
    <col min="9" max="9" width="6.7109375" style="7" customWidth="1"/>
    <col min="10" max="10" width="6.5703125" style="7" customWidth="1"/>
    <col min="11" max="12" width="6.28515625" style="7" customWidth="1"/>
    <col min="13" max="14" width="4.42578125" style="7" customWidth="1"/>
    <col min="15" max="15" width="4.7109375" style="7" customWidth="1"/>
    <col min="16" max="16" width="5" style="7" customWidth="1"/>
    <col min="17" max="19" width="4.28515625" style="7" customWidth="1"/>
    <col min="20" max="20" width="6.140625" style="7" customWidth="1"/>
    <col min="21" max="21" width="6.28515625" style="7" customWidth="1"/>
    <col min="22" max="22" width="5.7109375" style="7" customWidth="1"/>
    <col min="23" max="23" width="6.140625" style="7" customWidth="1"/>
    <col min="24" max="25" width="4.5703125" style="7" customWidth="1"/>
    <col min="26" max="26" width="6.28515625" style="7" customWidth="1"/>
    <col min="27" max="28" width="5.7109375" style="7" customWidth="1"/>
    <col min="29" max="36" width="4.140625" style="7" customWidth="1"/>
    <col min="37" max="45" width="5.7109375" style="7" customWidth="1"/>
    <col min="46" max="46" width="9.85546875" style="7" customWidth="1"/>
    <col min="47" max="47" width="8.5703125" style="7" customWidth="1"/>
    <col min="48" max="50" width="5.7109375" style="7" customWidth="1"/>
    <col min="51" max="51" width="6.42578125" style="7" customWidth="1"/>
    <col min="52" max="53" width="5.7109375" style="7" customWidth="1"/>
    <col min="54" max="54" width="6.28515625" style="7" customWidth="1"/>
    <col min="55" max="55" width="8.85546875" style="7" customWidth="1"/>
    <col min="56" max="56" width="7.5703125" style="7" customWidth="1"/>
    <col min="57" max="57" width="6.140625" style="7" customWidth="1"/>
    <col min="58" max="16384" width="9.140625" style="7"/>
  </cols>
  <sheetData>
    <row r="1" spans="1:64" ht="18" x14ac:dyDescent="0.25">
      <c r="A1" s="1" t="s">
        <v>16</v>
      </c>
      <c r="BA1" s="53"/>
      <c r="BB1" s="53"/>
      <c r="BC1" s="59"/>
      <c r="BD1" s="60"/>
      <c r="BE1" s="60"/>
    </row>
    <row r="2" spans="1:64" s="11" customFormat="1" ht="12.75" customHeight="1" x14ac:dyDescent="0.2">
      <c r="D2" s="11" t="s">
        <v>17</v>
      </c>
      <c r="G2" s="11" t="s">
        <v>18</v>
      </c>
      <c r="I2" s="12"/>
      <c r="J2" s="12"/>
      <c r="L2" s="11" t="s">
        <v>19</v>
      </c>
      <c r="BA2" s="61"/>
      <c r="BB2" s="61"/>
      <c r="BC2" s="62"/>
      <c r="BD2" s="62"/>
      <c r="BE2" s="63"/>
    </row>
    <row r="3" spans="1:64" s="11" customFormat="1" ht="12.75" customHeight="1" x14ac:dyDescent="0.2">
      <c r="D3" s="11" t="s">
        <v>20</v>
      </c>
      <c r="G3" s="11" t="s">
        <v>21</v>
      </c>
      <c r="L3" s="11" t="s">
        <v>20</v>
      </c>
      <c r="AA3" s="12" t="s">
        <v>22</v>
      </c>
      <c r="AB3" s="12"/>
      <c r="BA3" s="61"/>
      <c r="BB3" s="61"/>
      <c r="BC3" s="61"/>
      <c r="BD3" s="61"/>
      <c r="BE3" s="61"/>
    </row>
    <row r="4" spans="1:64" s="11" customFormat="1" ht="12.75" customHeight="1" x14ac:dyDescent="0.2">
      <c r="B4" s="11" t="s">
        <v>23</v>
      </c>
      <c r="C4" s="11" t="s">
        <v>24</v>
      </c>
      <c r="D4" s="11" t="s">
        <v>25</v>
      </c>
      <c r="G4" s="11" t="s">
        <v>17</v>
      </c>
      <c r="I4" s="11" t="s">
        <v>26</v>
      </c>
      <c r="K4" s="11" t="s">
        <v>18</v>
      </c>
      <c r="L4" s="11" t="s">
        <v>25</v>
      </c>
      <c r="T4" s="72" t="s">
        <v>27</v>
      </c>
      <c r="U4" s="72"/>
      <c r="V4" s="72"/>
      <c r="W4" s="72"/>
      <c r="X4" s="72"/>
      <c r="Y4" s="72"/>
      <c r="Z4" s="72"/>
      <c r="AA4" s="12" t="s">
        <v>28</v>
      </c>
      <c r="AB4" s="12"/>
      <c r="AK4" s="72" t="s">
        <v>29</v>
      </c>
      <c r="AL4" s="72"/>
      <c r="AM4" s="72"/>
      <c r="AN4" s="72"/>
      <c r="AO4" s="72"/>
      <c r="AP4" s="72"/>
      <c r="AQ4" s="72"/>
      <c r="AR4" s="11" t="s">
        <v>30</v>
      </c>
      <c r="AV4" s="73" t="s">
        <v>31</v>
      </c>
      <c r="AW4" s="73"/>
      <c r="AX4" s="73"/>
      <c r="AY4" s="73"/>
      <c r="AZ4" s="73"/>
      <c r="BA4" s="13"/>
      <c r="BB4" s="11" t="s">
        <v>18</v>
      </c>
    </row>
    <row r="5" spans="1:64" s="11" customFormat="1" ht="12.75" customHeight="1" x14ac:dyDescent="0.2">
      <c r="A5" s="14" t="s">
        <v>32</v>
      </c>
      <c r="B5" s="14" t="s">
        <v>21</v>
      </c>
      <c r="C5" s="14" t="s">
        <v>21</v>
      </c>
      <c r="D5" s="14" t="s">
        <v>21</v>
      </c>
      <c r="E5" s="14" t="s">
        <v>33</v>
      </c>
      <c r="F5" s="14" t="s">
        <v>34</v>
      </c>
      <c r="G5" s="14" t="s">
        <v>20</v>
      </c>
      <c r="H5" s="14" t="s">
        <v>35</v>
      </c>
      <c r="I5" s="14" t="s">
        <v>36</v>
      </c>
      <c r="J5" s="14" t="s">
        <v>37</v>
      </c>
      <c r="K5" s="14" t="s">
        <v>36</v>
      </c>
      <c r="L5" s="14" t="s">
        <v>21</v>
      </c>
      <c r="M5" s="14" t="s">
        <v>33</v>
      </c>
      <c r="N5" s="14" t="s">
        <v>37</v>
      </c>
      <c r="O5" s="11" t="s">
        <v>35</v>
      </c>
      <c r="P5" s="14" t="s">
        <v>38</v>
      </c>
      <c r="Q5" s="14" t="s">
        <v>33</v>
      </c>
      <c r="R5" s="14" t="s">
        <v>37</v>
      </c>
      <c r="S5" s="14">
        <v>2</v>
      </c>
      <c r="T5" s="14">
        <v>3</v>
      </c>
      <c r="U5" s="14">
        <v>4</v>
      </c>
      <c r="V5" s="14">
        <v>5</v>
      </c>
      <c r="W5" s="14">
        <v>6</v>
      </c>
      <c r="X5" s="14">
        <v>7</v>
      </c>
      <c r="Y5" s="14">
        <v>8</v>
      </c>
      <c r="Z5" s="14" t="str">
        <f>[6]Karluk!M9</f>
        <v>Total</v>
      </c>
      <c r="AA5" s="15" t="s">
        <v>39</v>
      </c>
      <c r="AB5" s="16">
        <v>2</v>
      </c>
      <c r="AC5" s="16">
        <v>3</v>
      </c>
      <c r="AD5" s="16">
        <v>4</v>
      </c>
      <c r="AE5" s="16">
        <v>5</v>
      </c>
      <c r="AF5" s="16">
        <v>6</v>
      </c>
      <c r="AG5" s="16">
        <v>7</v>
      </c>
      <c r="AH5" s="16">
        <v>8</v>
      </c>
      <c r="AI5" s="17"/>
      <c r="AJ5" s="17">
        <v>2</v>
      </c>
      <c r="AK5" s="14">
        <v>3</v>
      </c>
      <c r="AL5" s="14">
        <v>4</v>
      </c>
      <c r="AM5" s="14">
        <v>5</v>
      </c>
      <c r="AN5" s="14">
        <v>6</v>
      </c>
      <c r="AO5" s="14">
        <v>7</v>
      </c>
      <c r="AP5" s="14">
        <v>8</v>
      </c>
      <c r="AQ5" s="14" t="s">
        <v>18</v>
      </c>
      <c r="AR5" s="14" t="s">
        <v>32</v>
      </c>
      <c r="AS5" s="14" t="s">
        <v>32</v>
      </c>
      <c r="AT5" s="14" t="s">
        <v>40</v>
      </c>
      <c r="AU5" s="14">
        <v>2</v>
      </c>
      <c r="AV5" s="14">
        <v>3</v>
      </c>
      <c r="AW5" s="14">
        <v>4</v>
      </c>
      <c r="AX5" s="14">
        <v>5</v>
      </c>
      <c r="AY5" s="14">
        <v>6</v>
      </c>
      <c r="AZ5" s="14">
        <v>7</v>
      </c>
      <c r="BA5" s="14">
        <v>8</v>
      </c>
      <c r="BB5" s="14" t="s">
        <v>36</v>
      </c>
      <c r="BC5" s="14" t="s">
        <v>41</v>
      </c>
      <c r="BD5" s="14" t="s">
        <v>42</v>
      </c>
      <c r="BE5" s="14" t="s">
        <v>15</v>
      </c>
      <c r="BH5" s="11">
        <v>1.1000000000000001</v>
      </c>
      <c r="BI5" s="11">
        <v>1.2</v>
      </c>
      <c r="BJ5" s="11">
        <v>1.3</v>
      </c>
      <c r="BK5" s="11">
        <v>1.4</v>
      </c>
      <c r="BL5" s="11">
        <v>1.5</v>
      </c>
    </row>
    <row r="6" spans="1:64" ht="12.75" customHeight="1" x14ac:dyDescent="0.2">
      <c r="A6" s="18">
        <v>1976</v>
      </c>
      <c r="B6" s="19">
        <v>2</v>
      </c>
      <c r="C6" s="20">
        <v>0</v>
      </c>
      <c r="D6" s="21"/>
      <c r="E6" s="21"/>
      <c r="F6" s="21"/>
      <c r="G6" s="22">
        <f t="shared" ref="G6:G40" si="0">SUM(B6:D6)</f>
        <v>2</v>
      </c>
      <c r="H6" s="23">
        <f t="shared" ref="H6:H40" si="1">G6/K6</f>
        <v>2.8989708653428034E-4</v>
      </c>
      <c r="I6" s="19">
        <v>6897</v>
      </c>
      <c r="J6" s="24">
        <v>0.05</v>
      </c>
      <c r="K6" s="10">
        <f t="shared" ref="K6:K44" si="2">G6+I6</f>
        <v>6899</v>
      </c>
      <c r="L6" s="25">
        <v>460.66666666666669</v>
      </c>
      <c r="M6" s="25"/>
      <c r="N6" s="26">
        <v>0.6</v>
      </c>
      <c r="O6" s="8">
        <f t="shared" ref="O6:O45" si="3">L6/I6</f>
        <v>6.6792325165530908E-2</v>
      </c>
      <c r="P6" s="22">
        <f t="shared" ref="P6:P48" si="4">I6-L6</f>
        <v>6436.333333333333</v>
      </c>
      <c r="Q6" s="22">
        <v>0</v>
      </c>
      <c r="R6" s="27">
        <v>0.03</v>
      </c>
      <c r="S6" s="27"/>
      <c r="T6" s="28">
        <f t="shared" ref="T6:Y40" si="5">AK6*$K6</f>
        <v>189.40508060447257</v>
      </c>
      <c r="U6" s="29">
        <f t="shared" si="5"/>
        <v>697.88123756292612</v>
      </c>
      <c r="V6" s="29">
        <f t="shared" si="5"/>
        <v>2025.8814939494293</v>
      </c>
      <c r="W6" s="29">
        <f t="shared" si="5"/>
        <v>3347.5509962094634</v>
      </c>
      <c r="X6" s="29">
        <f t="shared" si="5"/>
        <v>614.05242422688787</v>
      </c>
      <c r="Y6" s="29"/>
      <c r="Z6" s="25">
        <f>SUM(S6:Y6)</f>
        <v>6874.7712325531793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J6" s="26"/>
      <c r="AK6" s="26">
        <f t="shared" ref="AK6:AO15" si="6">AK$60</f>
        <v>2.7453990521013563E-2</v>
      </c>
      <c r="AL6" s="26">
        <f t="shared" si="6"/>
        <v>0.10115686875821513</v>
      </c>
      <c r="AM6" s="26">
        <f t="shared" si="6"/>
        <v>0.29364857137982742</v>
      </c>
      <c r="AN6" s="26">
        <f t="shared" si="6"/>
        <v>0.48522264041302554</v>
      </c>
      <c r="AO6" s="26">
        <f t="shared" si="6"/>
        <v>8.9006004381343359E-2</v>
      </c>
      <c r="AP6" s="26"/>
      <c r="AQ6" s="8">
        <v>1</v>
      </c>
      <c r="AR6" s="30">
        <v>8</v>
      </c>
      <c r="AS6" s="31">
        <f t="shared" ref="AS6:AS37" si="7">A6</f>
        <v>1976</v>
      </c>
      <c r="AT6" s="32">
        <f t="shared" ref="AT6:AT48" si="8">P6</f>
        <v>6436.333333333333</v>
      </c>
      <c r="AU6" s="10">
        <f t="shared" ref="AU6:AU34" si="9">S8</f>
        <v>0</v>
      </c>
      <c r="AV6" s="33">
        <f>T9</f>
        <v>262.32287942828458</v>
      </c>
      <c r="AW6" s="34">
        <f t="shared" ref="AW6:AW44" si="10">U10</f>
        <v>486.56453872701474</v>
      </c>
      <c r="AX6" s="34">
        <f t="shared" ref="AX6:AX43" si="11">V11</f>
        <v>2224.3879282021926</v>
      </c>
      <c r="AY6" s="34">
        <f t="shared" ref="AY6:AY42" si="12">W12</f>
        <v>3633.8323540531483</v>
      </c>
      <c r="AZ6" s="33">
        <f t="shared" ref="AZ6:BA34" si="13">X13</f>
        <v>1045.4645274632592</v>
      </c>
      <c r="BA6" s="33"/>
      <c r="BB6" s="32">
        <f>SUM(AU6:BA6)</f>
        <v>7652.5722278738995</v>
      </c>
      <c r="BC6" s="33">
        <f t="shared" ref="BC6:BC38" si="14">BB6-AT6</f>
        <v>1216.2388945405664</v>
      </c>
      <c r="BD6" s="26">
        <f t="shared" ref="BD6:BD32" si="15">BB6/AT6</f>
        <v>1.1889645597193899</v>
      </c>
      <c r="BE6" s="9">
        <f t="shared" ref="BE6:BE32" si="16">P6</f>
        <v>6436.333333333333</v>
      </c>
      <c r="BH6" s="7">
        <f>SUM(AU6:AV6)/$BB6</f>
        <v>3.427904652409472E-2</v>
      </c>
      <c r="BI6" s="7">
        <f t="shared" ref="BH6:BM6" si="17">AW6/$BB6</f>
        <v>6.3581828990093195E-2</v>
      </c>
      <c r="BJ6" s="7">
        <f t="shared" si="17"/>
        <v>0.29067192859677071</v>
      </c>
      <c r="BK6" s="7">
        <f t="shared" si="17"/>
        <v>0.47485110180563816</v>
      </c>
      <c r="BL6" s="7">
        <f>SUM(AZ6:BA6)/$BB6</f>
        <v>0.13661609408340322</v>
      </c>
    </row>
    <row r="7" spans="1:64" ht="12.75" customHeight="1" x14ac:dyDescent="0.2">
      <c r="A7" s="18">
        <v>1977</v>
      </c>
      <c r="B7" s="19">
        <v>0</v>
      </c>
      <c r="C7" s="20">
        <v>0</v>
      </c>
      <c r="D7" s="21"/>
      <c r="E7" s="21"/>
      <c r="F7" s="21"/>
      <c r="G7" s="22">
        <f t="shared" si="0"/>
        <v>0</v>
      </c>
      <c r="H7" s="23">
        <f t="shared" si="1"/>
        <v>0</v>
      </c>
      <c r="I7" s="19">
        <v>8434</v>
      </c>
      <c r="J7" s="24">
        <v>0.05</v>
      </c>
      <c r="K7" s="10">
        <f t="shared" si="2"/>
        <v>8434</v>
      </c>
      <c r="L7" s="25">
        <v>460.66666666666669</v>
      </c>
      <c r="M7" s="25"/>
      <c r="N7" s="26">
        <v>0.6</v>
      </c>
      <c r="O7" s="8">
        <f t="shared" si="3"/>
        <v>5.4620188127420762E-2</v>
      </c>
      <c r="P7" s="22">
        <f t="shared" si="4"/>
        <v>7973.333333333333</v>
      </c>
      <c r="Q7" s="22">
        <v>0</v>
      </c>
      <c r="R7" s="27">
        <v>0.03</v>
      </c>
      <c r="S7" s="27"/>
      <c r="T7" s="28">
        <f t="shared" si="5"/>
        <v>231.54695605422839</v>
      </c>
      <c r="U7" s="28">
        <f t="shared" si="5"/>
        <v>853.15703110678635</v>
      </c>
      <c r="V7" s="29">
        <f t="shared" si="5"/>
        <v>2476.6320510174646</v>
      </c>
      <c r="W7" s="29">
        <f t="shared" si="5"/>
        <v>4092.3677492434576</v>
      </c>
      <c r="X7" s="29">
        <f t="shared" si="5"/>
        <v>750.67664095224984</v>
      </c>
      <c r="Y7" s="29"/>
      <c r="Z7" s="25">
        <f t="shared" ref="Z7:Z38" si="18">SUM(S7:Y7)</f>
        <v>8404.3804283741865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J7" s="26"/>
      <c r="AK7" s="26">
        <f t="shared" si="6"/>
        <v>2.7453990521013563E-2</v>
      </c>
      <c r="AL7" s="26">
        <f t="shared" si="6"/>
        <v>0.10115686875821513</v>
      </c>
      <c r="AM7" s="26">
        <f t="shared" si="6"/>
        <v>0.29364857137982742</v>
      </c>
      <c r="AN7" s="26">
        <f t="shared" si="6"/>
        <v>0.48522264041302554</v>
      </c>
      <c r="AO7" s="26">
        <f t="shared" si="6"/>
        <v>8.9006004381343359E-2</v>
      </c>
      <c r="AP7" s="26"/>
      <c r="AQ7" s="8">
        <v>1</v>
      </c>
      <c r="AR7" s="30">
        <v>9</v>
      </c>
      <c r="AS7" s="31">
        <f t="shared" si="7"/>
        <v>1977</v>
      </c>
      <c r="AT7" s="32">
        <f t="shared" si="8"/>
        <v>7973.333333333333</v>
      </c>
      <c r="AU7" s="10">
        <f t="shared" si="9"/>
        <v>0</v>
      </c>
      <c r="AV7" s="33">
        <f t="shared" ref="AV7:AV45" si="19">T10</f>
        <v>132.05369440607524</v>
      </c>
      <c r="AW7" s="34">
        <f t="shared" si="10"/>
        <v>766.26328084347961</v>
      </c>
      <c r="AX7" s="34">
        <f t="shared" si="11"/>
        <v>2199.1341510635275</v>
      </c>
      <c r="AY7" s="34">
        <f t="shared" si="12"/>
        <v>5699.4251342913976</v>
      </c>
      <c r="AZ7" s="33">
        <f t="shared" si="13"/>
        <v>689.70752795102965</v>
      </c>
      <c r="BA7" s="33"/>
      <c r="BB7" s="32">
        <f t="shared" ref="BB6:BB42" si="20">SUM(AU7:BA7)</f>
        <v>9486.5837885555102</v>
      </c>
      <c r="BC7" s="33">
        <f t="shared" si="14"/>
        <v>1513.2504552221772</v>
      </c>
      <c r="BD7" s="26">
        <f t="shared" si="15"/>
        <v>1.1897889366917447</v>
      </c>
      <c r="BE7" s="9">
        <f t="shared" si="16"/>
        <v>7973.333333333333</v>
      </c>
      <c r="BH7" s="7">
        <f t="shared" ref="BH7:BH41" si="21">SUM(AU7:AV7)/$BB7</f>
        <v>1.3920047231900601E-2</v>
      </c>
      <c r="BI7" s="7">
        <f t="shared" ref="BI7:BI41" si="22">AW7/$BB7</f>
        <v>8.0773363512362542E-2</v>
      </c>
      <c r="BJ7" s="7">
        <f t="shared" ref="BJ7:BJ41" si="23">AX7/$BB7</f>
        <v>0.231815182375402</v>
      </c>
      <c r="BK7" s="7">
        <f t="shared" ref="BK7:BK41" si="24">AY7/$BB7</f>
        <v>0.60078794024537152</v>
      </c>
      <c r="BL7" s="7">
        <f t="shared" ref="BL7:BL41" si="25">SUM(AZ7:BA7)/$BB7</f>
        <v>7.270346663496334E-2</v>
      </c>
    </row>
    <row r="8" spans="1:64" ht="12.75" customHeight="1" x14ac:dyDescent="0.2">
      <c r="A8" s="18">
        <v>1978</v>
      </c>
      <c r="B8" s="19">
        <v>35</v>
      </c>
      <c r="C8" s="20">
        <v>0</v>
      </c>
      <c r="D8" s="21"/>
      <c r="E8" s="21"/>
      <c r="F8" s="21"/>
      <c r="G8" s="22">
        <f t="shared" si="0"/>
        <v>35</v>
      </c>
      <c r="H8" s="23">
        <f t="shared" si="1"/>
        <v>3.5605289928789421E-3</v>
      </c>
      <c r="I8" s="19">
        <v>9795</v>
      </c>
      <c r="J8" s="24">
        <v>0.05</v>
      </c>
      <c r="K8" s="10">
        <f t="shared" si="2"/>
        <v>9830</v>
      </c>
      <c r="L8" s="25">
        <v>460.66666666666669</v>
      </c>
      <c r="M8" s="25"/>
      <c r="N8" s="26">
        <v>0.6</v>
      </c>
      <c r="O8" s="8">
        <f t="shared" si="3"/>
        <v>4.703079802620385E-2</v>
      </c>
      <c r="P8" s="22">
        <f t="shared" si="4"/>
        <v>9334.3333333333339</v>
      </c>
      <c r="Q8" s="22">
        <v>0</v>
      </c>
      <c r="R8" s="27">
        <v>0.03</v>
      </c>
      <c r="S8" s="27"/>
      <c r="T8" s="28">
        <f t="shared" si="5"/>
        <v>269.87272682156333</v>
      </c>
      <c r="U8" s="28">
        <f t="shared" si="5"/>
        <v>994.37201989325467</v>
      </c>
      <c r="V8" s="28">
        <f t="shared" si="5"/>
        <v>2886.5654566637036</v>
      </c>
      <c r="W8" s="29">
        <f t="shared" si="5"/>
        <v>4769.7385552600408</v>
      </c>
      <c r="X8" s="29">
        <f t="shared" si="5"/>
        <v>874.92902306860526</v>
      </c>
      <c r="Y8" s="29"/>
      <c r="Z8" s="25">
        <f t="shared" si="18"/>
        <v>9795.4777817071681</v>
      </c>
      <c r="AC8" s="7">
        <v>1</v>
      </c>
      <c r="AD8" s="7">
        <v>1</v>
      </c>
      <c r="AE8" s="7">
        <v>1</v>
      </c>
      <c r="AF8" s="7">
        <v>1</v>
      </c>
      <c r="AG8" s="7">
        <v>1</v>
      </c>
      <c r="AJ8" s="26"/>
      <c r="AK8" s="26">
        <f t="shared" si="6"/>
        <v>2.7453990521013563E-2</v>
      </c>
      <c r="AL8" s="26">
        <f t="shared" si="6"/>
        <v>0.10115686875821513</v>
      </c>
      <c r="AM8" s="26">
        <f t="shared" si="6"/>
        <v>0.29364857137982742</v>
      </c>
      <c r="AN8" s="26">
        <f t="shared" si="6"/>
        <v>0.48522264041302554</v>
      </c>
      <c r="AO8" s="26">
        <f t="shared" si="6"/>
        <v>8.9006004381343359E-2</v>
      </c>
      <c r="AP8" s="26"/>
      <c r="AQ8" s="8">
        <v>1</v>
      </c>
      <c r="AR8" s="30">
        <v>10</v>
      </c>
      <c r="AS8" s="31">
        <f t="shared" si="7"/>
        <v>1978</v>
      </c>
      <c r="AT8" s="32">
        <f t="shared" si="8"/>
        <v>9334.3333333333339</v>
      </c>
      <c r="AU8" s="10">
        <f t="shared" si="9"/>
        <v>0</v>
      </c>
      <c r="AV8" s="33">
        <f t="shared" si="19"/>
        <v>207.96397819667774</v>
      </c>
      <c r="AW8" s="34">
        <f t="shared" si="10"/>
        <v>757.56379013027311</v>
      </c>
      <c r="AX8" s="34">
        <f t="shared" si="11"/>
        <v>3449.1961194274527</v>
      </c>
      <c r="AY8" s="34">
        <f t="shared" si="12"/>
        <v>3759.9902405605349</v>
      </c>
      <c r="AZ8" s="33">
        <f t="shared" si="13"/>
        <v>477.6952255146698</v>
      </c>
      <c r="BA8" s="33"/>
      <c r="BB8" s="32">
        <f t="shared" si="20"/>
        <v>8652.4093538296074</v>
      </c>
      <c r="BC8" s="33">
        <f t="shared" si="14"/>
        <v>-681.92397950372651</v>
      </c>
      <c r="BD8" s="26">
        <f t="shared" si="15"/>
        <v>0.92694454385204517</v>
      </c>
      <c r="BE8" s="9">
        <f t="shared" si="16"/>
        <v>9334.3333333333339</v>
      </c>
      <c r="BH8" s="7">
        <f t="shared" si="21"/>
        <v>2.4035383636192811E-2</v>
      </c>
      <c r="BI8" s="7">
        <f t="shared" si="22"/>
        <v>8.7555241453638674E-2</v>
      </c>
      <c r="BJ8" s="7">
        <f t="shared" si="23"/>
        <v>0.39863996008242703</v>
      </c>
      <c r="BK8" s="7">
        <f t="shared" si="24"/>
        <v>0.43455991121089771</v>
      </c>
      <c r="BL8" s="7">
        <f t="shared" si="25"/>
        <v>5.5209503616843909E-2</v>
      </c>
    </row>
    <row r="9" spans="1:64" ht="12.75" customHeight="1" x14ac:dyDescent="0.2">
      <c r="A9" s="18">
        <v>1979</v>
      </c>
      <c r="B9" s="19">
        <v>0</v>
      </c>
      <c r="C9" s="20">
        <v>0</v>
      </c>
      <c r="D9" s="21"/>
      <c r="E9" s="21"/>
      <c r="F9" s="21"/>
      <c r="G9" s="22">
        <f t="shared" si="0"/>
        <v>0</v>
      </c>
      <c r="H9" s="23">
        <f t="shared" si="1"/>
        <v>0</v>
      </c>
      <c r="I9" s="19">
        <v>9555</v>
      </c>
      <c r="J9" s="24">
        <v>0.05</v>
      </c>
      <c r="K9" s="10">
        <f t="shared" si="2"/>
        <v>9555</v>
      </c>
      <c r="L9" s="25">
        <v>460.66666666666669</v>
      </c>
      <c r="M9" s="25"/>
      <c r="N9" s="26">
        <v>0.6</v>
      </c>
      <c r="O9" s="8">
        <f t="shared" si="3"/>
        <v>4.8212105354962502E-2</v>
      </c>
      <c r="P9" s="22">
        <f t="shared" si="4"/>
        <v>9094.3333333333339</v>
      </c>
      <c r="Q9" s="22">
        <v>0</v>
      </c>
      <c r="R9" s="27">
        <v>0.03</v>
      </c>
      <c r="S9" s="27"/>
      <c r="T9" s="25">
        <f t="shared" si="5"/>
        <v>262.32287942828458</v>
      </c>
      <c r="U9" s="28">
        <f t="shared" si="5"/>
        <v>966.55388098474555</v>
      </c>
      <c r="V9" s="28">
        <f t="shared" si="5"/>
        <v>2805.812099534251</v>
      </c>
      <c r="W9" s="28">
        <f t="shared" si="5"/>
        <v>4636.3023291464588</v>
      </c>
      <c r="X9" s="29">
        <f t="shared" si="5"/>
        <v>850.45237186373583</v>
      </c>
      <c r="Y9" s="29"/>
      <c r="Z9" s="25">
        <f t="shared" si="18"/>
        <v>9521.4435609574757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J9" s="26"/>
      <c r="AK9" s="26">
        <f t="shared" si="6"/>
        <v>2.7453990521013563E-2</v>
      </c>
      <c r="AL9" s="26">
        <f t="shared" si="6"/>
        <v>0.10115686875821513</v>
      </c>
      <c r="AM9" s="26">
        <f t="shared" si="6"/>
        <v>0.29364857137982742</v>
      </c>
      <c r="AN9" s="26">
        <f t="shared" si="6"/>
        <v>0.48522264041302554</v>
      </c>
      <c r="AO9" s="26">
        <f t="shared" si="6"/>
        <v>8.9006004381343359E-2</v>
      </c>
      <c r="AP9" s="26"/>
      <c r="AQ9" s="8">
        <v>1</v>
      </c>
      <c r="AR9" s="30">
        <v>11</v>
      </c>
      <c r="AS9" s="31">
        <f t="shared" si="7"/>
        <v>1979</v>
      </c>
      <c r="AT9" s="32">
        <f t="shared" si="8"/>
        <v>9094.3333333333339</v>
      </c>
      <c r="AU9" s="10">
        <f t="shared" si="9"/>
        <v>0</v>
      </c>
      <c r="AV9" s="33">
        <f t="shared" si="19"/>
        <v>205.60293501187058</v>
      </c>
      <c r="AW9" s="34">
        <f t="shared" si="10"/>
        <v>1188.188580433995</v>
      </c>
      <c r="AX9" s="34">
        <f t="shared" si="11"/>
        <v>2275.4827796222826</v>
      </c>
      <c r="AY9" s="34">
        <f t="shared" si="12"/>
        <v>2604.1899110967079</v>
      </c>
      <c r="AZ9" s="33">
        <f t="shared" si="13"/>
        <v>442.44884777965785</v>
      </c>
      <c r="BA9" s="33"/>
      <c r="BB9" s="32">
        <f t="shared" si="20"/>
        <v>6715.9130539445132</v>
      </c>
      <c r="BC9" s="33">
        <f t="shared" si="14"/>
        <v>-2378.4202793888207</v>
      </c>
      <c r="BD9" s="26">
        <f t="shared" si="15"/>
        <v>0.73847227804250037</v>
      </c>
      <c r="BE9" s="9">
        <f t="shared" si="16"/>
        <v>9094.3333333333339</v>
      </c>
      <c r="BH9" s="7">
        <f t="shared" si="21"/>
        <v>3.0614293746866198E-2</v>
      </c>
      <c r="BI9" s="7">
        <f t="shared" si="22"/>
        <v>0.17692137627304841</v>
      </c>
      <c r="BJ9" s="7">
        <f t="shared" si="23"/>
        <v>0.33881957097193277</v>
      </c>
      <c r="BK9" s="7">
        <f t="shared" si="24"/>
        <v>0.38776408958528241</v>
      </c>
      <c r="BL9" s="7">
        <f t="shared" si="25"/>
        <v>6.5880669422870311E-2</v>
      </c>
    </row>
    <row r="10" spans="1:64" ht="12.75" customHeight="1" x14ac:dyDescent="0.2">
      <c r="A10" s="18">
        <v>1980</v>
      </c>
      <c r="B10" s="19">
        <v>0</v>
      </c>
      <c r="C10" s="20">
        <v>0</v>
      </c>
      <c r="D10" s="21"/>
      <c r="E10" s="21"/>
      <c r="F10" s="21"/>
      <c r="G10" s="22">
        <f t="shared" si="0"/>
        <v>0</v>
      </c>
      <c r="H10" s="23">
        <f t="shared" si="1"/>
        <v>0</v>
      </c>
      <c r="I10" s="19">
        <v>4810</v>
      </c>
      <c r="J10" s="24">
        <v>0.05</v>
      </c>
      <c r="K10" s="10">
        <f t="shared" si="2"/>
        <v>4810</v>
      </c>
      <c r="L10" s="25">
        <v>460.66666666666669</v>
      </c>
      <c r="M10" s="25"/>
      <c r="N10" s="26">
        <v>0.6</v>
      </c>
      <c r="O10" s="8">
        <f t="shared" si="3"/>
        <v>9.5772695772695773E-2</v>
      </c>
      <c r="P10" s="22">
        <f t="shared" si="4"/>
        <v>4349.333333333333</v>
      </c>
      <c r="Q10" s="22">
        <v>0</v>
      </c>
      <c r="R10" s="27">
        <v>0.03</v>
      </c>
      <c r="S10" s="27"/>
      <c r="T10" s="25">
        <f t="shared" si="5"/>
        <v>132.05369440607524</v>
      </c>
      <c r="U10" s="25">
        <f t="shared" si="5"/>
        <v>486.56453872701474</v>
      </c>
      <c r="V10" s="28">
        <f t="shared" si="5"/>
        <v>1412.4496283369699</v>
      </c>
      <c r="W10" s="28">
        <f t="shared" si="5"/>
        <v>2333.9209003866526</v>
      </c>
      <c r="X10" s="28">
        <f t="shared" si="5"/>
        <v>428.11888107426154</v>
      </c>
      <c r="Y10" s="28"/>
      <c r="Z10" s="25">
        <f t="shared" si="18"/>
        <v>4793.1076429309742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J10" s="26"/>
      <c r="AK10" s="26">
        <f t="shared" si="6"/>
        <v>2.7453990521013563E-2</v>
      </c>
      <c r="AL10" s="26">
        <f t="shared" si="6"/>
        <v>0.10115686875821513</v>
      </c>
      <c r="AM10" s="26">
        <f t="shared" si="6"/>
        <v>0.29364857137982742</v>
      </c>
      <c r="AN10" s="26">
        <f t="shared" si="6"/>
        <v>0.48522264041302554</v>
      </c>
      <c r="AO10" s="26">
        <f t="shared" si="6"/>
        <v>8.9006004381343359E-2</v>
      </c>
      <c r="AP10" s="26"/>
      <c r="AQ10" s="8">
        <v>1</v>
      </c>
      <c r="AR10" s="30">
        <v>12</v>
      </c>
      <c r="AS10" s="31">
        <f t="shared" si="7"/>
        <v>1980</v>
      </c>
      <c r="AT10" s="32">
        <f t="shared" si="8"/>
        <v>4349.333333333333</v>
      </c>
      <c r="AU10" s="10">
        <f t="shared" si="9"/>
        <v>0</v>
      </c>
      <c r="AV10" s="33">
        <f t="shared" si="19"/>
        <v>322.4745726598253</v>
      </c>
      <c r="AW10" s="34">
        <f t="shared" si="10"/>
        <v>783.86457600740903</v>
      </c>
      <c r="AX10" s="34">
        <f t="shared" si="11"/>
        <v>1576.0118825955337</v>
      </c>
      <c r="AY10" s="34">
        <f t="shared" si="12"/>
        <v>2412.0417454931498</v>
      </c>
      <c r="AZ10" s="33">
        <f t="shared" si="13"/>
        <v>733.67649411541333</v>
      </c>
      <c r="BA10" s="33"/>
      <c r="BB10" s="32">
        <f t="shared" si="20"/>
        <v>5828.0692708713314</v>
      </c>
      <c r="BC10" s="33">
        <f t="shared" si="14"/>
        <v>1478.7359375379983</v>
      </c>
      <c r="BD10" s="26">
        <f t="shared" si="15"/>
        <v>1.339991401947731</v>
      </c>
      <c r="BE10" s="9">
        <f t="shared" si="16"/>
        <v>4349.333333333333</v>
      </c>
      <c r="BH10" s="7">
        <f t="shared" si="21"/>
        <v>5.5331286858849124E-2</v>
      </c>
      <c r="BI10" s="7">
        <f t="shared" si="22"/>
        <v>0.13449815703549739</v>
      </c>
      <c r="BJ10" s="7">
        <f t="shared" si="23"/>
        <v>0.27041749322926467</v>
      </c>
      <c r="BK10" s="7">
        <f t="shared" si="24"/>
        <v>0.4138663480800624</v>
      </c>
      <c r="BL10" s="7">
        <f t="shared" si="25"/>
        <v>0.1258867147963264</v>
      </c>
    </row>
    <row r="11" spans="1:64" ht="12.75" customHeight="1" x14ac:dyDescent="0.2">
      <c r="A11" s="18">
        <v>1981</v>
      </c>
      <c r="B11" s="19">
        <v>0</v>
      </c>
      <c r="C11" s="20">
        <v>0</v>
      </c>
      <c r="D11" s="21"/>
      <c r="E11" s="21"/>
      <c r="F11" s="21"/>
      <c r="G11" s="22">
        <f t="shared" si="0"/>
        <v>0</v>
      </c>
      <c r="H11" s="23">
        <f t="shared" si="1"/>
        <v>0</v>
      </c>
      <c r="I11" s="19">
        <v>7575</v>
      </c>
      <c r="J11" s="24">
        <v>0.05</v>
      </c>
      <c r="K11" s="10">
        <f t="shared" si="2"/>
        <v>7575</v>
      </c>
      <c r="L11" s="25">
        <v>460.66666666666669</v>
      </c>
      <c r="M11" s="25"/>
      <c r="N11" s="26">
        <v>0.6</v>
      </c>
      <c r="O11" s="8">
        <f t="shared" si="3"/>
        <v>6.0814081408140819E-2</v>
      </c>
      <c r="P11" s="22">
        <f t="shared" si="4"/>
        <v>7114.333333333333</v>
      </c>
      <c r="Q11" s="22">
        <v>0</v>
      </c>
      <c r="R11" s="27">
        <v>0.03</v>
      </c>
      <c r="S11" s="27"/>
      <c r="T11" s="25">
        <f t="shared" si="5"/>
        <v>207.96397819667774</v>
      </c>
      <c r="U11" s="25">
        <f t="shared" si="5"/>
        <v>766.26328084347961</v>
      </c>
      <c r="V11" s="25">
        <f t="shared" si="5"/>
        <v>2224.3879282021926</v>
      </c>
      <c r="W11" s="28">
        <f t="shared" si="5"/>
        <v>3675.5615011286686</v>
      </c>
      <c r="X11" s="28">
        <f t="shared" si="5"/>
        <v>674.22048318867598</v>
      </c>
      <c r="Y11" s="28"/>
      <c r="Z11" s="25">
        <f t="shared" si="18"/>
        <v>7548.3971715596945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J11" s="26"/>
      <c r="AK11" s="26">
        <f t="shared" si="6"/>
        <v>2.7453990521013563E-2</v>
      </c>
      <c r="AL11" s="26">
        <f t="shared" si="6"/>
        <v>0.10115686875821513</v>
      </c>
      <c r="AM11" s="26">
        <f t="shared" si="6"/>
        <v>0.29364857137982742</v>
      </c>
      <c r="AN11" s="26">
        <f t="shared" si="6"/>
        <v>0.48522264041302554</v>
      </c>
      <c r="AO11" s="26">
        <f t="shared" si="6"/>
        <v>8.9006004381343359E-2</v>
      </c>
      <c r="AP11" s="26"/>
      <c r="AQ11" s="8">
        <v>1</v>
      </c>
      <c r="AR11" s="30">
        <v>13</v>
      </c>
      <c r="AS11" s="31">
        <f t="shared" si="7"/>
        <v>1981</v>
      </c>
      <c r="AT11" s="32">
        <f t="shared" si="8"/>
        <v>7114.333333333333</v>
      </c>
      <c r="AU11" s="10">
        <f t="shared" si="9"/>
        <v>0</v>
      </c>
      <c r="AV11" s="33">
        <f t="shared" si="19"/>
        <v>212.74097254733411</v>
      </c>
      <c r="AW11" s="34">
        <f t="shared" si="10"/>
        <v>542.90891462534057</v>
      </c>
      <c r="AX11" s="34">
        <f t="shared" si="11"/>
        <v>1459.727048329122</v>
      </c>
      <c r="AY11" s="34">
        <f t="shared" si="12"/>
        <v>3999.6902249245695</v>
      </c>
      <c r="AZ11" s="33">
        <f t="shared" si="13"/>
        <v>1187.3400984471205</v>
      </c>
      <c r="BA11" s="33"/>
      <c r="BB11" s="32">
        <f t="shared" si="20"/>
        <v>7402.4072588734871</v>
      </c>
      <c r="BC11" s="33">
        <f t="shared" si="14"/>
        <v>288.07392554015405</v>
      </c>
      <c r="BD11" s="26">
        <f t="shared" si="15"/>
        <v>1.0404920478199158</v>
      </c>
      <c r="BE11" s="9">
        <f t="shared" si="16"/>
        <v>7114.333333333333</v>
      </c>
      <c r="BH11" s="7">
        <f t="shared" si="21"/>
        <v>2.8739430986091063E-2</v>
      </c>
      <c r="BI11" s="7">
        <f t="shared" si="22"/>
        <v>7.3342210937467595E-2</v>
      </c>
      <c r="BJ11" s="7">
        <f t="shared" si="23"/>
        <v>0.19719626295612194</v>
      </c>
      <c r="BK11" s="7">
        <f t="shared" si="24"/>
        <v>0.54032290916309977</v>
      </c>
      <c r="BL11" s="7">
        <f t="shared" si="25"/>
        <v>0.16039918595721958</v>
      </c>
    </row>
    <row r="12" spans="1:64" ht="12.75" customHeight="1" x14ac:dyDescent="0.2">
      <c r="A12" s="18">
        <v>1982</v>
      </c>
      <c r="B12" s="19">
        <v>0</v>
      </c>
      <c r="C12" s="20">
        <v>0</v>
      </c>
      <c r="D12" s="21"/>
      <c r="E12" s="21"/>
      <c r="F12" s="21"/>
      <c r="G12" s="22">
        <f t="shared" si="0"/>
        <v>0</v>
      </c>
      <c r="H12" s="23">
        <f t="shared" si="1"/>
        <v>0</v>
      </c>
      <c r="I12" s="19">
        <v>7489</v>
      </c>
      <c r="J12" s="24">
        <v>0.05</v>
      </c>
      <c r="K12" s="10">
        <f t="shared" si="2"/>
        <v>7489</v>
      </c>
      <c r="L12" s="19">
        <v>796</v>
      </c>
      <c r="M12" s="21">
        <v>398</v>
      </c>
      <c r="N12" s="38">
        <f t="shared" ref="N12:N37" si="26">M12/L12</f>
        <v>0.5</v>
      </c>
      <c r="O12" s="8">
        <f t="shared" si="3"/>
        <v>0.10628922419548671</v>
      </c>
      <c r="P12" s="22">
        <f t="shared" si="4"/>
        <v>6693</v>
      </c>
      <c r="Q12" s="22">
        <f t="shared" ref="Q12:Q40" si="27">SQRT(SUMSQ(J12,M12))</f>
        <v>398.00000314070348</v>
      </c>
      <c r="R12" s="23">
        <f t="shared" ref="R12:R31" si="28">Q12/P12</f>
        <v>5.9465113273674507E-2</v>
      </c>
      <c r="S12" s="23"/>
      <c r="T12" s="25">
        <f t="shared" si="5"/>
        <v>205.60293501187058</v>
      </c>
      <c r="U12" s="25">
        <f t="shared" si="5"/>
        <v>757.56379013027311</v>
      </c>
      <c r="V12" s="25">
        <f t="shared" si="5"/>
        <v>2199.1341510635275</v>
      </c>
      <c r="W12" s="25">
        <f t="shared" si="5"/>
        <v>3633.8323540531483</v>
      </c>
      <c r="X12" s="28">
        <f t="shared" si="5"/>
        <v>666.56596681188046</v>
      </c>
      <c r="Y12" s="28"/>
      <c r="Z12" s="25">
        <f t="shared" si="18"/>
        <v>7462.6991970707004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J12" s="26"/>
      <c r="AK12" s="26">
        <f t="shared" si="6"/>
        <v>2.7453990521013563E-2</v>
      </c>
      <c r="AL12" s="26">
        <f t="shared" si="6"/>
        <v>0.10115686875821513</v>
      </c>
      <c r="AM12" s="26">
        <f t="shared" si="6"/>
        <v>0.29364857137982742</v>
      </c>
      <c r="AN12" s="26">
        <f t="shared" si="6"/>
        <v>0.48522264041302554</v>
      </c>
      <c r="AO12" s="26">
        <f t="shared" si="6"/>
        <v>8.9006004381343359E-2</v>
      </c>
      <c r="AP12" s="26"/>
      <c r="AQ12" s="8">
        <v>1</v>
      </c>
      <c r="AR12" s="30">
        <v>14</v>
      </c>
      <c r="AS12" s="31">
        <f t="shared" si="7"/>
        <v>1982</v>
      </c>
      <c r="AT12" s="32">
        <f t="shared" si="8"/>
        <v>6693</v>
      </c>
      <c r="AU12" s="10">
        <f t="shared" si="9"/>
        <v>0</v>
      </c>
      <c r="AV12" s="33">
        <f t="shared" si="19"/>
        <v>147.3455671262798</v>
      </c>
      <c r="AW12" s="34">
        <f t="shared" si="10"/>
        <v>502.85079459708737</v>
      </c>
      <c r="AX12" s="34">
        <f t="shared" si="11"/>
        <v>2420.5451738839174</v>
      </c>
      <c r="AY12" s="34">
        <f t="shared" si="12"/>
        <v>6472.870023109761</v>
      </c>
      <c r="AZ12" s="33">
        <f t="shared" si="13"/>
        <v>933.13894993400379</v>
      </c>
      <c r="BA12" s="33"/>
      <c r="BB12" s="32">
        <f t="shared" si="20"/>
        <v>10476.75050865105</v>
      </c>
      <c r="BC12" s="33">
        <f t="shared" si="14"/>
        <v>3783.75050865105</v>
      </c>
      <c r="BD12" s="26">
        <f t="shared" si="15"/>
        <v>1.5653295246751906</v>
      </c>
      <c r="BE12" s="9">
        <f t="shared" si="16"/>
        <v>6693</v>
      </c>
      <c r="BH12" s="7">
        <f t="shared" si="21"/>
        <v>1.4064052303680515E-2</v>
      </c>
      <c r="BI12" s="7">
        <f t="shared" si="22"/>
        <v>4.7996828232366937E-2</v>
      </c>
      <c r="BJ12" s="7">
        <f t="shared" si="23"/>
        <v>0.23103968848787432</v>
      </c>
      <c r="BK12" s="7">
        <f t="shared" si="24"/>
        <v>0.61783183800786956</v>
      </c>
      <c r="BL12" s="7">
        <f t="shared" si="25"/>
        <v>8.906759296820857E-2</v>
      </c>
    </row>
    <row r="13" spans="1:64" ht="12.75" customHeight="1" x14ac:dyDescent="0.2">
      <c r="A13" s="18">
        <v>1983</v>
      </c>
      <c r="B13" s="19">
        <v>0</v>
      </c>
      <c r="C13" s="20">
        <v>0</v>
      </c>
      <c r="D13" s="21"/>
      <c r="E13" s="21"/>
      <c r="F13" s="21"/>
      <c r="G13" s="22">
        <f t="shared" si="0"/>
        <v>0</v>
      </c>
      <c r="H13" s="23">
        <f t="shared" si="1"/>
        <v>0</v>
      </c>
      <c r="I13" s="19">
        <v>11746</v>
      </c>
      <c r="J13" s="24">
        <v>0.05</v>
      </c>
      <c r="K13" s="10">
        <f t="shared" si="2"/>
        <v>11746</v>
      </c>
      <c r="L13" s="19">
        <v>304</v>
      </c>
      <c r="M13" s="21">
        <v>152</v>
      </c>
      <c r="N13" s="38">
        <f t="shared" si="26"/>
        <v>0.5</v>
      </c>
      <c r="O13" s="8">
        <f t="shared" si="3"/>
        <v>2.5881151030137918E-2</v>
      </c>
      <c r="P13" s="22">
        <f t="shared" si="4"/>
        <v>11442</v>
      </c>
      <c r="Q13" s="22">
        <f t="shared" si="27"/>
        <v>152.00000822368398</v>
      </c>
      <c r="R13" s="23">
        <f t="shared" si="28"/>
        <v>1.3284391559489947E-2</v>
      </c>
      <c r="S13" s="23"/>
      <c r="T13" s="25">
        <f t="shared" si="5"/>
        <v>322.4745726598253</v>
      </c>
      <c r="U13" s="25">
        <f t="shared" si="5"/>
        <v>1188.188580433995</v>
      </c>
      <c r="V13" s="25">
        <f t="shared" si="5"/>
        <v>3449.1961194274527</v>
      </c>
      <c r="W13" s="25">
        <f t="shared" si="5"/>
        <v>5699.4251342913976</v>
      </c>
      <c r="X13" s="25">
        <f t="shared" si="5"/>
        <v>1045.4645274632592</v>
      </c>
      <c r="Y13" s="25"/>
      <c r="Z13" s="25">
        <f t="shared" si="18"/>
        <v>11704.748934275929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J13" s="26"/>
      <c r="AK13" s="26">
        <f t="shared" si="6"/>
        <v>2.7453990521013563E-2</v>
      </c>
      <c r="AL13" s="26">
        <f t="shared" si="6"/>
        <v>0.10115686875821513</v>
      </c>
      <c r="AM13" s="26">
        <f t="shared" si="6"/>
        <v>0.29364857137982742</v>
      </c>
      <c r="AN13" s="26">
        <f t="shared" si="6"/>
        <v>0.48522264041302554</v>
      </c>
      <c r="AO13" s="26">
        <f t="shared" si="6"/>
        <v>8.9006004381343359E-2</v>
      </c>
      <c r="AP13" s="26"/>
      <c r="AQ13" s="8">
        <v>1</v>
      </c>
      <c r="AR13" s="30">
        <v>15</v>
      </c>
      <c r="AS13" s="31">
        <f t="shared" si="7"/>
        <v>1983</v>
      </c>
      <c r="AT13" s="32">
        <f t="shared" si="8"/>
        <v>11442</v>
      </c>
      <c r="AU13" s="10">
        <f t="shared" si="9"/>
        <v>0</v>
      </c>
      <c r="AV13" s="33">
        <f t="shared" si="19"/>
        <v>136.47378687995842</v>
      </c>
      <c r="AW13" s="34">
        <f t="shared" si="10"/>
        <v>833.8360691739673</v>
      </c>
      <c r="AX13" s="34">
        <f t="shared" si="11"/>
        <v>3917.2719422068976</v>
      </c>
      <c r="AY13" s="34">
        <f t="shared" si="12"/>
        <v>5087.0741620901599</v>
      </c>
      <c r="AZ13" s="33">
        <f t="shared" si="13"/>
        <v>1285.4247152753608</v>
      </c>
      <c r="BA13" s="33"/>
      <c r="BB13" s="32">
        <f t="shared" si="20"/>
        <v>11260.080675626345</v>
      </c>
      <c r="BC13" s="33">
        <f t="shared" si="14"/>
        <v>-181.9193243736554</v>
      </c>
      <c r="BD13" s="26">
        <f t="shared" si="15"/>
        <v>0.98410074074692755</v>
      </c>
      <c r="BE13" s="9">
        <f t="shared" si="16"/>
        <v>11442</v>
      </c>
      <c r="BH13" s="7">
        <f t="shared" si="21"/>
        <v>1.2120142902294706E-2</v>
      </c>
      <c r="BI13" s="7">
        <f t="shared" si="22"/>
        <v>7.4052406301039667E-2</v>
      </c>
      <c r="BJ13" s="7">
        <f t="shared" si="23"/>
        <v>0.3478902198885887</v>
      </c>
      <c r="BK13" s="7">
        <f t="shared" si="24"/>
        <v>0.45177954835631673</v>
      </c>
      <c r="BL13" s="7">
        <f t="shared" si="25"/>
        <v>0.11415768255176011</v>
      </c>
    </row>
    <row r="14" spans="1:64" ht="12.75" customHeight="1" x14ac:dyDescent="0.2">
      <c r="A14" s="18">
        <v>1984</v>
      </c>
      <c r="B14" s="19">
        <v>2</v>
      </c>
      <c r="C14" s="20">
        <v>0</v>
      </c>
      <c r="D14" s="21"/>
      <c r="E14" s="21"/>
      <c r="F14" s="21"/>
      <c r="G14" s="22">
        <f t="shared" si="0"/>
        <v>2</v>
      </c>
      <c r="H14" s="23">
        <f t="shared" si="1"/>
        <v>2.5809781907342881E-4</v>
      </c>
      <c r="I14" s="19">
        <v>7747</v>
      </c>
      <c r="J14" s="24">
        <v>0.05</v>
      </c>
      <c r="K14" s="10">
        <f t="shared" si="2"/>
        <v>7749</v>
      </c>
      <c r="L14" s="19">
        <v>175</v>
      </c>
      <c r="M14" s="21">
        <v>88</v>
      </c>
      <c r="N14" s="38">
        <f t="shared" si="26"/>
        <v>0.50285714285714289</v>
      </c>
      <c r="O14" s="8">
        <f t="shared" si="3"/>
        <v>2.2589389441073963E-2</v>
      </c>
      <c r="P14" s="22">
        <f t="shared" si="4"/>
        <v>7572</v>
      </c>
      <c r="Q14" s="22">
        <f t="shared" si="27"/>
        <v>88.0000142045443</v>
      </c>
      <c r="R14" s="23">
        <f t="shared" si="28"/>
        <v>1.1621766271070299E-2</v>
      </c>
      <c r="S14" s="23"/>
      <c r="T14" s="25">
        <f t="shared" si="5"/>
        <v>212.74097254733411</v>
      </c>
      <c r="U14" s="25">
        <f t="shared" si="5"/>
        <v>783.86457600740903</v>
      </c>
      <c r="V14" s="25">
        <f t="shared" si="5"/>
        <v>2275.4827796222826</v>
      </c>
      <c r="W14" s="25">
        <f t="shared" si="5"/>
        <v>3759.9902405605349</v>
      </c>
      <c r="X14" s="25">
        <f t="shared" si="5"/>
        <v>689.70752795102965</v>
      </c>
      <c r="Y14" s="25"/>
      <c r="Z14" s="25">
        <f t="shared" si="18"/>
        <v>7721.786096688591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J14" s="26"/>
      <c r="AK14" s="26">
        <f t="shared" si="6"/>
        <v>2.7453990521013563E-2</v>
      </c>
      <c r="AL14" s="26">
        <f t="shared" si="6"/>
        <v>0.10115686875821513</v>
      </c>
      <c r="AM14" s="26">
        <f t="shared" si="6"/>
        <v>0.29364857137982742</v>
      </c>
      <c r="AN14" s="26">
        <f t="shared" si="6"/>
        <v>0.48522264041302554</v>
      </c>
      <c r="AO14" s="26">
        <f t="shared" si="6"/>
        <v>8.9006004381343359E-2</v>
      </c>
      <c r="AP14" s="26"/>
      <c r="AQ14" s="8">
        <v>1</v>
      </c>
      <c r="AR14" s="30">
        <v>16</v>
      </c>
      <c r="AS14" s="31">
        <f t="shared" si="7"/>
        <v>1984</v>
      </c>
      <c r="AT14" s="32">
        <f t="shared" si="8"/>
        <v>7572</v>
      </c>
      <c r="AU14" s="10">
        <f t="shared" si="9"/>
        <v>0</v>
      </c>
      <c r="AV14" s="33">
        <f t="shared" si="19"/>
        <v>226.3032438647148</v>
      </c>
      <c r="AW14" s="34">
        <f t="shared" si="10"/>
        <v>1349.4326292345897</v>
      </c>
      <c r="AX14" s="34">
        <f t="shared" si="11"/>
        <v>3078.6116223461108</v>
      </c>
      <c r="AY14" s="34">
        <f t="shared" si="12"/>
        <v>7007.5853728449147</v>
      </c>
      <c r="AZ14" s="33">
        <f t="shared" si="13"/>
        <v>1248.0421934351966</v>
      </c>
      <c r="BA14" s="33"/>
      <c r="BB14" s="32">
        <f t="shared" si="20"/>
        <v>12909.975061725527</v>
      </c>
      <c r="BC14" s="33">
        <f t="shared" si="14"/>
        <v>5337.9750617255268</v>
      </c>
      <c r="BD14" s="26">
        <f t="shared" si="15"/>
        <v>1.7049623694830331</v>
      </c>
      <c r="BE14" s="9">
        <f t="shared" si="16"/>
        <v>7572</v>
      </c>
      <c r="BH14" s="7">
        <f t="shared" si="21"/>
        <v>1.7529332379242216E-2</v>
      </c>
      <c r="BI14" s="7">
        <f t="shared" si="22"/>
        <v>0.10452635444938084</v>
      </c>
      <c r="BJ14" s="7">
        <f t="shared" si="23"/>
        <v>0.23846766609746095</v>
      </c>
      <c r="BK14" s="7">
        <f t="shared" si="24"/>
        <v>0.54280394341120375</v>
      </c>
      <c r="BL14" s="7">
        <f t="shared" si="25"/>
        <v>9.6672703662712217E-2</v>
      </c>
    </row>
    <row r="15" spans="1:64" ht="12.75" customHeight="1" x14ac:dyDescent="0.2">
      <c r="A15" s="18">
        <v>1985</v>
      </c>
      <c r="B15" s="19">
        <v>5</v>
      </c>
      <c r="C15" s="20">
        <v>0</v>
      </c>
      <c r="D15" s="21"/>
      <c r="E15" s="21"/>
      <c r="F15" s="21"/>
      <c r="G15" s="22">
        <f t="shared" si="0"/>
        <v>5</v>
      </c>
      <c r="H15" s="23">
        <f t="shared" si="1"/>
        <v>9.3161915408980804E-4</v>
      </c>
      <c r="I15" s="19">
        <v>5362</v>
      </c>
      <c r="J15" s="24">
        <v>0.05</v>
      </c>
      <c r="K15" s="10">
        <f t="shared" si="2"/>
        <v>5367</v>
      </c>
      <c r="L15" s="19">
        <v>472</v>
      </c>
      <c r="M15" s="21">
        <v>236</v>
      </c>
      <c r="N15" s="38">
        <f t="shared" si="26"/>
        <v>0.5</v>
      </c>
      <c r="O15" s="8">
        <f t="shared" si="3"/>
        <v>8.8026855650876534E-2</v>
      </c>
      <c r="P15" s="22">
        <f t="shared" si="4"/>
        <v>4890</v>
      </c>
      <c r="Q15" s="22">
        <f t="shared" si="27"/>
        <v>236.00000529661011</v>
      </c>
      <c r="R15" s="23">
        <f t="shared" si="28"/>
        <v>4.8261759774357899E-2</v>
      </c>
      <c r="S15" s="23"/>
      <c r="T15" s="25">
        <f t="shared" si="5"/>
        <v>147.3455671262798</v>
      </c>
      <c r="U15" s="25">
        <f t="shared" si="5"/>
        <v>542.90891462534057</v>
      </c>
      <c r="V15" s="25">
        <f t="shared" si="5"/>
        <v>1576.0118825955337</v>
      </c>
      <c r="W15" s="25">
        <f t="shared" si="5"/>
        <v>2604.1899110967079</v>
      </c>
      <c r="X15" s="25">
        <f t="shared" si="5"/>
        <v>477.6952255146698</v>
      </c>
      <c r="Y15" s="25"/>
      <c r="Z15" s="25">
        <f t="shared" si="18"/>
        <v>5348.1515009585319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J15" s="26"/>
      <c r="AK15" s="26">
        <f t="shared" si="6"/>
        <v>2.7453990521013563E-2</v>
      </c>
      <c r="AL15" s="26">
        <f t="shared" si="6"/>
        <v>0.10115686875821513</v>
      </c>
      <c r="AM15" s="26">
        <f t="shared" si="6"/>
        <v>0.29364857137982742</v>
      </c>
      <c r="AN15" s="26">
        <f t="shared" si="6"/>
        <v>0.48522264041302554</v>
      </c>
      <c r="AO15" s="26">
        <f t="shared" si="6"/>
        <v>8.9006004381343359E-2</v>
      </c>
      <c r="AP15" s="26"/>
      <c r="AQ15" s="8">
        <v>1</v>
      </c>
      <c r="AR15" s="30">
        <v>17</v>
      </c>
      <c r="AS15" s="31">
        <f t="shared" si="7"/>
        <v>1985</v>
      </c>
      <c r="AT15" s="32">
        <f t="shared" si="8"/>
        <v>4890</v>
      </c>
      <c r="AU15" s="10">
        <f t="shared" si="9"/>
        <v>0</v>
      </c>
      <c r="AV15" s="33">
        <f t="shared" si="19"/>
        <v>366.23623355032095</v>
      </c>
      <c r="AW15" s="34">
        <f t="shared" si="10"/>
        <v>1060.5286120611274</v>
      </c>
      <c r="AX15" s="34">
        <f t="shared" si="11"/>
        <v>4240.8726678674675</v>
      </c>
      <c r="AY15" s="34">
        <f t="shared" si="12"/>
        <v>6803.7918638714445</v>
      </c>
      <c r="AZ15" s="33">
        <f t="shared" si="13"/>
        <v>878.04423322195225</v>
      </c>
      <c r="BA15" s="33"/>
      <c r="BB15" s="32">
        <f t="shared" si="20"/>
        <v>13349.473610572311</v>
      </c>
      <c r="BC15" s="33">
        <f t="shared" si="14"/>
        <v>8459.4736105723114</v>
      </c>
      <c r="BD15" s="26">
        <f t="shared" si="15"/>
        <v>2.7299537035935195</v>
      </c>
      <c r="BE15" s="9">
        <f t="shared" si="16"/>
        <v>4890</v>
      </c>
      <c r="BH15" s="7">
        <f t="shared" si="21"/>
        <v>2.7434507474532539E-2</v>
      </c>
      <c r="BI15" s="7">
        <f t="shared" si="22"/>
        <v>7.9443477922696987E-2</v>
      </c>
      <c r="BJ15" s="7">
        <f t="shared" si="23"/>
        <v>0.31768089076627309</v>
      </c>
      <c r="BK15" s="7">
        <f t="shared" si="24"/>
        <v>0.50966742677277421</v>
      </c>
      <c r="BL15" s="7">
        <f t="shared" si="25"/>
        <v>6.5773697063723338E-2</v>
      </c>
    </row>
    <row r="16" spans="1:64" ht="12.75" customHeight="1" x14ac:dyDescent="0.2">
      <c r="A16" s="18">
        <v>1986</v>
      </c>
      <c r="B16" s="19">
        <v>542</v>
      </c>
      <c r="C16" s="20">
        <v>0</v>
      </c>
      <c r="D16" s="21"/>
      <c r="E16" s="21"/>
      <c r="F16" s="21"/>
      <c r="G16" s="22">
        <f t="shared" si="0"/>
        <v>542</v>
      </c>
      <c r="H16" s="23">
        <f t="shared" si="1"/>
        <v>0.10903238784952726</v>
      </c>
      <c r="I16" s="19">
        <v>4429</v>
      </c>
      <c r="J16" s="24">
        <v>0.05</v>
      </c>
      <c r="K16" s="10">
        <f t="shared" si="2"/>
        <v>4971</v>
      </c>
      <c r="L16" s="19">
        <v>122</v>
      </c>
      <c r="M16" s="21">
        <v>62</v>
      </c>
      <c r="N16" s="38">
        <f t="shared" si="26"/>
        <v>0.50819672131147542</v>
      </c>
      <c r="O16" s="8">
        <f t="shared" si="3"/>
        <v>2.7545721381801763E-2</v>
      </c>
      <c r="P16" s="22">
        <f t="shared" si="4"/>
        <v>4307</v>
      </c>
      <c r="Q16" s="22">
        <f t="shared" si="27"/>
        <v>62.000020161287047</v>
      </c>
      <c r="R16" s="23">
        <f t="shared" si="28"/>
        <v>1.4395175333477374E-2</v>
      </c>
      <c r="S16" s="23"/>
      <c r="T16" s="25">
        <f t="shared" si="5"/>
        <v>136.47378687995842</v>
      </c>
      <c r="U16" s="25">
        <f t="shared" si="5"/>
        <v>502.85079459708737</v>
      </c>
      <c r="V16" s="25">
        <f t="shared" si="5"/>
        <v>1459.727048329122</v>
      </c>
      <c r="W16" s="25">
        <f t="shared" si="5"/>
        <v>2412.0417454931498</v>
      </c>
      <c r="X16" s="25">
        <f t="shared" si="5"/>
        <v>442.44884777965785</v>
      </c>
      <c r="Y16" s="25"/>
      <c r="Z16" s="25">
        <f t="shared" si="18"/>
        <v>4953.5422230789745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J16" s="26"/>
      <c r="AK16" s="26">
        <f t="shared" ref="AK16:AO22" si="29">AK$60</f>
        <v>2.7453990521013563E-2</v>
      </c>
      <c r="AL16" s="26">
        <f t="shared" si="29"/>
        <v>0.10115686875821513</v>
      </c>
      <c r="AM16" s="26">
        <f t="shared" si="29"/>
        <v>0.29364857137982742</v>
      </c>
      <c r="AN16" s="26">
        <f t="shared" si="29"/>
        <v>0.48522264041302554</v>
      </c>
      <c r="AO16" s="26">
        <f t="shared" si="29"/>
        <v>8.9006004381343359E-2</v>
      </c>
      <c r="AP16" s="26"/>
      <c r="AQ16" s="8">
        <v>1</v>
      </c>
      <c r="AR16" s="30">
        <v>18</v>
      </c>
      <c r="AS16" s="31">
        <f t="shared" si="7"/>
        <v>1986</v>
      </c>
      <c r="AT16" s="32">
        <f t="shared" si="8"/>
        <v>4307</v>
      </c>
      <c r="AU16" s="10">
        <f t="shared" si="9"/>
        <v>0</v>
      </c>
      <c r="AV16" s="33">
        <f t="shared" si="19"/>
        <v>287.82763662230622</v>
      </c>
      <c r="AW16" s="34">
        <f t="shared" si="10"/>
        <v>1460.9074986061428</v>
      </c>
      <c r="AX16" s="34">
        <f t="shared" si="11"/>
        <v>4117.54026788794</v>
      </c>
      <c r="AY16" s="34">
        <f t="shared" si="12"/>
        <v>4786.7213476744973</v>
      </c>
      <c r="AZ16" s="10">
        <f t="shared" si="13"/>
        <v>76.947289156626496</v>
      </c>
      <c r="BA16" s="10"/>
      <c r="BB16" s="32">
        <f t="shared" si="20"/>
        <v>10729.944039947513</v>
      </c>
      <c r="BC16" s="33">
        <f t="shared" si="14"/>
        <v>6422.9440399475134</v>
      </c>
      <c r="BD16" s="26">
        <f t="shared" si="15"/>
        <v>2.491280250742399</v>
      </c>
      <c r="BE16" s="9">
        <f t="shared" si="16"/>
        <v>4307</v>
      </c>
      <c r="BH16" s="7">
        <f t="shared" si="21"/>
        <v>2.6824709947295695E-2</v>
      </c>
      <c r="BI16" s="7">
        <f t="shared" si="22"/>
        <v>0.13615238748377376</v>
      </c>
      <c r="BJ16" s="7">
        <f t="shared" si="23"/>
        <v>0.38374293962376355</v>
      </c>
      <c r="BK16" s="7">
        <f t="shared" si="24"/>
        <v>0.44610869635979128</v>
      </c>
      <c r="BL16" s="7">
        <f t="shared" si="25"/>
        <v>7.1712665853756767E-3</v>
      </c>
    </row>
    <row r="17" spans="1:64" ht="12.75" customHeight="1" x14ac:dyDescent="0.2">
      <c r="A17" s="18">
        <v>1987</v>
      </c>
      <c r="B17" s="19">
        <v>313</v>
      </c>
      <c r="C17" s="20">
        <v>0</v>
      </c>
      <c r="D17" s="21"/>
      <c r="E17" s="21"/>
      <c r="F17" s="21"/>
      <c r="G17" s="22">
        <f t="shared" si="0"/>
        <v>313</v>
      </c>
      <c r="H17" s="23">
        <f t="shared" si="1"/>
        <v>3.7971612277083587E-2</v>
      </c>
      <c r="I17" s="19">
        <v>7930</v>
      </c>
      <c r="J17" s="24">
        <v>0.05</v>
      </c>
      <c r="K17" s="10">
        <f t="shared" si="2"/>
        <v>8243</v>
      </c>
      <c r="L17" s="19">
        <v>199</v>
      </c>
      <c r="M17" s="21">
        <v>100</v>
      </c>
      <c r="N17" s="38">
        <f t="shared" si="26"/>
        <v>0.50251256281407031</v>
      </c>
      <c r="O17" s="8">
        <f t="shared" si="3"/>
        <v>2.5094577553593948E-2</v>
      </c>
      <c r="P17" s="22">
        <f t="shared" si="4"/>
        <v>7731</v>
      </c>
      <c r="Q17" s="22">
        <f t="shared" si="27"/>
        <v>100.00001249999922</v>
      </c>
      <c r="R17" s="23">
        <f t="shared" si="28"/>
        <v>1.2934938882421318E-2</v>
      </c>
      <c r="S17" s="23"/>
      <c r="T17" s="25">
        <f t="shared" si="5"/>
        <v>226.3032438647148</v>
      </c>
      <c r="U17" s="25">
        <f t="shared" si="5"/>
        <v>833.8360691739673</v>
      </c>
      <c r="V17" s="25">
        <f t="shared" si="5"/>
        <v>2420.5451738839174</v>
      </c>
      <c r="W17" s="25">
        <f t="shared" si="5"/>
        <v>3999.6902249245695</v>
      </c>
      <c r="X17" s="25">
        <f t="shared" si="5"/>
        <v>733.67649411541333</v>
      </c>
      <c r="Y17" s="25"/>
      <c r="Z17" s="25">
        <f t="shared" si="18"/>
        <v>8214.0512059625835</v>
      </c>
      <c r="AC17" s="7">
        <v>1</v>
      </c>
      <c r="AD17" s="7">
        <v>1</v>
      </c>
      <c r="AE17" s="7">
        <v>1</v>
      </c>
      <c r="AF17" s="7">
        <v>1</v>
      </c>
      <c r="AG17" s="7">
        <v>1</v>
      </c>
      <c r="AJ17" s="26"/>
      <c r="AK17" s="26">
        <f t="shared" si="29"/>
        <v>2.7453990521013563E-2</v>
      </c>
      <c r="AL17" s="26">
        <f t="shared" si="29"/>
        <v>0.10115686875821513</v>
      </c>
      <c r="AM17" s="26">
        <f t="shared" si="29"/>
        <v>0.29364857137982742</v>
      </c>
      <c r="AN17" s="26">
        <f t="shared" si="29"/>
        <v>0.48522264041302554</v>
      </c>
      <c r="AO17" s="26">
        <f t="shared" si="29"/>
        <v>8.9006004381343359E-2</v>
      </c>
      <c r="AP17" s="26"/>
      <c r="AQ17" s="8">
        <v>1</v>
      </c>
      <c r="AR17" s="30">
        <v>19</v>
      </c>
      <c r="AS17" s="31">
        <f t="shared" si="7"/>
        <v>1987</v>
      </c>
      <c r="AT17" s="32">
        <f t="shared" si="8"/>
        <v>7731</v>
      </c>
      <c r="AU17" s="10">
        <f t="shared" si="9"/>
        <v>0</v>
      </c>
      <c r="AV17" s="33">
        <f t="shared" si="19"/>
        <v>396.4905311044779</v>
      </c>
      <c r="AW17" s="34">
        <f t="shared" si="10"/>
        <v>1418.4216137276926</v>
      </c>
      <c r="AX17" s="34">
        <f t="shared" si="11"/>
        <v>2896.8431566619975</v>
      </c>
      <c r="AY17" s="10">
        <f t="shared" si="12"/>
        <v>10359.792168674699</v>
      </c>
      <c r="AZ17" s="10">
        <f t="shared" si="13"/>
        <v>1097.5535269709542</v>
      </c>
      <c r="BA17" s="10"/>
      <c r="BB17" s="32">
        <f t="shared" si="20"/>
        <v>16169.100997139822</v>
      </c>
      <c r="BC17" s="33">
        <f t="shared" si="14"/>
        <v>8438.1009971398216</v>
      </c>
      <c r="BD17" s="26">
        <f t="shared" si="15"/>
        <v>2.0914630703841444</v>
      </c>
      <c r="BE17" s="9">
        <f t="shared" si="16"/>
        <v>7731</v>
      </c>
      <c r="BH17" s="7">
        <f t="shared" si="21"/>
        <v>2.4521495114330334E-2</v>
      </c>
      <c r="BI17" s="7">
        <f t="shared" si="22"/>
        <v>8.7724210144930106E-2</v>
      </c>
      <c r="BJ17" s="7">
        <f t="shared" si="23"/>
        <v>0.17915919735886521</v>
      </c>
      <c r="BK17" s="7">
        <f t="shared" si="24"/>
        <v>0.64071540962650053</v>
      </c>
      <c r="BL17" s="7">
        <f t="shared" si="25"/>
        <v>6.7879687755373799E-2</v>
      </c>
    </row>
    <row r="18" spans="1:64" ht="12.75" customHeight="1" x14ac:dyDescent="0.2">
      <c r="A18" s="18">
        <v>1988</v>
      </c>
      <c r="B18" s="19">
        <v>3</v>
      </c>
      <c r="C18" s="20">
        <v>0</v>
      </c>
      <c r="D18" s="21"/>
      <c r="E18" s="21"/>
      <c r="F18" s="21"/>
      <c r="G18" s="22">
        <f t="shared" si="0"/>
        <v>3</v>
      </c>
      <c r="H18" s="23">
        <f t="shared" si="1"/>
        <v>2.2488755622188905E-4</v>
      </c>
      <c r="I18" s="19">
        <v>13337</v>
      </c>
      <c r="J18" s="24">
        <v>0.05</v>
      </c>
      <c r="K18" s="10">
        <f t="shared" si="2"/>
        <v>13340</v>
      </c>
      <c r="L18" s="19">
        <v>819</v>
      </c>
      <c r="M18" s="21">
        <v>425</v>
      </c>
      <c r="N18" s="38">
        <f t="shared" si="26"/>
        <v>0.51892551892551897</v>
      </c>
      <c r="O18" s="8">
        <f t="shared" si="3"/>
        <v>6.1408112768988526E-2</v>
      </c>
      <c r="P18" s="22">
        <f t="shared" si="4"/>
        <v>12518</v>
      </c>
      <c r="Q18" s="22">
        <f t="shared" si="27"/>
        <v>425.00000294117649</v>
      </c>
      <c r="R18" s="23">
        <f t="shared" si="28"/>
        <v>3.3951110635978311E-2</v>
      </c>
      <c r="S18" s="23"/>
      <c r="T18" s="25">
        <f t="shared" si="5"/>
        <v>366.23623355032095</v>
      </c>
      <c r="U18" s="25">
        <f t="shared" si="5"/>
        <v>1349.4326292345897</v>
      </c>
      <c r="V18" s="25">
        <f t="shared" si="5"/>
        <v>3917.2719422068976</v>
      </c>
      <c r="W18" s="25">
        <f t="shared" si="5"/>
        <v>6472.870023109761</v>
      </c>
      <c r="X18" s="25">
        <f t="shared" si="5"/>
        <v>1187.3400984471205</v>
      </c>
      <c r="Y18" s="25"/>
      <c r="Z18" s="25">
        <f t="shared" si="18"/>
        <v>13293.150926548691</v>
      </c>
      <c r="AC18" s="7">
        <v>1</v>
      </c>
      <c r="AD18" s="7">
        <v>1</v>
      </c>
      <c r="AE18" s="7">
        <v>1</v>
      </c>
      <c r="AF18" s="7">
        <v>1</v>
      </c>
      <c r="AG18" s="7">
        <v>1</v>
      </c>
      <c r="AJ18" s="26"/>
      <c r="AK18" s="26">
        <f t="shared" si="29"/>
        <v>2.7453990521013563E-2</v>
      </c>
      <c r="AL18" s="26">
        <f t="shared" si="29"/>
        <v>0.10115686875821513</v>
      </c>
      <c r="AM18" s="26">
        <f t="shared" si="29"/>
        <v>0.29364857137982742</v>
      </c>
      <c r="AN18" s="26">
        <f t="shared" si="29"/>
        <v>0.48522264041302554</v>
      </c>
      <c r="AO18" s="26">
        <f t="shared" si="29"/>
        <v>8.9006004381343359E-2</v>
      </c>
      <c r="AP18" s="26"/>
      <c r="AQ18" s="8">
        <v>1</v>
      </c>
      <c r="AR18" s="30">
        <v>20</v>
      </c>
      <c r="AS18" s="31">
        <f t="shared" si="7"/>
        <v>1988</v>
      </c>
      <c r="AT18" s="32">
        <f t="shared" si="8"/>
        <v>12518</v>
      </c>
      <c r="AU18" s="10">
        <f t="shared" si="9"/>
        <v>0</v>
      </c>
      <c r="AV18" s="33">
        <f t="shared" si="19"/>
        <v>384.95985508565218</v>
      </c>
      <c r="AW18" s="34">
        <f t="shared" si="10"/>
        <v>997.91251029979219</v>
      </c>
      <c r="AX18" s="10">
        <f t="shared" si="11"/>
        <v>5165.2394578313251</v>
      </c>
      <c r="AY18" s="10">
        <f t="shared" si="12"/>
        <v>10317.003153526972</v>
      </c>
      <c r="AZ18" s="10">
        <f t="shared" si="13"/>
        <v>1484.0131152721815</v>
      </c>
      <c r="BA18" s="10"/>
      <c r="BB18" s="32">
        <f t="shared" si="20"/>
        <v>18349.128092015922</v>
      </c>
      <c r="BC18" s="10">
        <f t="shared" si="14"/>
        <v>5831.1280920159224</v>
      </c>
      <c r="BD18" s="8">
        <f t="shared" si="15"/>
        <v>1.4658194673283209</v>
      </c>
      <c r="BE18" s="9">
        <f t="shared" si="16"/>
        <v>12518</v>
      </c>
      <c r="BH18" s="7">
        <f t="shared" si="21"/>
        <v>2.0979735557743261E-2</v>
      </c>
      <c r="BI18" s="7">
        <f t="shared" si="22"/>
        <v>5.4384737263565353E-2</v>
      </c>
      <c r="BJ18" s="7">
        <f t="shared" si="23"/>
        <v>0.28149781460617879</v>
      </c>
      <c r="BK18" s="7">
        <f t="shared" si="24"/>
        <v>0.56226122035826376</v>
      </c>
      <c r="BL18" s="7">
        <f t="shared" si="25"/>
        <v>8.0876492214248905E-2</v>
      </c>
    </row>
    <row r="19" spans="1:64" x14ac:dyDescent="0.2">
      <c r="A19" s="18">
        <v>1989</v>
      </c>
      <c r="B19" s="19">
        <v>0</v>
      </c>
      <c r="C19" s="20">
        <v>0</v>
      </c>
      <c r="D19" s="21"/>
      <c r="E19" s="21"/>
      <c r="F19" s="21"/>
      <c r="G19" s="22">
        <f t="shared" si="0"/>
        <v>0</v>
      </c>
      <c r="H19" s="23">
        <f t="shared" si="1"/>
        <v>0</v>
      </c>
      <c r="I19" s="19">
        <v>10484</v>
      </c>
      <c r="J19" s="24">
        <v>0.05</v>
      </c>
      <c r="K19" s="10">
        <f t="shared" si="2"/>
        <v>10484</v>
      </c>
      <c r="L19" s="19">
        <v>559</v>
      </c>
      <c r="M19" s="21">
        <v>287</v>
      </c>
      <c r="N19" s="38">
        <f t="shared" si="26"/>
        <v>0.51341681574239717</v>
      </c>
      <c r="O19" s="8">
        <f t="shared" si="3"/>
        <v>5.3319343761922933E-2</v>
      </c>
      <c r="P19" s="22">
        <f t="shared" si="4"/>
        <v>9925</v>
      </c>
      <c r="Q19" s="22">
        <f t="shared" si="27"/>
        <v>287.00000435540068</v>
      </c>
      <c r="R19" s="23">
        <f t="shared" si="28"/>
        <v>2.8916877013138609E-2</v>
      </c>
      <c r="S19" s="23"/>
      <c r="T19" s="25">
        <f t="shared" si="5"/>
        <v>287.82763662230622</v>
      </c>
      <c r="U19" s="25">
        <f t="shared" si="5"/>
        <v>1060.5286120611274</v>
      </c>
      <c r="V19" s="25">
        <f t="shared" si="5"/>
        <v>3078.6116223461108</v>
      </c>
      <c r="W19" s="25">
        <f t="shared" si="5"/>
        <v>5087.0741620901599</v>
      </c>
      <c r="X19" s="25">
        <f t="shared" si="5"/>
        <v>933.13894993400379</v>
      </c>
      <c r="Y19" s="25"/>
      <c r="Z19" s="25">
        <f t="shared" si="18"/>
        <v>10447.180983053709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J19" s="26"/>
      <c r="AK19" s="26">
        <f t="shared" si="29"/>
        <v>2.7453990521013563E-2</v>
      </c>
      <c r="AL19" s="26">
        <f t="shared" si="29"/>
        <v>0.10115686875821513</v>
      </c>
      <c r="AM19" s="26">
        <f t="shared" si="29"/>
        <v>0.29364857137982742</v>
      </c>
      <c r="AN19" s="26">
        <f t="shared" si="29"/>
        <v>0.48522264041302554</v>
      </c>
      <c r="AO19" s="26">
        <f t="shared" si="29"/>
        <v>8.9006004381343359E-2</v>
      </c>
      <c r="AP19" s="26"/>
      <c r="AQ19" s="8">
        <v>1</v>
      </c>
      <c r="AR19" s="30">
        <v>21</v>
      </c>
      <c r="AS19" s="31">
        <f t="shared" si="7"/>
        <v>1989</v>
      </c>
      <c r="AT19" s="32">
        <f t="shared" si="8"/>
        <v>9925</v>
      </c>
      <c r="AU19" s="10">
        <f t="shared" si="9"/>
        <v>0</v>
      </c>
      <c r="AV19" s="33">
        <f t="shared" si="19"/>
        <v>270.83361648979883</v>
      </c>
      <c r="AW19" s="10">
        <f t="shared" si="10"/>
        <v>1352.073795180723</v>
      </c>
      <c r="AX19" s="10">
        <f t="shared" si="11"/>
        <v>3416.6698755186721</v>
      </c>
      <c r="AY19" s="10">
        <f t="shared" si="12"/>
        <v>8642.0594137631342</v>
      </c>
      <c r="AZ19" s="10">
        <f t="shared" si="13"/>
        <v>912.78589195104973</v>
      </c>
      <c r="BA19" s="10"/>
      <c r="BB19" s="32">
        <f t="shared" si="20"/>
        <v>14594.422592903376</v>
      </c>
      <c r="BC19" s="10">
        <f t="shared" si="14"/>
        <v>4669.4225929033764</v>
      </c>
      <c r="BD19" s="8">
        <f t="shared" si="15"/>
        <v>1.4704707902169649</v>
      </c>
      <c r="BE19" s="9">
        <f t="shared" si="16"/>
        <v>9925</v>
      </c>
      <c r="BH19" s="7">
        <f t="shared" si="21"/>
        <v>1.8557336870695607E-2</v>
      </c>
      <c r="BI19" s="7">
        <f t="shared" si="22"/>
        <v>9.2643185201323197E-2</v>
      </c>
      <c r="BJ19" s="7">
        <f t="shared" si="23"/>
        <v>0.23410791716967602</v>
      </c>
      <c r="BK19" s="7">
        <f t="shared" si="24"/>
        <v>0.59214808662354246</v>
      </c>
      <c r="BL19" s="7">
        <f t="shared" si="25"/>
        <v>6.2543474134762772E-2</v>
      </c>
    </row>
    <row r="20" spans="1:64" x14ac:dyDescent="0.2">
      <c r="A20" s="18">
        <v>1990</v>
      </c>
      <c r="B20" s="19">
        <v>0</v>
      </c>
      <c r="C20" s="20">
        <v>0</v>
      </c>
      <c r="D20" s="21"/>
      <c r="E20" s="21"/>
      <c r="F20" s="21"/>
      <c r="G20" s="22">
        <f t="shared" si="0"/>
        <v>0</v>
      </c>
      <c r="H20" s="23">
        <f t="shared" si="1"/>
        <v>0</v>
      </c>
      <c r="I20" s="19">
        <v>14442</v>
      </c>
      <c r="J20" s="24">
        <v>0.05</v>
      </c>
      <c r="K20" s="10">
        <f t="shared" si="2"/>
        <v>14442</v>
      </c>
      <c r="L20" s="19">
        <v>700</v>
      </c>
      <c r="M20" s="21">
        <v>248</v>
      </c>
      <c r="N20" s="38">
        <f t="shared" si="26"/>
        <v>0.35428571428571426</v>
      </c>
      <c r="O20" s="8">
        <f t="shared" si="3"/>
        <v>4.846974103309791E-2</v>
      </c>
      <c r="P20" s="22">
        <f t="shared" si="4"/>
        <v>13742</v>
      </c>
      <c r="Q20" s="22">
        <f t="shared" si="27"/>
        <v>248.00000504032252</v>
      </c>
      <c r="R20" s="23">
        <f t="shared" si="28"/>
        <v>1.8046863996530528E-2</v>
      </c>
      <c r="S20" s="23"/>
      <c r="T20" s="25">
        <f t="shared" si="5"/>
        <v>396.4905311044779</v>
      </c>
      <c r="U20" s="25">
        <f t="shared" si="5"/>
        <v>1460.9074986061428</v>
      </c>
      <c r="V20" s="25">
        <f t="shared" si="5"/>
        <v>4240.8726678674675</v>
      </c>
      <c r="W20" s="25">
        <f t="shared" si="5"/>
        <v>7007.5853728449147</v>
      </c>
      <c r="X20" s="25">
        <f t="shared" si="5"/>
        <v>1285.4247152753608</v>
      </c>
      <c r="Y20" s="25"/>
      <c r="Z20" s="25">
        <f t="shared" si="18"/>
        <v>14391.280785698365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J20" s="26"/>
      <c r="AK20" s="26">
        <f t="shared" si="29"/>
        <v>2.7453990521013563E-2</v>
      </c>
      <c r="AL20" s="26">
        <f t="shared" si="29"/>
        <v>0.10115686875821513</v>
      </c>
      <c r="AM20" s="26">
        <f t="shared" si="29"/>
        <v>0.29364857137982742</v>
      </c>
      <c r="AN20" s="26">
        <f t="shared" si="29"/>
        <v>0.48522264041302554</v>
      </c>
      <c r="AO20" s="26">
        <f t="shared" si="29"/>
        <v>8.9006004381343359E-2</v>
      </c>
      <c r="AP20" s="26"/>
      <c r="AQ20" s="8">
        <v>1</v>
      </c>
      <c r="AR20" s="30">
        <v>22</v>
      </c>
      <c r="AS20" s="31">
        <f t="shared" si="7"/>
        <v>1990</v>
      </c>
      <c r="AT20" s="32">
        <f t="shared" si="8"/>
        <v>13742</v>
      </c>
      <c r="AU20" s="10">
        <f t="shared" si="9"/>
        <v>0</v>
      </c>
      <c r="AV20" s="10">
        <f t="shared" si="19"/>
        <v>76.947289156626496</v>
      </c>
      <c r="AW20" s="10">
        <f t="shared" si="10"/>
        <v>1691.9429045643153</v>
      </c>
      <c r="AX20" s="10">
        <f t="shared" si="11"/>
        <v>2020.6377498617364</v>
      </c>
      <c r="AY20" s="10">
        <f t="shared" si="12"/>
        <v>5950.0117401253601</v>
      </c>
      <c r="AZ20" s="10">
        <f t="shared" si="13"/>
        <v>881.52618657937808</v>
      </c>
      <c r="BA20" s="10"/>
      <c r="BB20" s="32">
        <f t="shared" si="20"/>
        <v>10621.065870287417</v>
      </c>
      <c r="BC20" s="10">
        <f t="shared" si="14"/>
        <v>-3120.9341297125829</v>
      </c>
      <c r="BD20" s="8">
        <f t="shared" si="15"/>
        <v>0.77289083614375031</v>
      </c>
      <c r="BE20" s="9">
        <f t="shared" si="16"/>
        <v>13742</v>
      </c>
      <c r="BH20" s="7">
        <f t="shared" si="21"/>
        <v>7.2447803352663157E-3</v>
      </c>
      <c r="BI20" s="7">
        <f t="shared" si="22"/>
        <v>0.15930066955874453</v>
      </c>
      <c r="BJ20" s="7">
        <f t="shared" si="23"/>
        <v>0.19024811394066385</v>
      </c>
      <c r="BK20" s="7">
        <f t="shared" si="24"/>
        <v>0.5602085339448466</v>
      </c>
      <c r="BL20" s="7">
        <f t="shared" si="25"/>
        <v>8.2997902220478662E-2</v>
      </c>
    </row>
    <row r="21" spans="1:64" x14ac:dyDescent="0.2">
      <c r="A21" s="18">
        <v>1991</v>
      </c>
      <c r="B21" s="19">
        <v>0</v>
      </c>
      <c r="C21" s="20">
        <v>0</v>
      </c>
      <c r="D21" s="21"/>
      <c r="E21" s="21"/>
      <c r="F21" s="21"/>
      <c r="G21" s="22">
        <f t="shared" si="0"/>
        <v>0</v>
      </c>
      <c r="H21" s="23">
        <f t="shared" si="1"/>
        <v>0</v>
      </c>
      <c r="I21" s="19">
        <v>14022</v>
      </c>
      <c r="J21" s="24">
        <v>0.05</v>
      </c>
      <c r="K21" s="10">
        <f t="shared" si="2"/>
        <v>14022</v>
      </c>
      <c r="L21" s="19">
        <v>1599</v>
      </c>
      <c r="M21" s="21">
        <v>529</v>
      </c>
      <c r="N21" s="38">
        <f t="shared" si="26"/>
        <v>0.33083176985616009</v>
      </c>
      <c r="O21" s="8">
        <f t="shared" si="3"/>
        <v>0.11403508771929824</v>
      </c>
      <c r="P21" s="22">
        <f t="shared" si="4"/>
        <v>12423</v>
      </c>
      <c r="Q21" s="22">
        <f t="shared" si="27"/>
        <v>529.00000236294898</v>
      </c>
      <c r="R21" s="23">
        <f t="shared" si="28"/>
        <v>4.2582307201396517E-2</v>
      </c>
      <c r="S21" s="23"/>
      <c r="T21" s="25">
        <f t="shared" si="5"/>
        <v>384.95985508565218</v>
      </c>
      <c r="U21" s="25">
        <f t="shared" si="5"/>
        <v>1418.4216137276926</v>
      </c>
      <c r="V21" s="25">
        <f t="shared" si="5"/>
        <v>4117.54026788794</v>
      </c>
      <c r="W21" s="25">
        <f t="shared" si="5"/>
        <v>6803.7918638714445</v>
      </c>
      <c r="X21" s="25">
        <f t="shared" si="5"/>
        <v>1248.0421934351966</v>
      </c>
      <c r="Y21" s="25"/>
      <c r="Z21" s="25">
        <f t="shared" si="18"/>
        <v>13972.755794007926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J21" s="26"/>
      <c r="AK21" s="26">
        <f t="shared" si="29"/>
        <v>2.7453990521013563E-2</v>
      </c>
      <c r="AL21" s="26">
        <f t="shared" si="29"/>
        <v>0.10115686875821513</v>
      </c>
      <c r="AM21" s="26">
        <f t="shared" si="29"/>
        <v>0.29364857137982742</v>
      </c>
      <c r="AN21" s="26">
        <f t="shared" si="29"/>
        <v>0.48522264041302554</v>
      </c>
      <c r="AO21" s="26">
        <f t="shared" si="29"/>
        <v>8.9006004381343359E-2</v>
      </c>
      <c r="AP21" s="26"/>
      <c r="AQ21" s="8">
        <v>1</v>
      </c>
      <c r="AR21" s="30">
        <v>23</v>
      </c>
      <c r="AS21" s="31">
        <f t="shared" si="7"/>
        <v>1991</v>
      </c>
      <c r="AT21" s="32">
        <f t="shared" si="8"/>
        <v>12423</v>
      </c>
      <c r="AU21" s="10">
        <f t="shared" si="9"/>
        <v>0</v>
      </c>
      <c r="AV21" s="10">
        <f t="shared" si="19"/>
        <v>652.83053941908713</v>
      </c>
      <c r="AW21" s="10">
        <f t="shared" si="10"/>
        <v>1891.3443944062572</v>
      </c>
      <c r="AX21" s="10">
        <f t="shared" si="11"/>
        <v>2751.1809770172122</v>
      </c>
      <c r="AY21" s="10">
        <f t="shared" si="12"/>
        <v>6922.4754500818326</v>
      </c>
      <c r="AZ21" s="10">
        <f t="shared" si="13"/>
        <v>0</v>
      </c>
      <c r="BA21" s="10"/>
      <c r="BB21" s="32">
        <f t="shared" si="20"/>
        <v>12217.831360924389</v>
      </c>
      <c r="BC21" s="10">
        <f t="shared" si="14"/>
        <v>-205.16863907561128</v>
      </c>
      <c r="BD21" s="8">
        <f t="shared" si="15"/>
        <v>0.98348477508849619</v>
      </c>
      <c r="BE21" s="9">
        <f t="shared" si="16"/>
        <v>12423</v>
      </c>
      <c r="BH21" s="7">
        <f t="shared" si="21"/>
        <v>5.3432603555734023E-2</v>
      </c>
      <c r="BI21" s="7">
        <f t="shared" si="22"/>
        <v>0.15480197250514022</v>
      </c>
      <c r="BJ21" s="7">
        <f t="shared" si="23"/>
        <v>0.22517752093191934</v>
      </c>
      <c r="BK21" s="7">
        <f t="shared" si="24"/>
        <v>0.56658790300720641</v>
      </c>
      <c r="BL21" s="7">
        <f t="shared" si="25"/>
        <v>0</v>
      </c>
    </row>
    <row r="22" spans="1:64" x14ac:dyDescent="0.2">
      <c r="A22" s="18">
        <v>1992</v>
      </c>
      <c r="B22" s="19">
        <v>264</v>
      </c>
      <c r="C22" s="20">
        <v>0</v>
      </c>
      <c r="D22" s="21"/>
      <c r="E22" s="21"/>
      <c r="F22" s="21"/>
      <c r="G22" s="22">
        <f t="shared" si="0"/>
        <v>264</v>
      </c>
      <c r="H22" s="23">
        <f t="shared" si="1"/>
        <v>2.6761277242777496E-2</v>
      </c>
      <c r="I22" s="19">
        <v>9601</v>
      </c>
      <c r="J22" s="24">
        <v>0.05</v>
      </c>
      <c r="K22" s="10">
        <f t="shared" si="2"/>
        <v>9865</v>
      </c>
      <c r="L22" s="19">
        <v>856</v>
      </c>
      <c r="M22" s="21">
        <v>158</v>
      </c>
      <c r="N22" s="38">
        <f t="shared" si="26"/>
        <v>0.18457943925233644</v>
      </c>
      <c r="O22" s="8">
        <f t="shared" si="3"/>
        <v>8.9157379439641707E-2</v>
      </c>
      <c r="P22" s="22">
        <f t="shared" si="4"/>
        <v>8745</v>
      </c>
      <c r="Q22" s="22">
        <f t="shared" si="27"/>
        <v>158.0000079113922</v>
      </c>
      <c r="R22" s="23">
        <f t="shared" si="28"/>
        <v>1.8067468028746963E-2</v>
      </c>
      <c r="S22" s="23"/>
      <c r="T22" s="25">
        <f t="shared" si="5"/>
        <v>270.83361648979883</v>
      </c>
      <c r="U22" s="25">
        <f t="shared" si="5"/>
        <v>997.91251029979219</v>
      </c>
      <c r="V22" s="25">
        <f t="shared" si="5"/>
        <v>2896.8431566619975</v>
      </c>
      <c r="W22" s="25">
        <f t="shared" si="5"/>
        <v>4786.7213476744973</v>
      </c>
      <c r="X22" s="25">
        <f t="shared" si="5"/>
        <v>878.04423322195225</v>
      </c>
      <c r="Y22" s="25"/>
      <c r="Z22" s="25">
        <f t="shared" si="18"/>
        <v>9830.3548643480372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J22" s="26"/>
      <c r="AK22" s="26">
        <f t="shared" si="29"/>
        <v>2.7453990521013563E-2</v>
      </c>
      <c r="AL22" s="26">
        <f t="shared" si="29"/>
        <v>0.10115686875821513</v>
      </c>
      <c r="AM22" s="26">
        <f t="shared" si="29"/>
        <v>0.29364857137982742</v>
      </c>
      <c r="AN22" s="26">
        <f t="shared" si="29"/>
        <v>0.48522264041302554</v>
      </c>
      <c r="AO22" s="26">
        <f t="shared" si="29"/>
        <v>8.9006004381343359E-2</v>
      </c>
      <c r="AP22" s="26"/>
      <c r="AQ22" s="8">
        <v>1</v>
      </c>
      <c r="AR22" s="30">
        <v>24</v>
      </c>
      <c r="AS22" s="31">
        <f t="shared" si="7"/>
        <v>1992</v>
      </c>
      <c r="AT22" s="32">
        <f t="shared" si="8"/>
        <v>8745</v>
      </c>
      <c r="AU22" s="10">
        <f t="shared" si="9"/>
        <v>0</v>
      </c>
      <c r="AV22" s="10">
        <f t="shared" si="19"/>
        <v>443.94532669668956</v>
      </c>
      <c r="AW22" s="10">
        <f t="shared" si="10"/>
        <v>1921.1636653069345</v>
      </c>
      <c r="AX22" s="10">
        <f t="shared" si="11"/>
        <v>5271.4157119476267</v>
      </c>
      <c r="AY22" s="10">
        <f t="shared" si="12"/>
        <v>7865.8687371813648</v>
      </c>
      <c r="AZ22" s="10">
        <f t="shared" si="13"/>
        <v>848.21999999999991</v>
      </c>
      <c r="BA22" s="10"/>
      <c r="BB22" s="32">
        <f t="shared" si="20"/>
        <v>16350.613441132615</v>
      </c>
      <c r="BC22" s="10">
        <f t="shared" si="14"/>
        <v>7605.6134411326148</v>
      </c>
      <c r="BD22" s="8">
        <f t="shared" si="15"/>
        <v>1.8697099418104763</v>
      </c>
      <c r="BE22" s="9">
        <f t="shared" si="16"/>
        <v>8745</v>
      </c>
      <c r="BH22" s="7">
        <f t="shared" si="21"/>
        <v>2.7151600659818257E-2</v>
      </c>
      <c r="BI22" s="7">
        <f t="shared" si="22"/>
        <v>0.1174979564053503</v>
      </c>
      <c r="BJ22" s="7">
        <f t="shared" si="23"/>
        <v>0.32239865072502583</v>
      </c>
      <c r="BK22" s="7">
        <f t="shared" si="24"/>
        <v>0.48107483951602076</v>
      </c>
      <c r="BL22" s="7">
        <f t="shared" si="25"/>
        <v>5.1876952693784881E-2</v>
      </c>
    </row>
    <row r="23" spans="1:64" x14ac:dyDescent="0.2">
      <c r="A23" s="18">
        <v>1993</v>
      </c>
      <c r="B23" s="19">
        <v>3082</v>
      </c>
      <c r="C23" s="20">
        <v>5</v>
      </c>
      <c r="D23" s="21"/>
      <c r="E23" s="21"/>
      <c r="F23" s="21"/>
      <c r="G23" s="22">
        <f t="shared" si="0"/>
        <v>3087</v>
      </c>
      <c r="H23" s="23">
        <f t="shared" si="1"/>
        <v>0.18125770653514181</v>
      </c>
      <c r="I23" s="19">
        <v>13944</v>
      </c>
      <c r="J23" s="24">
        <v>0.05</v>
      </c>
      <c r="K23" s="10">
        <f t="shared" si="2"/>
        <v>17031</v>
      </c>
      <c r="L23" s="19">
        <v>1634</v>
      </c>
      <c r="M23" s="21">
        <v>259</v>
      </c>
      <c r="N23" s="38">
        <f t="shared" si="26"/>
        <v>0.15850673194614442</v>
      </c>
      <c r="O23" s="8">
        <f t="shared" si="3"/>
        <v>0.11718301778542742</v>
      </c>
      <c r="P23" s="22">
        <f t="shared" si="4"/>
        <v>12310</v>
      </c>
      <c r="Q23" s="22">
        <f t="shared" si="27"/>
        <v>259.00000482625478</v>
      </c>
      <c r="R23" s="23">
        <f t="shared" si="28"/>
        <v>2.1039805428615336E-2</v>
      </c>
      <c r="S23" s="23"/>
      <c r="T23" s="9">
        <f t="shared" si="5"/>
        <v>76.947289156626496</v>
      </c>
      <c r="U23" s="9">
        <f t="shared" si="5"/>
        <v>1352.073795180723</v>
      </c>
      <c r="V23" s="9">
        <f t="shared" si="5"/>
        <v>5165.2394578313251</v>
      </c>
      <c r="W23" s="9">
        <f t="shared" si="5"/>
        <v>10359.792168674699</v>
      </c>
      <c r="X23" s="9">
        <f t="shared" si="5"/>
        <v>76.947289156626496</v>
      </c>
      <c r="Y23" s="9">
        <f t="shared" si="5"/>
        <v>0</v>
      </c>
      <c r="Z23" s="25">
        <f t="shared" si="18"/>
        <v>17031</v>
      </c>
      <c r="AA23" s="21">
        <v>295</v>
      </c>
      <c r="AB23" s="21"/>
      <c r="AC23" s="19">
        <f t="shared" ref="AC23:AG38" si="30">$AA23*AK23/$AQ23</f>
        <v>1.3328313253012047</v>
      </c>
      <c r="AD23" s="19">
        <f t="shared" si="30"/>
        <v>23.419750430292599</v>
      </c>
      <c r="AE23" s="19">
        <f t="shared" si="30"/>
        <v>89.468947217441183</v>
      </c>
      <c r="AF23" s="19">
        <f t="shared" si="30"/>
        <v>179.44563970166382</v>
      </c>
      <c r="AG23" s="19">
        <f t="shared" si="30"/>
        <v>1.3328313253012047</v>
      </c>
      <c r="AH23" s="19"/>
      <c r="AI23" s="9"/>
      <c r="AJ23" s="9"/>
      <c r="AK23" s="57">
        <v>4.5180722891566263E-3</v>
      </c>
      <c r="AL23" s="57">
        <v>7.9388984509466437E-2</v>
      </c>
      <c r="AM23" s="57">
        <v>0.30328456683878369</v>
      </c>
      <c r="AN23" s="57">
        <v>0.60829030407343665</v>
      </c>
      <c r="AO23" s="57">
        <v>4.5180722891566263E-3</v>
      </c>
      <c r="AP23" s="8"/>
      <c r="AQ23" s="8">
        <v>1</v>
      </c>
      <c r="AR23" s="30">
        <v>25</v>
      </c>
      <c r="AS23" s="31">
        <f t="shared" si="7"/>
        <v>1993</v>
      </c>
      <c r="AT23" s="32">
        <f t="shared" si="8"/>
        <v>12310</v>
      </c>
      <c r="AU23" s="10">
        <f t="shared" si="9"/>
        <v>0</v>
      </c>
      <c r="AV23" s="10">
        <f t="shared" si="19"/>
        <v>115.4097104765695</v>
      </c>
      <c r="AW23" s="10">
        <f t="shared" si="10"/>
        <v>1237.4631751227496</v>
      </c>
      <c r="AX23" s="10">
        <f t="shared" si="11"/>
        <v>1209.5028811407365</v>
      </c>
      <c r="AY23" s="10">
        <f t="shared" si="12"/>
        <v>5937.54</v>
      </c>
      <c r="AZ23" s="10">
        <f t="shared" si="13"/>
        <v>111.75</v>
      </c>
      <c r="BA23" s="10"/>
      <c r="BB23" s="32">
        <f t="shared" si="20"/>
        <v>8611.6657667400559</v>
      </c>
      <c r="BC23" s="10">
        <f t="shared" si="14"/>
        <v>-3698.3342332599441</v>
      </c>
      <c r="BD23" s="8">
        <f t="shared" si="15"/>
        <v>0.69956667479610524</v>
      </c>
      <c r="BE23" s="9">
        <f t="shared" si="16"/>
        <v>12310</v>
      </c>
      <c r="BH23" s="7">
        <f t="shared" si="21"/>
        <v>1.3401554774954744E-2</v>
      </c>
      <c r="BI23" s="7">
        <f t="shared" si="22"/>
        <v>0.14369614528028657</v>
      </c>
      <c r="BJ23" s="7">
        <f t="shared" si="23"/>
        <v>0.1404493525296899</v>
      </c>
      <c r="BK23" s="7">
        <f t="shared" si="24"/>
        <v>0.68947636390301459</v>
      </c>
      <c r="BL23" s="7">
        <f t="shared" si="25"/>
        <v>1.297658351205413E-2</v>
      </c>
    </row>
    <row r="24" spans="1:64" x14ac:dyDescent="0.2">
      <c r="A24" s="18">
        <v>1994</v>
      </c>
      <c r="B24" s="19">
        <v>5114</v>
      </c>
      <c r="C24" s="20">
        <v>13</v>
      </c>
      <c r="D24" s="21"/>
      <c r="E24" s="21"/>
      <c r="F24" s="21"/>
      <c r="G24" s="22">
        <f t="shared" si="0"/>
        <v>5127</v>
      </c>
      <c r="H24" s="23">
        <f t="shared" si="1"/>
        <v>0.29849790405216581</v>
      </c>
      <c r="I24" s="19">
        <v>12049</v>
      </c>
      <c r="J24" s="24">
        <v>0.05</v>
      </c>
      <c r="K24" s="10">
        <f t="shared" si="2"/>
        <v>17176</v>
      </c>
      <c r="L24" s="19">
        <v>1483</v>
      </c>
      <c r="M24" s="21">
        <v>208</v>
      </c>
      <c r="N24" s="38">
        <f t="shared" si="26"/>
        <v>0.14025623735670936</v>
      </c>
      <c r="O24" s="8">
        <f t="shared" si="3"/>
        <v>0.1230807535895095</v>
      </c>
      <c r="P24" s="22">
        <f t="shared" si="4"/>
        <v>10566</v>
      </c>
      <c r="Q24" s="22">
        <f t="shared" si="27"/>
        <v>208.0000060096153</v>
      </c>
      <c r="R24" s="23">
        <f t="shared" si="28"/>
        <v>1.9685785160857023E-2</v>
      </c>
      <c r="S24" s="23"/>
      <c r="T24" s="9">
        <f t="shared" si="5"/>
        <v>652.83053941908713</v>
      </c>
      <c r="U24" s="9">
        <f t="shared" si="5"/>
        <v>1691.9429045643153</v>
      </c>
      <c r="V24" s="9">
        <f t="shared" si="5"/>
        <v>3416.6698755186721</v>
      </c>
      <c r="W24" s="9">
        <f t="shared" si="5"/>
        <v>10317.003153526972</v>
      </c>
      <c r="X24" s="9">
        <f t="shared" si="5"/>
        <v>1097.5535269709542</v>
      </c>
      <c r="Y24" s="9">
        <f t="shared" si="5"/>
        <v>0</v>
      </c>
      <c r="Z24" s="25">
        <f t="shared" si="18"/>
        <v>17176</v>
      </c>
      <c r="AA24" s="21">
        <v>258</v>
      </c>
      <c r="AB24" s="21"/>
      <c r="AC24" s="19">
        <f t="shared" si="30"/>
        <v>9.8061410788381735</v>
      </c>
      <c r="AD24" s="19">
        <f t="shared" si="30"/>
        <v>25.414605809128631</v>
      </c>
      <c r="AE24" s="19">
        <f t="shared" si="30"/>
        <v>51.321659751037345</v>
      </c>
      <c r="AF24" s="19">
        <f t="shared" si="30"/>
        <v>154.97128630705396</v>
      </c>
      <c r="AG24" s="19">
        <f t="shared" si="30"/>
        <v>16.486307053941907</v>
      </c>
      <c r="AH24" s="19"/>
      <c r="AI24" s="9"/>
      <c r="AJ24" s="9"/>
      <c r="AK24" s="57">
        <v>3.8008298755186722E-2</v>
      </c>
      <c r="AL24" s="57">
        <v>9.8506224066390036E-2</v>
      </c>
      <c r="AM24" s="57">
        <v>0.19892116182572614</v>
      </c>
      <c r="AN24" s="57">
        <v>0.60066390041493778</v>
      </c>
      <c r="AO24" s="57">
        <v>6.3900414937759331E-2</v>
      </c>
      <c r="AP24" s="8"/>
      <c r="AQ24" s="8">
        <v>1</v>
      </c>
      <c r="AR24" s="30">
        <v>26</v>
      </c>
      <c r="AS24" s="31">
        <f t="shared" si="7"/>
        <v>1994</v>
      </c>
      <c r="AT24" s="32">
        <f t="shared" si="8"/>
        <v>10566</v>
      </c>
      <c r="AU24" s="10">
        <f t="shared" si="9"/>
        <v>0</v>
      </c>
      <c r="AV24" s="10">
        <f t="shared" si="19"/>
        <v>592.11947626841243</v>
      </c>
      <c r="AW24" s="10">
        <f t="shared" si="10"/>
        <v>1342.7531985545463</v>
      </c>
      <c r="AX24" s="10">
        <f t="shared" si="11"/>
        <v>5937.54</v>
      </c>
      <c r="AY24" s="10">
        <f t="shared" si="12"/>
        <v>6816.75</v>
      </c>
      <c r="AZ24" s="10">
        <f t="shared" si="13"/>
        <v>706.5</v>
      </c>
      <c r="BA24" s="10"/>
      <c r="BB24" s="32">
        <f t="shared" si="20"/>
        <v>15395.662674822959</v>
      </c>
      <c r="BC24" s="10">
        <f t="shared" si="14"/>
        <v>4829.6626748229592</v>
      </c>
      <c r="BD24" s="8">
        <f t="shared" si="15"/>
        <v>1.4570947070625553</v>
      </c>
      <c r="BE24" s="9">
        <f t="shared" si="16"/>
        <v>10566</v>
      </c>
      <c r="BH24" s="7">
        <f t="shared" si="21"/>
        <v>3.8460148729857868E-2</v>
      </c>
      <c r="BI24" s="7">
        <f t="shared" si="22"/>
        <v>8.721633013890305E-2</v>
      </c>
      <c r="BJ24" s="7">
        <f t="shared" si="23"/>
        <v>0.38566316536084266</v>
      </c>
      <c r="BK24" s="7">
        <f t="shared" si="24"/>
        <v>0.44277080785536166</v>
      </c>
      <c r="BL24" s="7">
        <f t="shared" si="25"/>
        <v>4.5889547915034731E-2</v>
      </c>
    </row>
    <row r="25" spans="1:64" x14ac:dyDescent="0.2">
      <c r="A25" s="18">
        <v>1995</v>
      </c>
      <c r="B25" s="19">
        <v>1794</v>
      </c>
      <c r="C25" s="20">
        <v>31</v>
      </c>
      <c r="D25" s="21"/>
      <c r="E25" s="21"/>
      <c r="F25" s="21"/>
      <c r="G25" s="22">
        <f t="shared" si="0"/>
        <v>1825</v>
      </c>
      <c r="H25" s="23">
        <f t="shared" si="1"/>
        <v>0.12601850573125259</v>
      </c>
      <c r="I25" s="19">
        <v>12657</v>
      </c>
      <c r="J25" s="24">
        <v>0.05</v>
      </c>
      <c r="K25" s="10">
        <f t="shared" si="2"/>
        <v>14482</v>
      </c>
      <c r="L25" s="19">
        <v>1284</v>
      </c>
      <c r="M25" s="21">
        <v>230</v>
      </c>
      <c r="N25" s="38">
        <f t="shared" si="26"/>
        <v>0.17912772585669781</v>
      </c>
      <c r="O25" s="8">
        <f t="shared" si="3"/>
        <v>0.10144584024650391</v>
      </c>
      <c r="P25" s="22">
        <f t="shared" si="4"/>
        <v>11373</v>
      </c>
      <c r="Q25" s="22">
        <f t="shared" si="27"/>
        <v>230.00000543478254</v>
      </c>
      <c r="R25" s="23">
        <f t="shared" si="28"/>
        <v>2.0223336449026866E-2</v>
      </c>
      <c r="S25" s="23"/>
      <c r="T25" s="9">
        <f t="shared" si="5"/>
        <v>443.94532669668956</v>
      </c>
      <c r="U25" s="9">
        <f t="shared" si="5"/>
        <v>1891.3443944062572</v>
      </c>
      <c r="V25" s="9">
        <f t="shared" si="5"/>
        <v>2020.6377498617364</v>
      </c>
      <c r="W25" s="9">
        <f t="shared" si="5"/>
        <v>8642.0594137631342</v>
      </c>
      <c r="X25" s="9">
        <f t="shared" si="5"/>
        <v>1484.0131152721815</v>
      </c>
      <c r="Y25" s="9">
        <f t="shared" si="5"/>
        <v>0</v>
      </c>
      <c r="Z25" s="25">
        <f t="shared" si="18"/>
        <v>14482</v>
      </c>
      <c r="AA25" s="21">
        <v>231</v>
      </c>
      <c r="AB25" s="21"/>
      <c r="AC25" s="19">
        <f t="shared" si="30"/>
        <v>7.0812988859919415</v>
      </c>
      <c r="AD25" s="19">
        <f t="shared" si="30"/>
        <v>30.168523346764633</v>
      </c>
      <c r="AE25" s="19">
        <f t="shared" si="30"/>
        <v>32.230860393458165</v>
      </c>
      <c r="AF25" s="19">
        <f t="shared" si="30"/>
        <v>137.84806826262147</v>
      </c>
      <c r="AG25" s="19">
        <f t="shared" si="30"/>
        <v>23.671249111163785</v>
      </c>
      <c r="AH25" s="19"/>
      <c r="AI25" s="9"/>
      <c r="AJ25" s="9"/>
      <c r="AK25" s="57">
        <v>3.0654973532432645E-2</v>
      </c>
      <c r="AL25" s="57">
        <v>0.13059966816781227</v>
      </c>
      <c r="AM25" s="57">
        <v>0.13952753417081457</v>
      </c>
      <c r="AN25" s="57">
        <v>0.59674488425377259</v>
      </c>
      <c r="AO25" s="57">
        <v>0.1024729398751679</v>
      </c>
      <c r="AP25" s="8"/>
      <c r="AQ25" s="8">
        <v>1</v>
      </c>
      <c r="AR25" s="30">
        <v>27</v>
      </c>
      <c r="AS25" s="31">
        <f t="shared" si="7"/>
        <v>1995</v>
      </c>
      <c r="AT25" s="32">
        <f t="shared" si="8"/>
        <v>11373</v>
      </c>
      <c r="AU25" s="10">
        <f t="shared" si="9"/>
        <v>0</v>
      </c>
      <c r="AV25" s="10">
        <f t="shared" si="19"/>
        <v>76.875183123351889</v>
      </c>
      <c r="AW25" s="10">
        <f t="shared" si="10"/>
        <v>1272.33</v>
      </c>
      <c r="AX25" s="10">
        <f t="shared" si="11"/>
        <v>3576</v>
      </c>
      <c r="AY25" s="10">
        <f t="shared" si="12"/>
        <v>4804.2000000000007</v>
      </c>
      <c r="AZ25" s="10">
        <f t="shared" si="13"/>
        <v>363.48</v>
      </c>
      <c r="BA25" s="10">
        <f t="shared" si="13"/>
        <v>0</v>
      </c>
      <c r="BB25" s="32">
        <f t="shared" si="20"/>
        <v>10092.885183123351</v>
      </c>
      <c r="BC25" s="10">
        <f t="shared" si="14"/>
        <v>-1280.1148168766485</v>
      </c>
      <c r="BD25" s="8">
        <f t="shared" si="15"/>
        <v>0.88744264337671253</v>
      </c>
      <c r="BE25" s="9">
        <f t="shared" si="16"/>
        <v>11373</v>
      </c>
      <c r="BH25" s="7">
        <f t="shared" si="21"/>
        <v>7.6167698065066104E-3</v>
      </c>
      <c r="BI25" s="7">
        <f t="shared" si="22"/>
        <v>0.12606207015289395</v>
      </c>
      <c r="BJ25" s="7">
        <f t="shared" si="23"/>
        <v>0.35430899441713143</v>
      </c>
      <c r="BK25" s="7">
        <f t="shared" si="24"/>
        <v>0.47599867756677378</v>
      </c>
      <c r="BL25" s="7">
        <f t="shared" si="25"/>
        <v>3.6013488056694333E-2</v>
      </c>
    </row>
    <row r="26" spans="1:64" x14ac:dyDescent="0.2">
      <c r="A26" s="18">
        <v>1996</v>
      </c>
      <c r="B26" s="19">
        <v>1662</v>
      </c>
      <c r="C26" s="20">
        <v>4</v>
      </c>
      <c r="D26" s="21"/>
      <c r="E26" s="21"/>
      <c r="F26" s="21"/>
      <c r="G26" s="22">
        <f t="shared" si="0"/>
        <v>1666</v>
      </c>
      <c r="H26" s="23">
        <f t="shared" si="1"/>
        <v>0.14218656652726808</v>
      </c>
      <c r="I26" s="19">
        <v>10051</v>
      </c>
      <c r="J26" s="24">
        <v>0.05</v>
      </c>
      <c r="K26" s="10">
        <f t="shared" si="2"/>
        <v>11717</v>
      </c>
      <c r="L26" s="19">
        <v>1695</v>
      </c>
      <c r="M26" s="21">
        <v>353</v>
      </c>
      <c r="N26" s="38">
        <f t="shared" si="26"/>
        <v>0.20825958702064898</v>
      </c>
      <c r="O26" s="8">
        <f t="shared" si="3"/>
        <v>0.16863993632474381</v>
      </c>
      <c r="P26" s="22">
        <f t="shared" si="4"/>
        <v>8356</v>
      </c>
      <c r="Q26" s="22">
        <f t="shared" si="27"/>
        <v>353.00000354107647</v>
      </c>
      <c r="R26" s="23">
        <f t="shared" si="28"/>
        <v>4.2245093769875112E-2</v>
      </c>
      <c r="S26" s="23"/>
      <c r="T26" s="9">
        <f t="shared" si="5"/>
        <v>115.4097104765695</v>
      </c>
      <c r="U26" s="9">
        <f t="shared" si="5"/>
        <v>1921.1636653069345</v>
      </c>
      <c r="V26" s="9">
        <f t="shared" si="5"/>
        <v>2751.1809770172122</v>
      </c>
      <c r="W26" s="9">
        <f t="shared" si="5"/>
        <v>5950.0117401253601</v>
      </c>
      <c r="X26" s="9">
        <f t="shared" si="5"/>
        <v>912.78589195104973</v>
      </c>
      <c r="Y26" s="9">
        <f t="shared" si="5"/>
        <v>0</v>
      </c>
      <c r="Z26" s="25">
        <f t="shared" si="18"/>
        <v>11650.551984877126</v>
      </c>
      <c r="AA26" s="21">
        <v>101</v>
      </c>
      <c r="AB26" s="21"/>
      <c r="AC26" s="19">
        <f t="shared" si="30"/>
        <v>1.000500300180108</v>
      </c>
      <c r="AD26" s="19">
        <f t="shared" si="30"/>
        <v>16.654792875725434</v>
      </c>
      <c r="AE26" s="19">
        <f t="shared" si="30"/>
        <v>23.850310186111663</v>
      </c>
      <c r="AF26" s="19">
        <f t="shared" si="30"/>
        <v>51.581348809285565</v>
      </c>
      <c r="AG26" s="19">
        <f t="shared" si="30"/>
        <v>7.913047828697219</v>
      </c>
      <c r="AH26" s="19"/>
      <c r="AI26" s="9"/>
      <c r="AJ26" s="9"/>
      <c r="AK26" s="57">
        <v>9.8497661924186655E-3</v>
      </c>
      <c r="AL26" s="57">
        <v>0.16396378469803999</v>
      </c>
      <c r="AM26" s="57">
        <v>0.23480250721321261</v>
      </c>
      <c r="AN26" s="57">
        <v>0.50781016814247337</v>
      </c>
      <c r="AO26" s="57">
        <v>7.7902696249129447E-2</v>
      </c>
      <c r="AP26" s="8"/>
      <c r="AQ26" s="8">
        <v>0.99432892249527416</v>
      </c>
      <c r="AR26" s="30">
        <v>28</v>
      </c>
      <c r="AS26" s="31">
        <f t="shared" si="7"/>
        <v>1996</v>
      </c>
      <c r="AT26" s="32">
        <f t="shared" si="8"/>
        <v>8356</v>
      </c>
      <c r="AU26" s="10">
        <f t="shared" si="9"/>
        <v>0</v>
      </c>
      <c r="AV26" s="10">
        <f t="shared" si="19"/>
        <v>141.37</v>
      </c>
      <c r="AW26" s="10">
        <f t="shared" si="10"/>
        <v>447</v>
      </c>
      <c r="AX26" s="10">
        <f t="shared" si="11"/>
        <v>1554.3</v>
      </c>
      <c r="AY26" s="10">
        <f t="shared" si="12"/>
        <v>3271.3199999999997</v>
      </c>
      <c r="AZ26" s="10">
        <f t="shared" si="13"/>
        <v>88.91</v>
      </c>
      <c r="BA26" s="10">
        <f t="shared" si="13"/>
        <v>0</v>
      </c>
      <c r="BB26" s="32">
        <f t="shared" si="20"/>
        <v>5502.9</v>
      </c>
      <c r="BC26" s="10">
        <f t="shared" si="14"/>
        <v>-2853.1000000000004</v>
      </c>
      <c r="BD26" s="8">
        <f t="shared" si="15"/>
        <v>0.65855672570607937</v>
      </c>
      <c r="BE26" s="9">
        <f t="shared" si="16"/>
        <v>8356</v>
      </c>
      <c r="BH26" s="7">
        <f t="shared" si="21"/>
        <v>2.5690090679459925E-2</v>
      </c>
      <c r="BI26" s="7">
        <f t="shared" si="22"/>
        <v>8.1229896963419299E-2</v>
      </c>
      <c r="BJ26" s="7">
        <f t="shared" si="23"/>
        <v>0.28245107125333918</v>
      </c>
      <c r="BK26" s="7">
        <f t="shared" si="24"/>
        <v>0.59447200566973779</v>
      </c>
      <c r="BL26" s="7">
        <f t="shared" si="25"/>
        <v>1.6156935434043868E-2</v>
      </c>
    </row>
    <row r="27" spans="1:64" x14ac:dyDescent="0.2">
      <c r="A27" s="18">
        <v>1997</v>
      </c>
      <c r="B27" s="19">
        <v>1445</v>
      </c>
      <c r="C27" s="20">
        <v>17</v>
      </c>
      <c r="D27" s="21"/>
      <c r="E27" s="21"/>
      <c r="F27" s="21"/>
      <c r="G27" s="22">
        <f t="shared" si="0"/>
        <v>1462</v>
      </c>
      <c r="H27" s="23">
        <f t="shared" si="1"/>
        <v>9.8087889969808786E-2</v>
      </c>
      <c r="I27" s="19">
        <v>13443</v>
      </c>
      <c r="J27" s="24">
        <v>0.05</v>
      </c>
      <c r="K27" s="10">
        <f t="shared" si="2"/>
        <v>14905</v>
      </c>
      <c r="L27" s="19">
        <v>1574</v>
      </c>
      <c r="M27" s="21">
        <v>285</v>
      </c>
      <c r="N27" s="38">
        <f t="shared" si="26"/>
        <v>0.18106734434561628</v>
      </c>
      <c r="O27" s="8">
        <f t="shared" si="3"/>
        <v>0.11708695975600684</v>
      </c>
      <c r="P27" s="22">
        <f t="shared" si="4"/>
        <v>11869</v>
      </c>
      <c r="Q27" s="22">
        <f t="shared" si="27"/>
        <v>285.00000438596487</v>
      </c>
      <c r="R27" s="23">
        <f t="shared" si="28"/>
        <v>2.4012132815398508E-2</v>
      </c>
      <c r="S27" s="23"/>
      <c r="T27" s="9">
        <f t="shared" si="5"/>
        <v>592.11947626841243</v>
      </c>
      <c r="U27" s="9">
        <f t="shared" si="5"/>
        <v>1237.4631751227496</v>
      </c>
      <c r="V27" s="9">
        <f t="shared" si="5"/>
        <v>5271.4157119476267</v>
      </c>
      <c r="W27" s="9">
        <f t="shared" si="5"/>
        <v>6922.4754500818326</v>
      </c>
      <c r="X27" s="9">
        <f t="shared" si="5"/>
        <v>881.52618657937808</v>
      </c>
      <c r="Y27" s="9">
        <f t="shared" si="5"/>
        <v>0</v>
      </c>
      <c r="Z27" s="25">
        <f t="shared" si="18"/>
        <v>14905</v>
      </c>
      <c r="AA27" s="21">
        <v>203</v>
      </c>
      <c r="AB27" s="21"/>
      <c r="AC27" s="19">
        <f t="shared" si="30"/>
        <v>8.0644249367653629</v>
      </c>
      <c r="AD27" s="19">
        <f t="shared" si="30"/>
        <v>16.853742002678175</v>
      </c>
      <c r="AE27" s="19">
        <f t="shared" si="30"/>
        <v>71.794524624311862</v>
      </c>
      <c r="AF27" s="19">
        <f t="shared" si="30"/>
        <v>94.281282547239996</v>
      </c>
      <c r="AG27" s="19">
        <f t="shared" si="30"/>
        <v>12.006025889004613</v>
      </c>
      <c r="AH27" s="19"/>
      <c r="AI27" s="9"/>
      <c r="AJ27" s="9"/>
      <c r="AK27" s="57">
        <v>3.9726231215592919E-2</v>
      </c>
      <c r="AL27" s="57">
        <v>8.3023359619104301E-2</v>
      </c>
      <c r="AM27" s="57">
        <v>0.35366760898675792</v>
      </c>
      <c r="AN27" s="57">
        <v>0.46443981550364527</v>
      </c>
      <c r="AO27" s="57">
        <v>5.9142984674899569E-2</v>
      </c>
      <c r="AP27" s="8"/>
      <c r="AQ27" s="8">
        <v>1</v>
      </c>
      <c r="AR27" s="30">
        <v>29</v>
      </c>
      <c r="AS27" s="31">
        <f t="shared" si="7"/>
        <v>1997</v>
      </c>
      <c r="AT27" s="32">
        <f t="shared" si="8"/>
        <v>11869</v>
      </c>
      <c r="AU27" s="10">
        <f t="shared" si="9"/>
        <v>0</v>
      </c>
      <c r="AV27" s="10">
        <f t="shared" si="19"/>
        <v>223.5</v>
      </c>
      <c r="AW27" s="10">
        <f t="shared" si="10"/>
        <v>0</v>
      </c>
      <c r="AX27" s="10">
        <f t="shared" si="11"/>
        <v>2907.84</v>
      </c>
      <c r="AY27" s="10">
        <f t="shared" si="12"/>
        <v>1778.2</v>
      </c>
      <c r="AZ27" s="10">
        <f t="shared" si="13"/>
        <v>575.33950000000004</v>
      </c>
      <c r="BA27" s="10">
        <f t="shared" si="13"/>
        <v>0</v>
      </c>
      <c r="BB27" s="32">
        <f t="shared" si="20"/>
        <v>5484.8795</v>
      </c>
      <c r="BC27" s="10">
        <f t="shared" si="14"/>
        <v>-6384.1205</v>
      </c>
      <c r="BD27" s="8">
        <f t="shared" si="15"/>
        <v>0.46211808071446625</v>
      </c>
      <c r="BE27" s="9">
        <f t="shared" si="16"/>
        <v>11869</v>
      </c>
      <c r="BH27" s="7">
        <f t="shared" si="21"/>
        <v>4.0748388364776289E-2</v>
      </c>
      <c r="BI27" s="7">
        <f t="shared" si="22"/>
        <v>0</v>
      </c>
      <c r="BJ27" s="7">
        <f t="shared" si="23"/>
        <v>0.53015567616389747</v>
      </c>
      <c r="BK27" s="7">
        <f t="shared" si="24"/>
        <v>0.32420037669013513</v>
      </c>
      <c r="BL27" s="7">
        <f t="shared" si="25"/>
        <v>0.1048955587811911</v>
      </c>
    </row>
    <row r="28" spans="1:64" x14ac:dyDescent="0.2">
      <c r="A28" s="18">
        <v>1998</v>
      </c>
      <c r="B28" s="19">
        <v>252</v>
      </c>
      <c r="C28" s="20">
        <v>4</v>
      </c>
      <c r="D28" s="21"/>
      <c r="E28" s="21"/>
      <c r="F28" s="21"/>
      <c r="G28" s="22">
        <f t="shared" si="0"/>
        <v>256</v>
      </c>
      <c r="H28" s="23">
        <f t="shared" si="1"/>
        <v>2.4392567889471178E-2</v>
      </c>
      <c r="I28" s="19">
        <v>10239</v>
      </c>
      <c r="J28" s="38">
        <f>1760/I28</f>
        <v>0.17189178630725657</v>
      </c>
      <c r="K28" s="10">
        <f t="shared" si="2"/>
        <v>10495</v>
      </c>
      <c r="L28" s="19">
        <v>1173</v>
      </c>
      <c r="M28" s="21">
        <v>224</v>
      </c>
      <c r="N28" s="38">
        <f t="shared" si="26"/>
        <v>0.19096334185848252</v>
      </c>
      <c r="O28" s="8">
        <f t="shared" si="3"/>
        <v>0.11456196894227952</v>
      </c>
      <c r="P28" s="22">
        <f t="shared" si="4"/>
        <v>9066</v>
      </c>
      <c r="Q28" s="22">
        <f t="shared" si="27"/>
        <v>224.00006595263807</v>
      </c>
      <c r="R28" s="23">
        <f t="shared" si="28"/>
        <v>2.4707706370244657E-2</v>
      </c>
      <c r="S28" s="23"/>
      <c r="T28" s="9">
        <f t="shared" si="5"/>
        <v>76.875183123351889</v>
      </c>
      <c r="U28" s="9">
        <f t="shared" si="5"/>
        <v>1342.7531985545463</v>
      </c>
      <c r="V28" s="9">
        <f t="shared" si="5"/>
        <v>1209.5028811407365</v>
      </c>
      <c r="W28" s="9">
        <f t="shared" si="5"/>
        <v>7865.8687371813648</v>
      </c>
      <c r="X28" s="9">
        <f t="shared" si="5"/>
        <v>0</v>
      </c>
      <c r="Y28" s="9">
        <f t="shared" si="5"/>
        <v>0</v>
      </c>
      <c r="Z28" s="25">
        <f t="shared" si="18"/>
        <v>10495</v>
      </c>
      <c r="AA28" s="21">
        <v>78</v>
      </c>
      <c r="AB28" s="21"/>
      <c r="AC28" s="19">
        <f t="shared" si="30"/>
        <v>0.57134485789627898</v>
      </c>
      <c r="AD28" s="19">
        <f t="shared" si="30"/>
        <v>9.9794901845883395</v>
      </c>
      <c r="AE28" s="19">
        <f t="shared" si="30"/>
        <v>8.9891590975681215</v>
      </c>
      <c r="AF28" s="19">
        <f t="shared" si="30"/>
        <v>58.460005859947259</v>
      </c>
      <c r="AG28" s="19">
        <f t="shared" si="30"/>
        <v>0</v>
      </c>
      <c r="AH28" s="19"/>
      <c r="AI28" s="9"/>
      <c r="AJ28" s="9"/>
      <c r="AK28" s="57">
        <v>7.3249340755933198E-3</v>
      </c>
      <c r="AL28" s="57">
        <v>0.12794218185369666</v>
      </c>
      <c r="AM28" s="57">
        <v>0.11524562945600156</v>
      </c>
      <c r="AN28" s="57">
        <v>0.74948725461470844</v>
      </c>
      <c r="AO28" s="57">
        <v>0</v>
      </c>
      <c r="AP28" s="8"/>
      <c r="AQ28" s="8">
        <v>1</v>
      </c>
      <c r="AR28" s="30">
        <v>30</v>
      </c>
      <c r="AS28" s="31">
        <f t="shared" si="7"/>
        <v>1998</v>
      </c>
      <c r="AT28" s="32">
        <f t="shared" si="8"/>
        <v>9066</v>
      </c>
      <c r="AU28" s="10">
        <f t="shared" si="9"/>
        <v>0</v>
      </c>
      <c r="AV28" s="10">
        <f t="shared" si="19"/>
        <v>0</v>
      </c>
      <c r="AW28" s="10">
        <f t="shared" si="10"/>
        <v>2271.75</v>
      </c>
      <c r="AX28" s="10">
        <f t="shared" si="11"/>
        <v>5245.69</v>
      </c>
      <c r="AY28" s="10">
        <f t="shared" si="12"/>
        <v>5577.2815817375076</v>
      </c>
      <c r="AZ28" s="10">
        <f t="shared" si="13"/>
        <v>178.45090216161495</v>
      </c>
      <c r="BA28" s="10">
        <f t="shared" si="13"/>
        <v>0</v>
      </c>
      <c r="BB28" s="32">
        <f t="shared" si="20"/>
        <v>13273.172483899121</v>
      </c>
      <c r="BC28" s="10">
        <f t="shared" si="14"/>
        <v>4207.1724838991213</v>
      </c>
      <c r="BD28" s="8">
        <f t="shared" si="15"/>
        <v>1.4640604989961528</v>
      </c>
      <c r="BE28" s="9">
        <f t="shared" si="16"/>
        <v>9066</v>
      </c>
      <c r="BH28" s="7">
        <f t="shared" si="21"/>
        <v>0</v>
      </c>
      <c r="BI28" s="7">
        <f t="shared" si="22"/>
        <v>0.17115350552068256</v>
      </c>
      <c r="BJ28" s="7">
        <f t="shared" si="23"/>
        <v>0.39520996252879464</v>
      </c>
      <c r="BK28" s="7">
        <f t="shared" si="24"/>
        <v>0.42019205193807047</v>
      </c>
      <c r="BL28" s="7">
        <f t="shared" si="25"/>
        <v>1.3444480012452402E-2</v>
      </c>
    </row>
    <row r="29" spans="1:64" x14ac:dyDescent="0.2">
      <c r="A29" s="18">
        <v>1999</v>
      </c>
      <c r="B29" s="19">
        <v>1067</v>
      </c>
      <c r="C29" s="20">
        <v>7</v>
      </c>
      <c r="D29" s="21"/>
      <c r="E29" s="21"/>
      <c r="F29" s="21"/>
      <c r="G29" s="22">
        <f t="shared" si="0"/>
        <v>1074</v>
      </c>
      <c r="H29" s="23">
        <f t="shared" si="1"/>
        <v>7.5970856617386992E-2</v>
      </c>
      <c r="I29" s="19">
        <v>13063</v>
      </c>
      <c r="J29" s="24">
        <v>0.05</v>
      </c>
      <c r="K29" s="10">
        <f t="shared" si="2"/>
        <v>14137</v>
      </c>
      <c r="L29" s="19">
        <v>1766</v>
      </c>
      <c r="M29" s="21">
        <v>317</v>
      </c>
      <c r="N29" s="38">
        <f t="shared" si="26"/>
        <v>0.17950169875424687</v>
      </c>
      <c r="O29" s="8">
        <f t="shared" si="3"/>
        <v>0.13519099747378091</v>
      </c>
      <c r="P29" s="22">
        <f t="shared" si="4"/>
        <v>11297</v>
      </c>
      <c r="Q29" s="22">
        <f t="shared" si="27"/>
        <v>317.00000394321762</v>
      </c>
      <c r="R29" s="23">
        <f t="shared" si="28"/>
        <v>2.8060547396938799E-2</v>
      </c>
      <c r="S29" s="23"/>
      <c r="T29" s="9">
        <f t="shared" si="5"/>
        <v>141.37</v>
      </c>
      <c r="U29" s="9">
        <f t="shared" si="5"/>
        <v>1272.33</v>
      </c>
      <c r="V29" s="9">
        <f t="shared" si="5"/>
        <v>5937.54</v>
      </c>
      <c r="W29" s="9">
        <f t="shared" si="5"/>
        <v>5937.54</v>
      </c>
      <c r="X29" s="9">
        <f t="shared" si="5"/>
        <v>848.21999999999991</v>
      </c>
      <c r="Y29" s="9">
        <f t="shared" si="5"/>
        <v>0</v>
      </c>
      <c r="Z29" s="25">
        <f t="shared" si="18"/>
        <v>14136.999999999998</v>
      </c>
      <c r="AA29" s="21">
        <v>288</v>
      </c>
      <c r="AB29" s="21"/>
      <c r="AC29" s="19">
        <f t="shared" si="30"/>
        <v>2.88</v>
      </c>
      <c r="AD29" s="19">
        <f t="shared" si="30"/>
        <v>25.919999999999998</v>
      </c>
      <c r="AE29" s="19">
        <f t="shared" si="30"/>
        <v>120.96</v>
      </c>
      <c r="AF29" s="19">
        <f t="shared" si="30"/>
        <v>120.96</v>
      </c>
      <c r="AG29" s="19">
        <f t="shared" si="30"/>
        <v>17.28</v>
      </c>
      <c r="AH29" s="19"/>
      <c r="AI29" s="9"/>
      <c r="AJ29" s="9"/>
      <c r="AK29" s="57">
        <v>0.01</v>
      </c>
      <c r="AL29" s="57">
        <v>0.09</v>
      </c>
      <c r="AM29" s="57">
        <v>0.42</v>
      </c>
      <c r="AN29" s="57">
        <v>0.42</v>
      </c>
      <c r="AO29" s="57">
        <v>0.06</v>
      </c>
      <c r="AP29" s="23"/>
      <c r="AQ29" s="8">
        <f t="shared" ref="AQ29:AQ36" si="31">SUM(AK29:AO29)</f>
        <v>1</v>
      </c>
      <c r="AR29" s="30">
        <v>31</v>
      </c>
      <c r="AS29" s="31">
        <f t="shared" si="7"/>
        <v>1999</v>
      </c>
      <c r="AT29" s="32">
        <f t="shared" si="8"/>
        <v>11297</v>
      </c>
      <c r="AU29" s="10">
        <f t="shared" si="9"/>
        <v>0</v>
      </c>
      <c r="AV29" s="10">
        <f t="shared" si="19"/>
        <v>272.61</v>
      </c>
      <c r="AW29" s="10">
        <f t="shared" si="10"/>
        <v>1689.29</v>
      </c>
      <c r="AX29" s="10">
        <f t="shared" si="11"/>
        <v>3442.8191180498902</v>
      </c>
      <c r="AY29" s="10">
        <f t="shared" si="12"/>
        <v>2096.3621672720774</v>
      </c>
      <c r="AZ29" s="10">
        <f t="shared" si="13"/>
        <v>1202.6088066739978</v>
      </c>
      <c r="BA29" s="10">
        <f t="shared" si="13"/>
        <v>0</v>
      </c>
      <c r="BB29" s="32">
        <f t="shared" si="20"/>
        <v>8703.6900919959662</v>
      </c>
      <c r="BC29" s="10">
        <f t="shared" si="14"/>
        <v>-2593.3099080040338</v>
      </c>
      <c r="BD29" s="8">
        <f t="shared" si="15"/>
        <v>0.77044260352270211</v>
      </c>
      <c r="BE29" s="9">
        <f t="shared" si="16"/>
        <v>11297</v>
      </c>
      <c r="BH29" s="7">
        <f t="shared" si="21"/>
        <v>3.1321197919339516E-2</v>
      </c>
      <c r="BI29" s="7">
        <f t="shared" si="22"/>
        <v>0.19408894183324546</v>
      </c>
      <c r="BJ29" s="7">
        <f t="shared" si="23"/>
        <v>0.39555855983612676</v>
      </c>
      <c r="BK29" s="7">
        <f t="shared" si="24"/>
        <v>0.24085900866345425</v>
      </c>
      <c r="BL29" s="7">
        <f t="shared" si="25"/>
        <v>0.13817229174783388</v>
      </c>
    </row>
    <row r="30" spans="1:64" x14ac:dyDescent="0.2">
      <c r="A30" s="18">
        <v>2000</v>
      </c>
      <c r="B30" s="19">
        <v>693</v>
      </c>
      <c r="C30" s="20">
        <v>22</v>
      </c>
      <c r="D30" s="21"/>
      <c r="E30" s="21"/>
      <c r="F30" s="21"/>
      <c r="G30" s="22">
        <f t="shared" si="0"/>
        <v>715</v>
      </c>
      <c r="H30" s="23">
        <f t="shared" si="1"/>
        <v>6.3982102908277411E-2</v>
      </c>
      <c r="I30" s="19">
        <v>10460</v>
      </c>
      <c r="J30" s="24">
        <v>0.05</v>
      </c>
      <c r="K30" s="10">
        <f t="shared" si="2"/>
        <v>11175</v>
      </c>
      <c r="L30" s="19">
        <v>2581</v>
      </c>
      <c r="M30" s="21">
        <v>427</v>
      </c>
      <c r="N30" s="38">
        <f t="shared" si="26"/>
        <v>0.16543975203409531</v>
      </c>
      <c r="O30" s="8">
        <f t="shared" si="3"/>
        <v>0.24674952198852773</v>
      </c>
      <c r="P30" s="22">
        <f t="shared" si="4"/>
        <v>7879</v>
      </c>
      <c r="Q30" s="22">
        <f t="shared" si="27"/>
        <v>427.00000292740049</v>
      </c>
      <c r="R30" s="23">
        <f t="shared" si="28"/>
        <v>5.4194695129762722E-2</v>
      </c>
      <c r="S30" s="23"/>
      <c r="T30" s="9">
        <f t="shared" si="5"/>
        <v>223.5</v>
      </c>
      <c r="U30" s="9">
        <f t="shared" si="5"/>
        <v>447</v>
      </c>
      <c r="V30" s="9">
        <f t="shared" si="5"/>
        <v>3576</v>
      </c>
      <c r="W30" s="9">
        <f t="shared" si="5"/>
        <v>6816.75</v>
      </c>
      <c r="X30" s="9">
        <f t="shared" si="5"/>
        <v>111.75</v>
      </c>
      <c r="Y30" s="9">
        <f t="shared" si="5"/>
        <v>0</v>
      </c>
      <c r="Z30" s="25">
        <f t="shared" si="18"/>
        <v>11175</v>
      </c>
      <c r="AA30" s="21">
        <v>234</v>
      </c>
      <c r="AB30" s="21"/>
      <c r="AC30" s="19">
        <f t="shared" si="30"/>
        <v>4.68</v>
      </c>
      <c r="AD30" s="19">
        <f t="shared" si="30"/>
        <v>9.36</v>
      </c>
      <c r="AE30" s="19">
        <f t="shared" si="30"/>
        <v>74.88</v>
      </c>
      <c r="AF30" s="19">
        <f t="shared" si="30"/>
        <v>142.74</v>
      </c>
      <c r="AG30" s="19">
        <f t="shared" si="30"/>
        <v>2.34</v>
      </c>
      <c r="AH30" s="19"/>
      <c r="AI30" s="9"/>
      <c r="AJ30" s="9"/>
      <c r="AK30" s="57">
        <v>0.02</v>
      </c>
      <c r="AL30" s="57">
        <v>0.04</v>
      </c>
      <c r="AM30" s="57">
        <v>0.32</v>
      </c>
      <c r="AN30" s="57">
        <v>0.61</v>
      </c>
      <c r="AO30" s="57">
        <v>0.01</v>
      </c>
      <c r="AP30" s="23"/>
      <c r="AQ30" s="8">
        <f t="shared" si="31"/>
        <v>1</v>
      </c>
      <c r="AR30" s="30">
        <v>32</v>
      </c>
      <c r="AS30" s="31">
        <f t="shared" si="7"/>
        <v>2000</v>
      </c>
      <c r="AT30" s="32">
        <f t="shared" si="8"/>
        <v>7879</v>
      </c>
      <c r="AU30" s="10">
        <f t="shared" si="9"/>
        <v>0</v>
      </c>
      <c r="AV30" s="10">
        <f t="shared" si="19"/>
        <v>88.91</v>
      </c>
      <c r="AW30" s="10">
        <f t="shared" si="10"/>
        <v>434.84465708098514</v>
      </c>
      <c r="AX30" s="10">
        <f t="shared" si="11"/>
        <v>2245.8285464925866</v>
      </c>
      <c r="AY30" s="10">
        <f t="shared" si="12"/>
        <v>2839.63394694919</v>
      </c>
      <c r="AZ30" s="10">
        <f t="shared" si="13"/>
        <v>554.25</v>
      </c>
      <c r="BA30" s="10">
        <f t="shared" si="13"/>
        <v>100.77272727272728</v>
      </c>
      <c r="BB30" s="32">
        <f t="shared" si="20"/>
        <v>6264.2398777954886</v>
      </c>
      <c r="BC30" s="10">
        <f t="shared" si="14"/>
        <v>-1614.7601222045114</v>
      </c>
      <c r="BD30" s="8">
        <f t="shared" si="15"/>
        <v>0.795055194541882</v>
      </c>
      <c r="BE30" s="9">
        <f t="shared" si="16"/>
        <v>7879</v>
      </c>
      <c r="BH30" s="7">
        <f t="shared" si="21"/>
        <v>1.4193262348581901E-2</v>
      </c>
      <c r="BI30" s="7">
        <f t="shared" si="22"/>
        <v>6.9416986827460975E-2</v>
      </c>
      <c r="BJ30" s="7">
        <f t="shared" si="23"/>
        <v>0.35851573220451749</v>
      </c>
      <c r="BK30" s="7">
        <f t="shared" si="24"/>
        <v>0.45330862201089817</v>
      </c>
      <c r="BL30" s="7">
        <f t="shared" si="25"/>
        <v>0.10456539660854157</v>
      </c>
    </row>
    <row r="31" spans="1:64" x14ac:dyDescent="0.2">
      <c r="A31" s="18">
        <v>2001</v>
      </c>
      <c r="B31" s="19">
        <v>2588</v>
      </c>
      <c r="C31" s="19">
        <v>24</v>
      </c>
      <c r="D31" s="21"/>
      <c r="E31" s="21"/>
      <c r="F31" s="21"/>
      <c r="G31" s="22">
        <f t="shared" si="0"/>
        <v>2612</v>
      </c>
      <c r="H31" s="23">
        <f t="shared" si="1"/>
        <v>0.36970983722576078</v>
      </c>
      <c r="I31" s="19">
        <v>4453</v>
      </c>
      <c r="J31" s="24">
        <v>0.05</v>
      </c>
      <c r="K31" s="10">
        <f t="shared" si="2"/>
        <v>7065</v>
      </c>
      <c r="L31" s="19">
        <v>1304</v>
      </c>
      <c r="M31" s="21">
        <v>257</v>
      </c>
      <c r="N31" s="38">
        <f t="shared" si="26"/>
        <v>0.19708588957055215</v>
      </c>
      <c r="O31" s="8">
        <f t="shared" si="3"/>
        <v>0.29283629014147766</v>
      </c>
      <c r="P31" s="22">
        <f t="shared" si="4"/>
        <v>3149</v>
      </c>
      <c r="Q31" s="22">
        <f t="shared" si="27"/>
        <v>257.00000486381316</v>
      </c>
      <c r="R31" s="23">
        <f t="shared" si="28"/>
        <v>8.1613212087587539E-2</v>
      </c>
      <c r="S31" s="22">
        <f t="shared" ref="S31:S36" si="32">AJ31*$K30</f>
        <v>0</v>
      </c>
      <c r="T31" s="9">
        <f t="shared" si="5"/>
        <v>0</v>
      </c>
      <c r="U31" s="9">
        <f t="shared" si="5"/>
        <v>0</v>
      </c>
      <c r="V31" s="9">
        <f t="shared" si="5"/>
        <v>1554.3</v>
      </c>
      <c r="W31" s="9">
        <f t="shared" si="5"/>
        <v>4804.2000000000007</v>
      </c>
      <c r="X31" s="9">
        <f t="shared" si="5"/>
        <v>706.5</v>
      </c>
      <c r="Y31" s="9">
        <f t="shared" si="5"/>
        <v>0</v>
      </c>
      <c r="Z31" s="25">
        <f t="shared" si="18"/>
        <v>7065.0000000000009</v>
      </c>
      <c r="AA31" s="21">
        <v>70</v>
      </c>
      <c r="AB31" s="21"/>
      <c r="AC31" s="19">
        <f t="shared" si="30"/>
        <v>0</v>
      </c>
      <c r="AD31" s="19">
        <f t="shared" si="30"/>
        <v>0</v>
      </c>
      <c r="AE31" s="19">
        <f t="shared" si="30"/>
        <v>15.4</v>
      </c>
      <c r="AF31" s="19">
        <f t="shared" si="30"/>
        <v>47.6</v>
      </c>
      <c r="AG31" s="19">
        <f t="shared" si="30"/>
        <v>7</v>
      </c>
      <c r="AH31" s="19"/>
      <c r="AI31" s="9"/>
      <c r="AJ31" s="9"/>
      <c r="AK31" s="57">
        <v>0</v>
      </c>
      <c r="AL31" s="57">
        <v>0</v>
      </c>
      <c r="AM31" s="57">
        <v>0.22</v>
      </c>
      <c r="AN31" s="57">
        <v>0.68</v>
      </c>
      <c r="AO31" s="57">
        <v>0.1</v>
      </c>
      <c r="AP31" s="23"/>
      <c r="AQ31" s="8">
        <f t="shared" si="31"/>
        <v>1</v>
      </c>
      <c r="AR31" s="30">
        <v>33</v>
      </c>
      <c r="AS31" s="40">
        <f t="shared" si="7"/>
        <v>2001</v>
      </c>
      <c r="AT31" s="32">
        <f t="shared" si="8"/>
        <v>3149</v>
      </c>
      <c r="AU31" s="10">
        <f t="shared" si="9"/>
        <v>0</v>
      </c>
      <c r="AV31" s="10">
        <f t="shared" si="19"/>
        <v>153.75869909446723</v>
      </c>
      <c r="AW31" s="10">
        <f t="shared" si="10"/>
        <v>680.22502121419632</v>
      </c>
      <c r="AX31" s="10">
        <f t="shared" si="11"/>
        <v>964.38850354329975</v>
      </c>
      <c r="AY31" s="10">
        <f t="shared" si="12"/>
        <v>1108.5</v>
      </c>
      <c r="AZ31" s="10">
        <f t="shared" si="13"/>
        <v>121.28571428571428</v>
      </c>
      <c r="BA31" s="10">
        <f>Y38</f>
        <v>0</v>
      </c>
      <c r="BB31" s="32">
        <f t="shared" si="20"/>
        <v>3028.1579381376773</v>
      </c>
      <c r="BC31" s="10">
        <f t="shared" si="14"/>
        <v>-120.84206186232268</v>
      </c>
      <c r="BD31" s="8">
        <f t="shared" si="15"/>
        <v>0.96162525822092004</v>
      </c>
      <c r="BE31" s="9">
        <f t="shared" si="16"/>
        <v>3149</v>
      </c>
      <c r="BH31" s="7">
        <f t="shared" si="21"/>
        <v>5.0776314259562402E-2</v>
      </c>
      <c r="BI31" s="7">
        <f t="shared" si="22"/>
        <v>0.22463327049332701</v>
      </c>
      <c r="BJ31" s="7">
        <f t="shared" si="23"/>
        <v>0.31847364742685796</v>
      </c>
      <c r="BK31" s="7">
        <f t="shared" si="24"/>
        <v>0.36606412962783885</v>
      </c>
      <c r="BL31" s="7">
        <f t="shared" si="25"/>
        <v>4.0052638192413836E-2</v>
      </c>
    </row>
    <row r="32" spans="1:64" x14ac:dyDescent="0.2">
      <c r="A32" s="18">
        <v>2002</v>
      </c>
      <c r="B32" s="19">
        <v>1262</v>
      </c>
      <c r="C32" s="19">
        <v>165</v>
      </c>
      <c r="D32" s="21">
        <v>485</v>
      </c>
      <c r="E32" s="21">
        <v>307</v>
      </c>
      <c r="F32" s="38">
        <f t="shared" ref="F32:F39" si="33">D32/I32</f>
        <v>6.7595818815331013E-2</v>
      </c>
      <c r="G32" s="22">
        <f t="shared" si="0"/>
        <v>1912</v>
      </c>
      <c r="H32" s="23">
        <f t="shared" si="1"/>
        <v>0.21041047650489711</v>
      </c>
      <c r="I32" s="19">
        <v>7175</v>
      </c>
      <c r="J32" s="24">
        <v>0.05</v>
      </c>
      <c r="K32" s="10">
        <f t="shared" si="2"/>
        <v>9087</v>
      </c>
      <c r="L32" s="19">
        <v>601</v>
      </c>
      <c r="M32" s="19">
        <v>0</v>
      </c>
      <c r="N32" s="38">
        <f t="shared" si="26"/>
        <v>0</v>
      </c>
      <c r="O32" s="8">
        <f t="shared" si="3"/>
        <v>8.3763066202090591E-2</v>
      </c>
      <c r="P32" s="22">
        <f t="shared" si="4"/>
        <v>6574</v>
      </c>
      <c r="Q32" s="22">
        <f t="shared" si="27"/>
        <v>0.05</v>
      </c>
      <c r="R32" s="27">
        <v>0.03</v>
      </c>
      <c r="S32" s="22">
        <f t="shared" si="32"/>
        <v>0</v>
      </c>
      <c r="T32" s="9">
        <f t="shared" si="5"/>
        <v>272.61</v>
      </c>
      <c r="U32" s="9">
        <f t="shared" si="5"/>
        <v>2271.75</v>
      </c>
      <c r="V32" s="9">
        <f t="shared" si="5"/>
        <v>2907.84</v>
      </c>
      <c r="W32" s="9">
        <f t="shared" si="5"/>
        <v>3271.3199999999997</v>
      </c>
      <c r="X32" s="9">
        <f t="shared" si="5"/>
        <v>363.48</v>
      </c>
      <c r="Y32" s="9">
        <f t="shared" si="5"/>
        <v>0</v>
      </c>
      <c r="Z32" s="25">
        <f t="shared" si="18"/>
        <v>9087</v>
      </c>
      <c r="AA32" s="21">
        <v>259</v>
      </c>
      <c r="AB32" s="21"/>
      <c r="AC32" s="19">
        <f t="shared" si="30"/>
        <v>7.77</v>
      </c>
      <c r="AD32" s="19">
        <f t="shared" si="30"/>
        <v>64.75</v>
      </c>
      <c r="AE32" s="19">
        <f t="shared" si="30"/>
        <v>82.88</v>
      </c>
      <c r="AF32" s="19">
        <f t="shared" si="30"/>
        <v>93.24</v>
      </c>
      <c r="AG32" s="19">
        <f t="shared" si="30"/>
        <v>10.36</v>
      </c>
      <c r="AH32" s="19"/>
      <c r="AI32" s="9"/>
      <c r="AJ32" s="9"/>
      <c r="AK32" s="57">
        <v>0.03</v>
      </c>
      <c r="AL32" s="57">
        <v>0.25</v>
      </c>
      <c r="AM32" s="57">
        <v>0.32</v>
      </c>
      <c r="AN32" s="57">
        <v>0.36</v>
      </c>
      <c r="AO32" s="57">
        <v>0.04</v>
      </c>
      <c r="AP32" s="23"/>
      <c r="AQ32" s="8">
        <f t="shared" si="31"/>
        <v>1</v>
      </c>
      <c r="AR32" s="30">
        <v>34</v>
      </c>
      <c r="AS32" s="40">
        <f t="shared" si="7"/>
        <v>2002</v>
      </c>
      <c r="AT32" s="32">
        <f t="shared" si="8"/>
        <v>6574</v>
      </c>
      <c r="AU32" s="10">
        <f t="shared" si="9"/>
        <v>0</v>
      </c>
      <c r="AV32" s="10">
        <f t="shared" si="19"/>
        <v>205.13336285952479</v>
      </c>
      <c r="AW32" s="10">
        <f t="shared" si="10"/>
        <v>263.36874283351187</v>
      </c>
      <c r="AX32" s="10">
        <f t="shared" si="11"/>
        <v>302.31818181818181</v>
      </c>
      <c r="AY32" s="10">
        <f t="shared" si="12"/>
        <v>646.85714285714278</v>
      </c>
      <c r="AZ32" s="10">
        <f t="shared" si="13"/>
        <v>118.72727272727273</v>
      </c>
      <c r="BA32" s="10">
        <f>Y39</f>
        <v>0</v>
      </c>
      <c r="BB32" s="32">
        <f t="shared" si="20"/>
        <v>1536.4047030956342</v>
      </c>
      <c r="BC32" s="10">
        <f t="shared" si="14"/>
        <v>-5037.5952969043656</v>
      </c>
      <c r="BD32" s="8">
        <f t="shared" si="15"/>
        <v>0.23370926423724281</v>
      </c>
      <c r="BE32" s="9">
        <f t="shared" si="16"/>
        <v>6574</v>
      </c>
      <c r="BH32" s="7">
        <f t="shared" si="21"/>
        <v>0.13351518805312859</v>
      </c>
      <c r="BI32" s="7">
        <f t="shared" si="22"/>
        <v>0.17141886008475618</v>
      </c>
      <c r="BJ32" s="7">
        <f t="shared" si="23"/>
        <v>0.19676988830420411</v>
      </c>
      <c r="BK32" s="7">
        <f t="shared" si="24"/>
        <v>0.42102002262412941</v>
      </c>
      <c r="BL32" s="7">
        <f t="shared" si="25"/>
        <v>7.7276040933781556E-2</v>
      </c>
    </row>
    <row r="33" spans="1:64" x14ac:dyDescent="0.2">
      <c r="A33" s="18">
        <v>2003</v>
      </c>
      <c r="B33" s="19">
        <v>1336</v>
      </c>
      <c r="C33" s="41">
        <v>6</v>
      </c>
      <c r="D33" s="21">
        <v>293</v>
      </c>
      <c r="E33" s="21">
        <v>139</v>
      </c>
      <c r="F33" s="38">
        <f t="shared" si="33"/>
        <v>4.0380374862183023E-2</v>
      </c>
      <c r="G33" s="22">
        <f t="shared" si="0"/>
        <v>1635</v>
      </c>
      <c r="H33" s="23">
        <f t="shared" si="1"/>
        <v>0.18389382521651107</v>
      </c>
      <c r="I33" s="19">
        <v>7256</v>
      </c>
      <c r="J33" s="24">
        <v>0.05</v>
      </c>
      <c r="K33" s="10">
        <f t="shared" si="2"/>
        <v>8891</v>
      </c>
      <c r="L33" s="41">
        <v>291</v>
      </c>
      <c r="M33" s="19">
        <v>0</v>
      </c>
      <c r="N33" s="38">
        <f t="shared" si="26"/>
        <v>0</v>
      </c>
      <c r="O33" s="8">
        <f t="shared" si="3"/>
        <v>4.0104740904079381E-2</v>
      </c>
      <c r="P33" s="22">
        <f t="shared" si="4"/>
        <v>6965</v>
      </c>
      <c r="Q33" s="22">
        <f t="shared" si="27"/>
        <v>0.05</v>
      </c>
      <c r="R33" s="27">
        <v>0.03</v>
      </c>
      <c r="S33" s="22">
        <f t="shared" si="32"/>
        <v>0</v>
      </c>
      <c r="T33" s="9">
        <f t="shared" si="5"/>
        <v>88.91</v>
      </c>
      <c r="U33" s="9">
        <f t="shared" si="5"/>
        <v>1689.29</v>
      </c>
      <c r="V33" s="9">
        <f t="shared" si="5"/>
        <v>5245.69</v>
      </c>
      <c r="W33" s="9">
        <f t="shared" si="5"/>
        <v>1778.2</v>
      </c>
      <c r="X33" s="9">
        <f t="shared" si="5"/>
        <v>88.91</v>
      </c>
      <c r="Y33" s="9">
        <f t="shared" si="5"/>
        <v>0</v>
      </c>
      <c r="Z33" s="25">
        <f t="shared" si="18"/>
        <v>8891</v>
      </c>
      <c r="AA33" s="21">
        <v>106</v>
      </c>
      <c r="AB33" s="21"/>
      <c r="AC33" s="19">
        <f t="shared" si="30"/>
        <v>1.06</v>
      </c>
      <c r="AD33" s="19">
        <f t="shared" si="30"/>
        <v>20.14</v>
      </c>
      <c r="AE33" s="19">
        <f t="shared" si="30"/>
        <v>62.54</v>
      </c>
      <c r="AF33" s="19">
        <f t="shared" si="30"/>
        <v>21.200000000000003</v>
      </c>
      <c r="AG33" s="19">
        <f t="shared" si="30"/>
        <v>1.06</v>
      </c>
      <c r="AH33" s="19"/>
      <c r="AI33" s="9"/>
      <c r="AJ33" s="9"/>
      <c r="AK33" s="57">
        <v>0.01</v>
      </c>
      <c r="AL33" s="57">
        <v>0.19</v>
      </c>
      <c r="AM33" s="57">
        <v>0.59</v>
      </c>
      <c r="AN33" s="57">
        <v>0.2</v>
      </c>
      <c r="AO33" s="57">
        <v>0.01</v>
      </c>
      <c r="AP33" s="23"/>
      <c r="AQ33" s="8">
        <f t="shared" si="31"/>
        <v>1</v>
      </c>
      <c r="AR33" s="30">
        <v>35</v>
      </c>
      <c r="AS33" s="40">
        <f t="shared" si="7"/>
        <v>2003</v>
      </c>
      <c r="AT33" s="32">
        <f t="shared" si="8"/>
        <v>6965</v>
      </c>
      <c r="AU33" s="10">
        <f t="shared" si="9"/>
        <v>0</v>
      </c>
      <c r="AV33" s="10">
        <f t="shared" si="19"/>
        <v>0</v>
      </c>
      <c r="AW33" s="10">
        <f t="shared" si="10"/>
        <v>100.77272727272728</v>
      </c>
      <c r="AX33" s="10">
        <f t="shared" si="11"/>
        <v>80.857142857142847</v>
      </c>
      <c r="AY33" s="10">
        <f t="shared" si="12"/>
        <v>356.18181818181813</v>
      </c>
      <c r="AZ33" s="10">
        <f t="shared" si="13"/>
        <v>477.16363636363639</v>
      </c>
      <c r="BA33" s="10"/>
      <c r="BB33" s="32">
        <f t="shared" si="20"/>
        <v>1014.9753246753246</v>
      </c>
      <c r="BC33" s="10">
        <f t="shared" si="14"/>
        <v>-5950.0246753246756</v>
      </c>
      <c r="BD33" s="8">
        <f t="shared" ref="BD33:BD38" si="34">BB33/AT33</f>
        <v>0.14572510045589729</v>
      </c>
      <c r="BE33" s="9">
        <f t="shared" ref="BE33:BE38" si="35">P33</f>
        <v>6965</v>
      </c>
      <c r="BH33" s="7">
        <f t="shared" si="21"/>
        <v>0</v>
      </c>
      <c r="BI33" s="7">
        <f t="shared" si="22"/>
        <v>9.9285888851497903E-2</v>
      </c>
      <c r="BJ33" s="7">
        <f t="shared" si="23"/>
        <v>7.9664146399822902E-2</v>
      </c>
      <c r="BK33" s="7">
        <f t="shared" si="24"/>
        <v>0.35092657872816302</v>
      </c>
      <c r="BL33" s="7">
        <f t="shared" si="25"/>
        <v>0.47012338602051618</v>
      </c>
    </row>
    <row r="34" spans="1:64" x14ac:dyDescent="0.2">
      <c r="A34" s="18">
        <v>2004</v>
      </c>
      <c r="B34" s="42">
        <v>2249</v>
      </c>
      <c r="C34" s="43">
        <v>16</v>
      </c>
      <c r="D34" s="42">
        <v>393</v>
      </c>
      <c r="E34" s="42">
        <v>144</v>
      </c>
      <c r="F34" s="44">
        <f t="shared" si="33"/>
        <v>5.2225913621262457E-2</v>
      </c>
      <c r="G34" s="22">
        <f t="shared" si="0"/>
        <v>2658</v>
      </c>
      <c r="H34" s="23">
        <f t="shared" si="1"/>
        <v>0.26102327408425807</v>
      </c>
      <c r="I34" s="43">
        <v>7525</v>
      </c>
      <c r="J34" s="24">
        <v>0.05</v>
      </c>
      <c r="K34" s="10">
        <f t="shared" si="2"/>
        <v>10183</v>
      </c>
      <c r="L34" s="43">
        <v>720</v>
      </c>
      <c r="M34" s="20">
        <v>0</v>
      </c>
      <c r="N34" s="38">
        <f t="shared" si="26"/>
        <v>0</v>
      </c>
      <c r="O34" s="8">
        <f t="shared" si="3"/>
        <v>9.5681063122923585E-2</v>
      </c>
      <c r="P34" s="22">
        <f t="shared" si="4"/>
        <v>6805</v>
      </c>
      <c r="Q34" s="22">
        <f t="shared" si="27"/>
        <v>0.05</v>
      </c>
      <c r="R34" s="27">
        <v>0.03</v>
      </c>
      <c r="S34" s="22">
        <f t="shared" si="32"/>
        <v>0</v>
      </c>
      <c r="T34" s="9">
        <f t="shared" si="5"/>
        <v>153.75869909446723</v>
      </c>
      <c r="U34" s="9">
        <f t="shared" si="5"/>
        <v>434.84465708098514</v>
      </c>
      <c r="V34" s="9">
        <f t="shared" si="5"/>
        <v>3442.8191180498902</v>
      </c>
      <c r="W34" s="9">
        <f t="shared" si="5"/>
        <v>5577.2815817375076</v>
      </c>
      <c r="X34" s="9">
        <f t="shared" si="5"/>
        <v>575.33950000000004</v>
      </c>
      <c r="Y34" s="9">
        <f t="shared" si="5"/>
        <v>0</v>
      </c>
      <c r="Z34" s="25">
        <f t="shared" si="18"/>
        <v>10184.043555962851</v>
      </c>
      <c r="AA34" s="21">
        <v>221</v>
      </c>
      <c r="AB34" s="21"/>
      <c r="AC34" s="19">
        <f t="shared" si="30"/>
        <v>3.3366582058637473</v>
      </c>
      <c r="AD34" s="19">
        <f t="shared" si="30"/>
        <v>9.4363961315375473</v>
      </c>
      <c r="AE34" s="19">
        <f t="shared" si="30"/>
        <v>74.711289372238952</v>
      </c>
      <c r="AF34" s="19">
        <f t="shared" si="30"/>
        <v>121.03043577836064</v>
      </c>
      <c r="AG34" s="19">
        <f t="shared" si="30"/>
        <v>12.485220511999136</v>
      </c>
      <c r="AH34" s="19"/>
      <c r="AI34" s="9"/>
      <c r="AJ34" s="9"/>
      <c r="AK34" s="57">
        <v>1.5099548177793109E-2</v>
      </c>
      <c r="AL34" s="57">
        <v>4.2703000793576071E-2</v>
      </c>
      <c r="AM34" s="57">
        <v>0.33809477737895416</v>
      </c>
      <c r="AN34" s="57">
        <v>0.54770515385814666</v>
      </c>
      <c r="AO34" s="57">
        <v>5.6500000000000002E-2</v>
      </c>
      <c r="AP34" s="8"/>
      <c r="AQ34" s="8">
        <f t="shared" si="31"/>
        <v>1.0001024802084699</v>
      </c>
      <c r="AR34" s="30">
        <v>36</v>
      </c>
      <c r="AS34" s="40">
        <f t="shared" si="7"/>
        <v>2004</v>
      </c>
      <c r="AT34" s="32">
        <f t="shared" si="8"/>
        <v>6805</v>
      </c>
      <c r="AU34" s="10">
        <f t="shared" si="9"/>
        <v>0</v>
      </c>
      <c r="AV34" s="10">
        <f t="shared" si="19"/>
        <v>0</v>
      </c>
      <c r="AW34" s="10">
        <f t="shared" si="10"/>
        <v>0</v>
      </c>
      <c r="AX34" s="10">
        <f t="shared" si="11"/>
        <v>514.4848484848485</v>
      </c>
      <c r="AY34" s="10">
        <f t="shared" si="12"/>
        <v>1378.4727272727273</v>
      </c>
      <c r="AZ34" s="10">
        <f t="shared" si="13"/>
        <v>472</v>
      </c>
      <c r="BA34" s="10"/>
      <c r="BB34" s="32">
        <f t="shared" si="20"/>
        <v>2364.9575757575758</v>
      </c>
      <c r="BC34" s="10">
        <f t="shared" si="14"/>
        <v>-4440.0424242424242</v>
      </c>
      <c r="BD34" s="8">
        <f t="shared" si="34"/>
        <v>0.34753234030236235</v>
      </c>
      <c r="BE34" s="9">
        <f t="shared" si="35"/>
        <v>6805</v>
      </c>
      <c r="BH34" s="7">
        <f t="shared" si="21"/>
        <v>0</v>
      </c>
      <c r="BI34" s="7">
        <f t="shared" si="22"/>
        <v>0</v>
      </c>
      <c r="BJ34" s="7">
        <f t="shared" si="23"/>
        <v>0.21754506455365974</v>
      </c>
      <c r="BK34" s="7">
        <f t="shared" si="24"/>
        <v>0.58287418827424675</v>
      </c>
      <c r="BL34" s="7">
        <f t="shared" si="25"/>
        <v>0.19958074717209354</v>
      </c>
    </row>
    <row r="35" spans="1:64" x14ac:dyDescent="0.2">
      <c r="A35" s="18">
        <v>2005</v>
      </c>
      <c r="B35" s="42">
        <v>349</v>
      </c>
      <c r="C35" s="43">
        <v>5</v>
      </c>
      <c r="D35" s="43">
        <v>254</v>
      </c>
      <c r="E35" s="43">
        <v>150</v>
      </c>
      <c r="F35" s="44">
        <f t="shared" si="33"/>
        <v>5.2938724468528556E-2</v>
      </c>
      <c r="G35" s="22">
        <f t="shared" si="0"/>
        <v>608</v>
      </c>
      <c r="H35" s="23">
        <f t="shared" si="1"/>
        <v>0.1124676285608583</v>
      </c>
      <c r="I35" s="43">
        <v>4798</v>
      </c>
      <c r="J35" s="24">
        <v>0.05</v>
      </c>
      <c r="K35" s="10">
        <f t="shared" si="2"/>
        <v>5406</v>
      </c>
      <c r="L35" s="42">
        <v>187</v>
      </c>
      <c r="M35" s="20">
        <v>0</v>
      </c>
      <c r="N35" s="38">
        <f t="shared" si="26"/>
        <v>0</v>
      </c>
      <c r="O35" s="8">
        <f t="shared" si="3"/>
        <v>3.8974572738641099E-2</v>
      </c>
      <c r="P35" s="10">
        <f t="shared" si="4"/>
        <v>4611</v>
      </c>
      <c r="Q35" s="22">
        <f t="shared" si="27"/>
        <v>0.05</v>
      </c>
      <c r="R35" s="27">
        <v>0.03</v>
      </c>
      <c r="S35" s="22">
        <f t="shared" si="32"/>
        <v>0</v>
      </c>
      <c r="T35" s="9">
        <f t="shared" si="5"/>
        <v>205.13336285952479</v>
      </c>
      <c r="U35" s="9">
        <f t="shared" si="5"/>
        <v>680.22502121419632</v>
      </c>
      <c r="V35" s="9">
        <f t="shared" si="5"/>
        <v>2245.8285464925866</v>
      </c>
      <c r="W35" s="9">
        <f t="shared" si="5"/>
        <v>2096.3621672720774</v>
      </c>
      <c r="X35" s="9">
        <f t="shared" si="5"/>
        <v>178.45090216161495</v>
      </c>
      <c r="Y35" s="9">
        <f t="shared" si="5"/>
        <v>0</v>
      </c>
      <c r="Z35" s="25">
        <f t="shared" si="18"/>
        <v>5406</v>
      </c>
      <c r="AA35" s="21">
        <v>66</v>
      </c>
      <c r="AB35" s="21"/>
      <c r="AC35" s="19">
        <f t="shared" si="30"/>
        <v>2.5044028761984158</v>
      </c>
      <c r="AD35" s="19">
        <f t="shared" si="30"/>
        <v>8.3046339992854161</v>
      </c>
      <c r="AE35" s="19">
        <f t="shared" si="30"/>
        <v>27.418550512118149</v>
      </c>
      <c r="AF35" s="19">
        <f t="shared" si="30"/>
        <v>25.593766748049781</v>
      </c>
      <c r="AG35" s="19">
        <f t="shared" si="30"/>
        <v>2.17864586434824</v>
      </c>
      <c r="AH35" s="19"/>
      <c r="AK35" s="57">
        <v>3.7945498124218421E-2</v>
      </c>
      <c r="AL35" s="57">
        <v>0.12582778786796084</v>
      </c>
      <c r="AM35" s="57">
        <v>0.41543258351694162</v>
      </c>
      <c r="AN35" s="57">
        <v>0.3877843446674209</v>
      </c>
      <c r="AO35" s="57">
        <v>3.3009785823458183E-2</v>
      </c>
      <c r="AP35" s="8"/>
      <c r="AQ35" s="8">
        <f t="shared" si="31"/>
        <v>1</v>
      </c>
      <c r="AR35" s="30">
        <v>37</v>
      </c>
      <c r="AS35" s="40">
        <f t="shared" si="7"/>
        <v>2005</v>
      </c>
      <c r="AT35" s="32">
        <f t="shared" si="8"/>
        <v>4611</v>
      </c>
      <c r="AU35" s="10">
        <f>S37</f>
        <v>119.77272727272728</v>
      </c>
      <c r="AV35" s="10">
        <f t="shared" si="19"/>
        <v>0</v>
      </c>
      <c r="AW35" s="10">
        <f t="shared" si="10"/>
        <v>277.03030303030306</v>
      </c>
      <c r="AX35" s="10">
        <f t="shared" si="11"/>
        <v>795.27272727272725</v>
      </c>
      <c r="AY35" s="10">
        <f t="shared" si="12"/>
        <v>1180</v>
      </c>
      <c r="AZ35" s="10">
        <f t="shared" ref="AZ35:AZ41" si="36">X42</f>
        <v>105.25</v>
      </c>
      <c r="BA35" s="10"/>
      <c r="BB35" s="32">
        <f t="shared" si="20"/>
        <v>2477.3257575757575</v>
      </c>
      <c r="BC35" s="10">
        <f t="shared" si="14"/>
        <v>-2133.6742424242425</v>
      </c>
      <c r="BD35" s="8">
        <f t="shared" si="34"/>
        <v>0.53726431524089302</v>
      </c>
      <c r="BE35" s="9">
        <f t="shared" si="35"/>
        <v>4611</v>
      </c>
      <c r="BH35" s="7">
        <f t="shared" si="21"/>
        <v>4.8347588889534478E-2</v>
      </c>
      <c r="BI35" s="7">
        <f t="shared" si="22"/>
        <v>0.1118263523410814</v>
      </c>
      <c r="BJ35" s="7">
        <f t="shared" si="23"/>
        <v>0.32102065093407789</v>
      </c>
      <c r="BK35" s="7">
        <f t="shared" si="24"/>
        <v>0.4763200787750721</v>
      </c>
      <c r="BL35" s="7">
        <f t="shared" si="25"/>
        <v>4.2485329060234188E-2</v>
      </c>
    </row>
    <row r="36" spans="1:64" x14ac:dyDescent="0.2">
      <c r="A36" s="18">
        <v>2006</v>
      </c>
      <c r="B36" s="45">
        <v>910</v>
      </c>
      <c r="C36" s="45">
        <v>17</v>
      </c>
      <c r="D36" s="45">
        <v>231</v>
      </c>
      <c r="E36" s="45">
        <v>116</v>
      </c>
      <c r="F36" s="44">
        <f t="shared" si="33"/>
        <v>5.6177042801556422E-2</v>
      </c>
      <c r="G36" s="7">
        <f t="shared" si="0"/>
        <v>1158</v>
      </c>
      <c r="H36" s="7">
        <f t="shared" si="1"/>
        <v>0.21973434535104364</v>
      </c>
      <c r="I36" s="45">
        <v>4112</v>
      </c>
      <c r="J36" s="24">
        <v>0.05</v>
      </c>
      <c r="K36" s="7">
        <f t="shared" si="2"/>
        <v>5270</v>
      </c>
      <c r="L36" s="45">
        <v>761</v>
      </c>
      <c r="M36" s="20">
        <v>0</v>
      </c>
      <c r="N36" s="38">
        <f t="shared" si="26"/>
        <v>0</v>
      </c>
      <c r="O36" s="8">
        <f t="shared" si="3"/>
        <v>0.18506809338521402</v>
      </c>
      <c r="P36" s="7">
        <f t="shared" si="4"/>
        <v>3351</v>
      </c>
      <c r="Q36" s="22">
        <f t="shared" si="27"/>
        <v>0.05</v>
      </c>
      <c r="R36" s="27">
        <v>0.03</v>
      </c>
      <c r="S36" s="22">
        <f t="shared" si="32"/>
        <v>0</v>
      </c>
      <c r="T36" s="9">
        <f t="shared" si="5"/>
        <v>0</v>
      </c>
      <c r="U36" s="9">
        <f t="shared" si="5"/>
        <v>263.36874283351187</v>
      </c>
      <c r="V36" s="9">
        <f t="shared" si="5"/>
        <v>964.38850354329975</v>
      </c>
      <c r="W36" s="9">
        <f t="shared" si="5"/>
        <v>2839.63394694919</v>
      </c>
      <c r="X36" s="9">
        <f t="shared" si="5"/>
        <v>1202.6088066739978</v>
      </c>
      <c r="Y36" s="9">
        <f>AP36*$K36</f>
        <v>0</v>
      </c>
      <c r="Z36" s="25">
        <f t="shared" si="18"/>
        <v>5269.9999999999991</v>
      </c>
      <c r="AA36" s="21">
        <v>43</v>
      </c>
      <c r="AB36" s="21"/>
      <c r="AC36" s="19">
        <f t="shared" si="30"/>
        <v>0</v>
      </c>
      <c r="AD36" s="19">
        <f t="shared" si="30"/>
        <v>2.1489290212222034</v>
      </c>
      <c r="AE36" s="19">
        <f t="shared" si="30"/>
        <v>7.8688246019662031</v>
      </c>
      <c r="AF36" s="19">
        <f t="shared" si="30"/>
        <v>23.169688751198326</v>
      </c>
      <c r="AG36" s="19">
        <f t="shared" si="30"/>
        <v>9.8125576256132643</v>
      </c>
      <c r="AH36" s="19"/>
      <c r="AK36" s="57">
        <v>0</v>
      </c>
      <c r="AL36" s="57">
        <v>4.9975093516795424E-2</v>
      </c>
      <c r="AM36" s="57">
        <v>0.18299592097595821</v>
      </c>
      <c r="AN36" s="57">
        <v>0.53882997095810059</v>
      </c>
      <c r="AO36" s="57">
        <v>0.22819901454914568</v>
      </c>
      <c r="AP36" s="8"/>
      <c r="AQ36" s="8">
        <f t="shared" si="31"/>
        <v>1</v>
      </c>
      <c r="AR36" s="30">
        <v>38</v>
      </c>
      <c r="AS36" s="40">
        <f t="shared" si="7"/>
        <v>2006</v>
      </c>
      <c r="AT36" s="32">
        <f t="shared" si="8"/>
        <v>3351</v>
      </c>
      <c r="AU36" s="10">
        <f>S38</f>
        <v>0</v>
      </c>
      <c r="AV36" s="10">
        <f t="shared" si="19"/>
        <v>39.575757575757578</v>
      </c>
      <c r="AW36" s="10">
        <f t="shared" si="10"/>
        <v>265.09090909090912</v>
      </c>
      <c r="AX36" s="10">
        <f t="shared" si="11"/>
        <v>1475</v>
      </c>
      <c r="AY36" s="10">
        <f t="shared" si="12"/>
        <v>1789.25</v>
      </c>
      <c r="AZ36" s="10">
        <f t="shared" si="36"/>
        <v>698.06896551724139</v>
      </c>
      <c r="BA36" s="10"/>
      <c r="BB36" s="32">
        <f t="shared" si="20"/>
        <v>4266.9856321839088</v>
      </c>
      <c r="BC36" s="10">
        <f t="shared" si="14"/>
        <v>915.98563218390882</v>
      </c>
      <c r="BD36" s="8">
        <f t="shared" si="34"/>
        <v>1.2733469508158486</v>
      </c>
      <c r="BE36" s="9">
        <f t="shared" si="35"/>
        <v>3351</v>
      </c>
      <c r="BH36" s="7">
        <f t="shared" si="21"/>
        <v>9.2748748149644213E-3</v>
      </c>
      <c r="BI36" s="7">
        <f t="shared" si="22"/>
        <v>6.2126037428260922E-2</v>
      </c>
      <c r="BJ36" s="7">
        <f t="shared" si="23"/>
        <v>0.34567728301561501</v>
      </c>
      <c r="BK36" s="7">
        <f t="shared" si="24"/>
        <v>0.41932412110894179</v>
      </c>
      <c r="BL36" s="7">
        <f t="shared" si="25"/>
        <v>0.16359768363221766</v>
      </c>
    </row>
    <row r="37" spans="1:64" x14ac:dyDescent="0.2">
      <c r="A37" s="18">
        <v>2007</v>
      </c>
      <c r="B37" s="45">
        <v>314</v>
      </c>
      <c r="C37" s="45">
        <v>1</v>
      </c>
      <c r="D37" s="45">
        <v>137</v>
      </c>
      <c r="E37" s="45"/>
      <c r="F37" s="44">
        <f t="shared" si="33"/>
        <v>7.7620396600566577E-2</v>
      </c>
      <c r="G37" s="9">
        <f t="shared" si="0"/>
        <v>452</v>
      </c>
      <c r="H37" s="8">
        <f t="shared" si="1"/>
        <v>0.20387911592241767</v>
      </c>
      <c r="I37" s="45">
        <v>1765</v>
      </c>
      <c r="J37" s="24">
        <v>0.05</v>
      </c>
      <c r="K37" s="7">
        <f t="shared" si="2"/>
        <v>2217</v>
      </c>
      <c r="L37" s="45">
        <v>156</v>
      </c>
      <c r="M37" s="20">
        <v>0</v>
      </c>
      <c r="N37" s="38">
        <f t="shared" si="26"/>
        <v>0</v>
      </c>
      <c r="O37" s="8">
        <f t="shared" si="3"/>
        <v>8.8385269121813034E-2</v>
      </c>
      <c r="P37" s="7">
        <f t="shared" si="4"/>
        <v>1609</v>
      </c>
      <c r="Q37" s="22">
        <f t="shared" si="27"/>
        <v>0.05</v>
      </c>
      <c r="R37" s="27">
        <v>0.03</v>
      </c>
      <c r="S37" s="22">
        <f>AJ37*$K36</f>
        <v>119.77272727272728</v>
      </c>
      <c r="T37" s="46">
        <f t="shared" si="5"/>
        <v>0</v>
      </c>
      <c r="U37" s="9">
        <f t="shared" si="5"/>
        <v>100.77272727272728</v>
      </c>
      <c r="V37" s="9">
        <f t="shared" si="5"/>
        <v>302.31818181818181</v>
      </c>
      <c r="W37" s="9">
        <f t="shared" si="5"/>
        <v>1108.5</v>
      </c>
      <c r="X37" s="9">
        <f t="shared" si="5"/>
        <v>554.25</v>
      </c>
      <c r="Y37" s="9">
        <f>AP37*$K37</f>
        <v>100.77272727272728</v>
      </c>
      <c r="Z37" s="25">
        <f t="shared" si="18"/>
        <v>2286.386363636364</v>
      </c>
      <c r="AA37" s="21">
        <v>44</v>
      </c>
      <c r="AB37" s="21"/>
      <c r="AC37" s="19">
        <f t="shared" si="30"/>
        <v>0</v>
      </c>
      <c r="AD37" s="19">
        <f t="shared" si="30"/>
        <v>2</v>
      </c>
      <c r="AE37" s="19">
        <f t="shared" si="30"/>
        <v>6</v>
      </c>
      <c r="AF37" s="19">
        <f t="shared" si="30"/>
        <v>22</v>
      </c>
      <c r="AG37" s="19">
        <f t="shared" si="30"/>
        <v>11</v>
      </c>
      <c r="AH37" s="19"/>
      <c r="AJ37" s="8">
        <f>1/44</f>
        <v>2.2727272727272728E-2</v>
      </c>
      <c r="AK37" s="57">
        <v>0</v>
      </c>
      <c r="AL37" s="57">
        <f>2/44</f>
        <v>4.5454545454545456E-2</v>
      </c>
      <c r="AM37" s="57">
        <f>6/44</f>
        <v>0.13636363636363635</v>
      </c>
      <c r="AN37" s="57">
        <f>22/44</f>
        <v>0.5</v>
      </c>
      <c r="AO37" s="57">
        <f>11/44</f>
        <v>0.25</v>
      </c>
      <c r="AP37" s="8">
        <f>2/44</f>
        <v>4.5454545454545456E-2</v>
      </c>
      <c r="AQ37" s="8">
        <f>SUM(AJ37:AP37)</f>
        <v>1</v>
      </c>
      <c r="AR37" s="30">
        <v>39</v>
      </c>
      <c r="AS37" s="40">
        <f t="shared" si="7"/>
        <v>2007</v>
      </c>
      <c r="AT37" s="32">
        <f t="shared" si="8"/>
        <v>1609</v>
      </c>
      <c r="AU37" s="10">
        <f>S39</f>
        <v>0</v>
      </c>
      <c r="AV37" s="10">
        <f t="shared" si="19"/>
        <v>0</v>
      </c>
      <c r="AW37" s="10">
        <f t="shared" si="10"/>
        <v>236</v>
      </c>
      <c r="AX37" s="10">
        <f t="shared" si="11"/>
        <v>1263</v>
      </c>
      <c r="AY37" s="10">
        <f t="shared" si="12"/>
        <v>116.34482758620689</v>
      </c>
      <c r="AZ37" s="10">
        <f t="shared" si="36"/>
        <v>0</v>
      </c>
      <c r="BB37" s="32">
        <f t="shared" si="20"/>
        <v>1615.344827586207</v>
      </c>
      <c r="BC37" s="10">
        <f t="shared" si="14"/>
        <v>6.344827586206975</v>
      </c>
      <c r="BD37" s="8">
        <f t="shared" si="34"/>
        <v>1.0039433359765115</v>
      </c>
      <c r="BE37" s="9">
        <f t="shared" si="35"/>
        <v>1609</v>
      </c>
      <c r="BH37" s="7">
        <f t="shared" si="21"/>
        <v>0</v>
      </c>
      <c r="BI37" s="7">
        <f t="shared" si="22"/>
        <v>0.14609883658875011</v>
      </c>
      <c r="BJ37" s="7">
        <f t="shared" si="23"/>
        <v>0.78187640089657373</v>
      </c>
      <c r="BK37" s="7">
        <f t="shared" si="24"/>
        <v>7.2024762514676058E-2</v>
      </c>
      <c r="BL37" s="7">
        <f t="shared" si="25"/>
        <v>0</v>
      </c>
    </row>
    <row r="38" spans="1:64" x14ac:dyDescent="0.2">
      <c r="A38" s="18">
        <v>2008</v>
      </c>
      <c r="B38" s="45">
        <v>92</v>
      </c>
      <c r="C38" s="45">
        <v>5</v>
      </c>
      <c r="D38" s="45">
        <v>0</v>
      </c>
      <c r="E38" s="45"/>
      <c r="F38" s="44">
        <f t="shared" si="33"/>
        <v>0</v>
      </c>
      <c r="G38" s="9">
        <f t="shared" si="0"/>
        <v>97</v>
      </c>
      <c r="H38" s="8">
        <f t="shared" si="1"/>
        <v>0.11425206124852769</v>
      </c>
      <c r="I38" s="45">
        <v>752</v>
      </c>
      <c r="J38" s="24">
        <v>0.05</v>
      </c>
      <c r="K38" s="7">
        <f t="shared" si="2"/>
        <v>849</v>
      </c>
      <c r="L38" s="45">
        <v>0</v>
      </c>
      <c r="M38" s="20"/>
      <c r="N38" s="38"/>
      <c r="O38" s="8">
        <f t="shared" si="3"/>
        <v>0</v>
      </c>
      <c r="P38" s="7">
        <f t="shared" si="4"/>
        <v>752</v>
      </c>
      <c r="Q38" s="22">
        <f t="shared" si="27"/>
        <v>0.05</v>
      </c>
      <c r="S38" s="22">
        <f>AJ38*$K37</f>
        <v>0</v>
      </c>
      <c r="T38" s="9">
        <f t="shared" si="5"/>
        <v>0</v>
      </c>
      <c r="U38" s="46">
        <f t="shared" si="5"/>
        <v>0</v>
      </c>
      <c r="V38" s="9">
        <f t="shared" si="5"/>
        <v>80.857142857142847</v>
      </c>
      <c r="W38" s="9">
        <f t="shared" si="5"/>
        <v>646.85714285714278</v>
      </c>
      <c r="X38" s="9">
        <f t="shared" si="5"/>
        <v>121.28571428571428</v>
      </c>
      <c r="Y38" s="9">
        <f>AP38*$K38</f>
        <v>0</v>
      </c>
      <c r="Z38" s="25">
        <f t="shared" si="18"/>
        <v>849</v>
      </c>
      <c r="AA38" s="7">
        <v>21</v>
      </c>
      <c r="AC38" s="7">
        <f t="shared" si="30"/>
        <v>0</v>
      </c>
      <c r="AD38" s="7">
        <f t="shared" si="30"/>
        <v>0</v>
      </c>
      <c r="AE38" s="19">
        <f t="shared" si="30"/>
        <v>2</v>
      </c>
      <c r="AF38" s="19">
        <f t="shared" si="30"/>
        <v>16</v>
      </c>
      <c r="AG38" s="19">
        <f t="shared" si="30"/>
        <v>3</v>
      </c>
      <c r="AH38" s="19"/>
      <c r="AK38" s="57">
        <v>0</v>
      </c>
      <c r="AL38" s="57">
        <v>0</v>
      </c>
      <c r="AM38" s="57">
        <f>2/21</f>
        <v>9.5238095238095233E-2</v>
      </c>
      <c r="AN38" s="57">
        <f>16/21</f>
        <v>0.76190476190476186</v>
      </c>
      <c r="AO38" s="57">
        <f>3/21</f>
        <v>0.14285714285714285</v>
      </c>
      <c r="AP38" s="23"/>
      <c r="AQ38" s="8">
        <f>SUM(AJ38:AP38)</f>
        <v>1</v>
      </c>
      <c r="AR38" s="30">
        <v>40</v>
      </c>
      <c r="AS38" s="31">
        <v>2008</v>
      </c>
      <c r="AT38" s="32">
        <f t="shared" si="8"/>
        <v>752</v>
      </c>
      <c r="AU38" s="10">
        <f>S40</f>
        <v>0</v>
      </c>
      <c r="AV38" s="10">
        <f t="shared" si="19"/>
        <v>59</v>
      </c>
      <c r="AW38" s="10">
        <f t="shared" si="10"/>
        <v>210.5</v>
      </c>
      <c r="AX38" s="10">
        <f t="shared" si="11"/>
        <v>1047.1034482758621</v>
      </c>
      <c r="AY38" s="10">
        <f t="shared" si="12"/>
        <v>261.53846153846155</v>
      </c>
      <c r="AZ38" s="10">
        <f t="shared" si="36"/>
        <v>0</v>
      </c>
      <c r="BB38" s="32">
        <f t="shared" si="20"/>
        <v>1578.1419098143238</v>
      </c>
      <c r="BC38" s="10">
        <f t="shared" si="14"/>
        <v>826.14190981432375</v>
      </c>
      <c r="BD38" s="8">
        <f t="shared" si="34"/>
        <v>2.0985929651786219</v>
      </c>
      <c r="BE38" s="9">
        <f t="shared" si="35"/>
        <v>752</v>
      </c>
      <c r="BH38" s="7">
        <f t="shared" si="21"/>
        <v>3.7385738020823261E-2</v>
      </c>
      <c r="BI38" s="7">
        <f t="shared" si="22"/>
        <v>0.13338470937937791</v>
      </c>
      <c r="BJ38" s="7">
        <f t="shared" si="23"/>
        <v>0.66350398640579733</v>
      </c>
      <c r="BK38" s="7">
        <f t="shared" si="24"/>
        <v>0.16572556619400142</v>
      </c>
      <c r="BL38" s="7">
        <f t="shared" si="25"/>
        <v>0</v>
      </c>
    </row>
    <row r="39" spans="1:64" x14ac:dyDescent="0.2">
      <c r="A39" s="18">
        <v>2009</v>
      </c>
      <c r="B39" s="45">
        <v>0</v>
      </c>
      <c r="C39" s="45">
        <v>0</v>
      </c>
      <c r="D39" s="45">
        <v>0</v>
      </c>
      <c r="E39" s="45"/>
      <c r="F39" s="45">
        <f t="shared" si="33"/>
        <v>0</v>
      </c>
      <c r="G39" s="9">
        <f t="shared" si="0"/>
        <v>0</v>
      </c>
      <c r="H39" s="8">
        <f t="shared" si="1"/>
        <v>0</v>
      </c>
      <c r="I39" s="45">
        <v>1306</v>
      </c>
      <c r="J39" s="24"/>
      <c r="K39" s="7">
        <f t="shared" si="2"/>
        <v>1306</v>
      </c>
      <c r="L39" s="45">
        <v>0</v>
      </c>
      <c r="M39" s="20"/>
      <c r="N39" s="38"/>
      <c r="O39" s="8">
        <f t="shared" si="3"/>
        <v>0</v>
      </c>
      <c r="P39" s="7">
        <f t="shared" si="4"/>
        <v>1306</v>
      </c>
      <c r="Q39" s="22">
        <f t="shared" si="27"/>
        <v>0</v>
      </c>
      <c r="S39" s="22">
        <f>AJ39*$K38</f>
        <v>0</v>
      </c>
      <c r="T39" s="9">
        <f t="shared" si="5"/>
        <v>39.575757575757578</v>
      </c>
      <c r="U39" s="9">
        <f t="shared" si="5"/>
        <v>277.03030303030306</v>
      </c>
      <c r="V39" s="46">
        <f t="shared" si="5"/>
        <v>514.4848484848485</v>
      </c>
      <c r="W39" s="9">
        <f t="shared" si="5"/>
        <v>356.18181818181813</v>
      </c>
      <c r="X39" s="9">
        <f t="shared" si="5"/>
        <v>118.72727272727273</v>
      </c>
      <c r="Y39" s="9"/>
      <c r="Z39" s="25">
        <f>SUM(S39:Y39)</f>
        <v>1306</v>
      </c>
      <c r="AA39" s="7">
        <v>33</v>
      </c>
      <c r="AC39" s="7">
        <v>1</v>
      </c>
      <c r="AD39" s="7">
        <v>7</v>
      </c>
      <c r="AE39" s="7">
        <v>13</v>
      </c>
      <c r="AF39" s="7">
        <v>9</v>
      </c>
      <c r="AG39" s="7">
        <v>3</v>
      </c>
      <c r="AK39" s="57">
        <f>1/33</f>
        <v>3.0303030303030304E-2</v>
      </c>
      <c r="AL39" s="57">
        <f>7/33</f>
        <v>0.21212121212121213</v>
      </c>
      <c r="AM39" s="57">
        <f>13/33</f>
        <v>0.39393939393939392</v>
      </c>
      <c r="AN39" s="57">
        <f>9/33</f>
        <v>0.27272727272727271</v>
      </c>
      <c r="AO39" s="57">
        <f>3/33</f>
        <v>9.0909090909090912E-2</v>
      </c>
      <c r="AP39" s="23"/>
      <c r="AQ39" s="8">
        <f>SUM(AJ39:AP39)</f>
        <v>1</v>
      </c>
      <c r="AR39" s="30">
        <v>41</v>
      </c>
      <c r="AS39" s="31">
        <v>2009</v>
      </c>
      <c r="AT39" s="32">
        <f t="shared" si="8"/>
        <v>1306</v>
      </c>
      <c r="AU39" s="10">
        <f t="shared" ref="AU39:AU46" si="37">S41</f>
        <v>0</v>
      </c>
      <c r="AV39" s="10">
        <f t="shared" si="19"/>
        <v>0</v>
      </c>
      <c r="AW39" s="10">
        <f t="shared" si="10"/>
        <v>581.72413793103453</v>
      </c>
      <c r="AX39" s="10">
        <f t="shared" si="11"/>
        <v>326.92307692307696</v>
      </c>
      <c r="AY39" s="10">
        <f t="shared" si="12"/>
        <v>375.625</v>
      </c>
      <c r="AZ39" s="10">
        <f t="shared" si="36"/>
        <v>329.8562522372585</v>
      </c>
      <c r="BB39" s="32">
        <f t="shared" si="20"/>
        <v>1614.1284670913701</v>
      </c>
      <c r="BC39" s="10">
        <f t="shared" ref="BC39:BC42" si="38">BB39-AT39</f>
        <v>308.12846709137011</v>
      </c>
      <c r="BD39" s="8">
        <f t="shared" ref="BD39:BD42" si="39">BB39/AT39</f>
        <v>1.2359329763333615</v>
      </c>
      <c r="BE39" s="9">
        <f t="shared" ref="BE39:BE42" si="40">P39</f>
        <v>1306</v>
      </c>
      <c r="BH39" s="7">
        <f t="shared" si="21"/>
        <v>0</v>
      </c>
      <c r="BI39" s="7">
        <f t="shared" si="22"/>
        <v>0.36039519145541787</v>
      </c>
      <c r="BJ39" s="7">
        <f t="shared" si="23"/>
        <v>0.20253844944088395</v>
      </c>
      <c r="BK39" s="7">
        <f t="shared" si="24"/>
        <v>0.23271072139435678</v>
      </c>
      <c r="BL39" s="7">
        <f t="shared" si="25"/>
        <v>0.20435563770934131</v>
      </c>
    </row>
    <row r="40" spans="1:64" x14ac:dyDescent="0.2">
      <c r="A40" s="18">
        <v>2010</v>
      </c>
      <c r="B40" s="45">
        <v>0</v>
      </c>
      <c r="C40" s="45">
        <v>0</v>
      </c>
      <c r="D40" s="45">
        <v>0</v>
      </c>
      <c r="E40" s="45"/>
      <c r="F40" s="45">
        <v>0</v>
      </c>
      <c r="G40" s="9">
        <f t="shared" si="0"/>
        <v>0</v>
      </c>
      <c r="H40" s="7">
        <f t="shared" si="1"/>
        <v>0</v>
      </c>
      <c r="I40" s="45">
        <v>2916</v>
      </c>
      <c r="J40" s="24"/>
      <c r="K40" s="7">
        <f t="shared" si="2"/>
        <v>2916</v>
      </c>
      <c r="L40" s="45">
        <v>0</v>
      </c>
      <c r="M40" s="20"/>
      <c r="N40" s="38"/>
      <c r="O40" s="8">
        <f t="shared" si="3"/>
        <v>0</v>
      </c>
      <c r="P40" s="7">
        <f t="shared" si="4"/>
        <v>2916</v>
      </c>
      <c r="Q40" s="22">
        <f t="shared" si="27"/>
        <v>0</v>
      </c>
      <c r="T40" s="9">
        <f t="shared" si="5"/>
        <v>0</v>
      </c>
      <c r="U40" s="9">
        <f t="shared" ref="U40" si="41">AL40*$K40</f>
        <v>265.09090909090912</v>
      </c>
      <c r="V40" s="9">
        <f t="shared" ref="V40" si="42">AM40*$K40</f>
        <v>795.27272727272725</v>
      </c>
      <c r="W40" s="9">
        <f t="shared" ref="W40" si="43">AN40*$K40</f>
        <v>1378.4727272727273</v>
      </c>
      <c r="X40" s="9">
        <f t="shared" ref="X40" si="44">AO40*$K40</f>
        <v>477.16363636363639</v>
      </c>
      <c r="Y40" s="9"/>
      <c r="Z40" s="25">
        <f t="shared" ref="Z40:Z48" si="45">SUM(S40:Y40)</f>
        <v>2916</v>
      </c>
      <c r="AA40" s="7">
        <v>55</v>
      </c>
      <c r="AC40" s="7">
        <v>0</v>
      </c>
      <c r="AD40" s="7">
        <v>5</v>
      </c>
      <c r="AE40" s="7">
        <v>15</v>
      </c>
      <c r="AF40" s="7">
        <v>26</v>
      </c>
      <c r="AG40" s="7">
        <v>9</v>
      </c>
      <c r="AK40" s="23">
        <f>AC40/$AA40</f>
        <v>0</v>
      </c>
      <c r="AL40" s="23">
        <f t="shared" ref="AL40:AO40" si="46">AD40/$AA40</f>
        <v>9.0909090909090912E-2</v>
      </c>
      <c r="AM40" s="23">
        <f t="shared" si="46"/>
        <v>0.27272727272727271</v>
      </c>
      <c r="AN40" s="23">
        <f t="shared" si="46"/>
        <v>0.47272727272727272</v>
      </c>
      <c r="AO40" s="23">
        <f t="shared" si="46"/>
        <v>0.16363636363636364</v>
      </c>
      <c r="AP40" s="23"/>
      <c r="AQ40" s="8">
        <f>SUM(AJ40:AP40)</f>
        <v>1</v>
      </c>
      <c r="AR40" s="30">
        <v>42</v>
      </c>
      <c r="AS40" s="31">
        <v>2010</v>
      </c>
      <c r="AT40" s="32">
        <f t="shared" si="8"/>
        <v>2916</v>
      </c>
      <c r="AU40" s="10">
        <f t="shared" si="37"/>
        <v>0</v>
      </c>
      <c r="AV40" s="10">
        <f t="shared" si="19"/>
        <v>930.75862068965512</v>
      </c>
      <c r="AW40" s="10">
        <f t="shared" si="10"/>
        <v>653.84615384615392</v>
      </c>
      <c r="AX40" s="10">
        <f t="shared" si="11"/>
        <v>1408.59375</v>
      </c>
      <c r="AY40" s="10">
        <f t="shared" si="12"/>
        <v>1798.2351053706727</v>
      </c>
      <c r="AZ40" s="10">
        <f t="shared" si="36"/>
        <v>261.67765288114947</v>
      </c>
      <c r="BB40" s="32">
        <f t="shared" si="20"/>
        <v>5053.1112827876314</v>
      </c>
      <c r="BC40" s="10">
        <f t="shared" si="38"/>
        <v>2137.1112827876314</v>
      </c>
      <c r="BD40" s="8">
        <f t="shared" si="39"/>
        <v>1.7328913864155115</v>
      </c>
      <c r="BE40" s="9">
        <f t="shared" si="40"/>
        <v>2916</v>
      </c>
      <c r="BH40" s="7">
        <f t="shared" si="21"/>
        <v>0.18419515593493657</v>
      </c>
      <c r="BI40" s="7">
        <f t="shared" si="22"/>
        <v>0.12939476636371425</v>
      </c>
      <c r="BJ40" s="7">
        <f t="shared" si="23"/>
        <v>0.27875771404403471</v>
      </c>
      <c r="BK40" s="7">
        <f t="shared" si="24"/>
        <v>0.35586691144047927</v>
      </c>
      <c r="BL40" s="7">
        <f t="shared" si="25"/>
        <v>5.1785452216835157E-2</v>
      </c>
    </row>
    <row r="41" spans="1:64" x14ac:dyDescent="0.2">
      <c r="A41" s="18">
        <v>2011</v>
      </c>
      <c r="B41" s="56">
        <v>0</v>
      </c>
      <c r="C41" s="56">
        <v>2</v>
      </c>
      <c r="D41" s="45">
        <v>0</v>
      </c>
      <c r="E41" s="45"/>
      <c r="F41" s="45">
        <v>0</v>
      </c>
      <c r="G41" s="9">
        <f t="shared" ref="G41:G44" si="47">SUM(B41:D41)</f>
        <v>2</v>
      </c>
      <c r="H41" s="7">
        <f t="shared" ref="H41:H44" si="48">G41/K41</f>
        <v>5.8445353594389242E-4</v>
      </c>
      <c r="I41" s="55">
        <v>3420</v>
      </c>
      <c r="K41" s="7">
        <f t="shared" si="2"/>
        <v>3422</v>
      </c>
      <c r="L41" s="55">
        <v>0</v>
      </c>
      <c r="O41" s="7">
        <f t="shared" si="3"/>
        <v>0</v>
      </c>
      <c r="P41" s="7">
        <f t="shared" si="4"/>
        <v>3420</v>
      </c>
      <c r="T41" s="9">
        <f t="shared" ref="T41:T45" si="49">AK41*$K41</f>
        <v>59</v>
      </c>
      <c r="U41" s="9">
        <f t="shared" ref="U41:U45" si="50">AL41*$K41</f>
        <v>236</v>
      </c>
      <c r="V41" s="9">
        <f t="shared" ref="V41:V45" si="51">AM41*$K41</f>
        <v>1475</v>
      </c>
      <c r="W41" s="9">
        <f t="shared" ref="W41:W45" si="52">AN41*$K41</f>
        <v>1180</v>
      </c>
      <c r="X41" s="9">
        <f t="shared" ref="X41:X45" si="53">AO41*$K41</f>
        <v>472</v>
      </c>
      <c r="Z41" s="25">
        <f t="shared" si="45"/>
        <v>3422</v>
      </c>
      <c r="AA41" s="7">
        <f>SUM(AC41:AG41)</f>
        <v>58</v>
      </c>
      <c r="AC41" s="54">
        <v>1</v>
      </c>
      <c r="AD41" s="54">
        <v>4</v>
      </c>
      <c r="AE41" s="54">
        <v>25</v>
      </c>
      <c r="AF41" s="54">
        <v>20</v>
      </c>
      <c r="AG41" s="54">
        <v>8</v>
      </c>
      <c r="AK41" s="23">
        <f t="shared" ref="AK41:AK44" si="54">AC41/$AA41</f>
        <v>1.7241379310344827E-2</v>
      </c>
      <c r="AL41" s="23">
        <f t="shared" ref="AL41:AL42" si="55">AD41/$AA41</f>
        <v>6.8965517241379309E-2</v>
      </c>
      <c r="AM41" s="23">
        <f t="shared" ref="AM41:AM44" si="56">AE41/$AA41</f>
        <v>0.43103448275862066</v>
      </c>
      <c r="AN41" s="23">
        <f t="shared" ref="AN41:AN44" si="57">AF41/$AA41</f>
        <v>0.34482758620689657</v>
      </c>
      <c r="AO41" s="23">
        <f t="shared" ref="AO41:AO44" si="58">AG41/$AA41</f>
        <v>0.13793103448275862</v>
      </c>
      <c r="AQ41" s="8">
        <f t="shared" ref="AQ41:AQ48" si="59">SUM(AJ41:AP41)</f>
        <v>1</v>
      </c>
      <c r="AR41" s="30">
        <v>43</v>
      </c>
      <c r="AS41" s="31">
        <v>2011</v>
      </c>
      <c r="AT41" s="32">
        <f t="shared" si="8"/>
        <v>3420</v>
      </c>
      <c r="AU41" s="10">
        <f t="shared" si="37"/>
        <v>0</v>
      </c>
      <c r="AV41" s="10">
        <f t="shared" si="19"/>
        <v>457.69230769230768</v>
      </c>
      <c r="AW41" s="10">
        <f t="shared" si="10"/>
        <v>1220.78125</v>
      </c>
      <c r="AX41" s="10">
        <f t="shared" si="11"/>
        <v>1088.2616055336405</v>
      </c>
      <c r="AY41" s="10">
        <f t="shared" si="12"/>
        <v>1426.5545628142952</v>
      </c>
      <c r="AZ41" s="10">
        <f t="shared" si="36"/>
        <v>288.46846019993382</v>
      </c>
      <c r="BA41" s="8"/>
      <c r="BB41" s="32">
        <f t="shared" si="20"/>
        <v>4481.7581862401767</v>
      </c>
      <c r="BC41" s="10">
        <f t="shared" si="38"/>
        <v>1061.7581862401767</v>
      </c>
      <c r="BD41" s="8">
        <f t="shared" si="39"/>
        <v>1.3104556100117475</v>
      </c>
      <c r="BE41" s="9">
        <f t="shared" si="40"/>
        <v>3420</v>
      </c>
      <c r="BH41" s="7">
        <f t="shared" si="21"/>
        <v>0.10212338298338081</v>
      </c>
      <c r="BI41" s="7">
        <f t="shared" si="22"/>
        <v>0.27238891507980584</v>
      </c>
      <c r="BJ41" s="7">
        <f t="shared" si="23"/>
        <v>0.24282024159063381</v>
      </c>
      <c r="BK41" s="7">
        <f t="shared" si="24"/>
        <v>0.31830243925120294</v>
      </c>
      <c r="BL41" s="7">
        <f t="shared" si="25"/>
        <v>6.4365021094976771E-2</v>
      </c>
    </row>
    <row r="42" spans="1:64" x14ac:dyDescent="0.2">
      <c r="A42" s="18">
        <v>2012</v>
      </c>
      <c r="B42" s="56">
        <v>171</v>
      </c>
      <c r="C42" s="56">
        <v>0</v>
      </c>
      <c r="D42" s="45">
        <v>0</v>
      </c>
      <c r="E42" s="45"/>
      <c r="F42" s="45">
        <v>0</v>
      </c>
      <c r="G42" s="9">
        <f t="shared" si="47"/>
        <v>171</v>
      </c>
      <c r="H42" s="7">
        <f t="shared" si="48"/>
        <v>5.0771971496437057E-2</v>
      </c>
      <c r="I42" s="55">
        <v>3197</v>
      </c>
      <c r="K42" s="7">
        <f t="shared" si="2"/>
        <v>3368</v>
      </c>
      <c r="L42" s="55">
        <v>0</v>
      </c>
      <c r="O42" s="7">
        <f t="shared" si="3"/>
        <v>0</v>
      </c>
      <c r="P42" s="7">
        <f t="shared" si="4"/>
        <v>3197</v>
      </c>
      <c r="T42" s="9">
        <f t="shared" si="49"/>
        <v>0</v>
      </c>
      <c r="U42" s="9">
        <f t="shared" si="50"/>
        <v>210.5</v>
      </c>
      <c r="V42" s="9">
        <f t="shared" si="51"/>
        <v>1263</v>
      </c>
      <c r="W42" s="9">
        <f t="shared" si="52"/>
        <v>1789.25</v>
      </c>
      <c r="X42" s="9">
        <f t="shared" si="53"/>
        <v>105.25</v>
      </c>
      <c r="Z42" s="25">
        <f t="shared" si="45"/>
        <v>3368</v>
      </c>
      <c r="AA42" s="7">
        <f t="shared" ref="AA42:AA48" si="60">SUM(AC42:AG42)</f>
        <v>32</v>
      </c>
      <c r="AC42" s="54">
        <v>0</v>
      </c>
      <c r="AD42" s="54">
        <v>2</v>
      </c>
      <c r="AE42" s="54">
        <v>12</v>
      </c>
      <c r="AF42" s="54">
        <v>17</v>
      </c>
      <c r="AG42" s="54">
        <v>1</v>
      </c>
      <c r="AK42" s="23">
        <f t="shared" si="54"/>
        <v>0</v>
      </c>
      <c r="AL42" s="23">
        <f t="shared" si="55"/>
        <v>6.25E-2</v>
      </c>
      <c r="AM42" s="23">
        <f t="shared" si="56"/>
        <v>0.375</v>
      </c>
      <c r="AN42" s="23">
        <f t="shared" si="57"/>
        <v>0.53125</v>
      </c>
      <c r="AO42" s="23">
        <f t="shared" si="58"/>
        <v>3.125E-2</v>
      </c>
      <c r="AQ42" s="8">
        <f t="shared" si="59"/>
        <v>1</v>
      </c>
      <c r="AR42" s="30">
        <v>44</v>
      </c>
      <c r="AS42" s="31">
        <v>2012</v>
      </c>
      <c r="AT42" s="32">
        <f t="shared" si="8"/>
        <v>3197</v>
      </c>
      <c r="AU42" s="10">
        <f t="shared" si="37"/>
        <v>0</v>
      </c>
      <c r="AV42" s="10">
        <f t="shared" si="19"/>
        <v>0</v>
      </c>
      <c r="AW42" s="10">
        <f t="shared" si="10"/>
        <v>374.88735561794527</v>
      </c>
      <c r="AX42" s="10">
        <f t="shared" si="11"/>
        <v>863.32679985669256</v>
      </c>
      <c r="AY42" s="10">
        <f t="shared" si="12"/>
        <v>1572.6065775786158</v>
      </c>
      <c r="BA42" s="8"/>
      <c r="BB42" s="32">
        <f t="shared" si="20"/>
        <v>2810.8207330532537</v>
      </c>
      <c r="BC42" s="10">
        <f t="shared" si="38"/>
        <v>-386.17926694674634</v>
      </c>
      <c r="BD42" s="8"/>
      <c r="BE42" s="9">
        <f t="shared" si="40"/>
        <v>3197</v>
      </c>
      <c r="BH42" s="90">
        <f>AVERAGE(BH6:BH41)</f>
        <v>3.2606373379567649E-2</v>
      </c>
      <c r="BI42" s="90">
        <f t="shared" ref="BI42:BL42" si="61">AVERAGE(BI6:BI41)</f>
        <v>0.11969480745703615</v>
      </c>
      <c r="BJ42" s="90">
        <f t="shared" si="61"/>
        <v>0.31027586125318624</v>
      </c>
      <c r="BK42" s="90">
        <f t="shared" si="61"/>
        <v>0.45071603278625666</v>
      </c>
      <c r="BL42" s="90">
        <f t="shared" si="61"/>
        <v>8.6706925123953116E-2</v>
      </c>
    </row>
    <row r="43" spans="1:64" x14ac:dyDescent="0.2">
      <c r="A43" s="18">
        <v>2013</v>
      </c>
      <c r="B43" s="56">
        <v>1550</v>
      </c>
      <c r="C43" s="56">
        <v>0</v>
      </c>
      <c r="D43" s="45">
        <v>0</v>
      </c>
      <c r="E43" s="45"/>
      <c r="F43" s="45">
        <v>0</v>
      </c>
      <c r="G43" s="9">
        <f t="shared" si="47"/>
        <v>1550</v>
      </c>
      <c r="H43" s="7">
        <f t="shared" si="48"/>
        <v>0.45939537640782452</v>
      </c>
      <c r="I43" s="55">
        <v>1824</v>
      </c>
      <c r="K43" s="7">
        <f t="shared" si="2"/>
        <v>3374</v>
      </c>
      <c r="L43" s="55">
        <v>0</v>
      </c>
      <c r="O43" s="7">
        <f t="shared" si="3"/>
        <v>0</v>
      </c>
      <c r="P43" s="7">
        <f t="shared" si="4"/>
        <v>1824</v>
      </c>
      <c r="T43" s="9">
        <f t="shared" si="49"/>
        <v>930.75862068965512</v>
      </c>
      <c r="U43" s="9">
        <f t="shared" si="50"/>
        <v>581.72413793103453</v>
      </c>
      <c r="V43" s="9">
        <f t="shared" si="51"/>
        <v>1047.1034482758621</v>
      </c>
      <c r="W43" s="9">
        <f t="shared" si="52"/>
        <v>116.34482758620689</v>
      </c>
      <c r="X43" s="9">
        <f t="shared" si="53"/>
        <v>698.06896551724139</v>
      </c>
      <c r="Z43" s="25">
        <f t="shared" si="45"/>
        <v>3374</v>
      </c>
      <c r="AA43" s="7">
        <f t="shared" si="60"/>
        <v>29</v>
      </c>
      <c r="AC43" s="54">
        <v>8</v>
      </c>
      <c r="AD43" s="54">
        <v>5</v>
      </c>
      <c r="AE43" s="54">
        <v>9</v>
      </c>
      <c r="AF43" s="54">
        <v>1</v>
      </c>
      <c r="AG43" s="54">
        <v>6</v>
      </c>
      <c r="AK43" s="23">
        <f t="shared" si="54"/>
        <v>0.27586206896551724</v>
      </c>
      <c r="AL43" s="23">
        <f>AD43/$AA43</f>
        <v>0.17241379310344829</v>
      </c>
      <c r="AM43" s="23">
        <f t="shared" si="56"/>
        <v>0.31034482758620691</v>
      </c>
      <c r="AN43" s="23">
        <f t="shared" si="57"/>
        <v>3.4482758620689655E-2</v>
      </c>
      <c r="AO43" s="23">
        <f t="shared" si="58"/>
        <v>0.20689655172413793</v>
      </c>
      <c r="AQ43" s="8">
        <f t="shared" si="59"/>
        <v>0.99999999999999989</v>
      </c>
      <c r="AR43" s="30">
        <v>45</v>
      </c>
      <c r="AS43" s="31">
        <v>2013</v>
      </c>
      <c r="AT43" s="32">
        <f t="shared" si="8"/>
        <v>1824</v>
      </c>
      <c r="AU43" s="10">
        <f t="shared" si="37"/>
        <v>0</v>
      </c>
      <c r="AV43" s="10">
        <f t="shared" si="19"/>
        <v>101.74448887087627</v>
      </c>
      <c r="AW43" s="10">
        <f t="shared" si="10"/>
        <v>297.40119414915245</v>
      </c>
      <c r="AX43" s="10">
        <f t="shared" si="11"/>
        <v>951.71501984202064</v>
      </c>
      <c r="BA43" s="8"/>
    </row>
    <row r="44" spans="1:64" x14ac:dyDescent="0.2">
      <c r="A44" s="18">
        <v>2014</v>
      </c>
      <c r="B44" s="56">
        <v>518</v>
      </c>
      <c r="C44" s="56">
        <v>0</v>
      </c>
      <c r="D44" s="45">
        <v>0</v>
      </c>
      <c r="E44" s="45"/>
      <c r="F44" s="45">
        <v>0</v>
      </c>
      <c r="G44" s="9">
        <f t="shared" si="47"/>
        <v>518</v>
      </c>
      <c r="H44" s="7">
        <f t="shared" si="48"/>
        <v>0.30470588235294116</v>
      </c>
      <c r="I44" s="55">
        <v>1182</v>
      </c>
      <c r="K44" s="7">
        <f t="shared" si="2"/>
        <v>1700</v>
      </c>
      <c r="L44" s="55">
        <v>0</v>
      </c>
      <c r="O44" s="7">
        <f t="shared" si="3"/>
        <v>0</v>
      </c>
      <c r="P44" s="7">
        <f t="shared" si="4"/>
        <v>1182</v>
      </c>
      <c r="T44" s="9">
        <f t="shared" si="49"/>
        <v>457.69230769230768</v>
      </c>
      <c r="U44" s="9">
        <f t="shared" si="50"/>
        <v>653.84615384615392</v>
      </c>
      <c r="V44" s="9">
        <f t="shared" si="51"/>
        <v>326.92307692307696</v>
      </c>
      <c r="W44" s="9">
        <f t="shared" si="52"/>
        <v>261.53846153846155</v>
      </c>
      <c r="X44" s="9">
        <f t="shared" si="53"/>
        <v>0</v>
      </c>
      <c r="Z44" s="25">
        <f t="shared" si="45"/>
        <v>1700</v>
      </c>
      <c r="AA44" s="7">
        <f t="shared" si="60"/>
        <v>26</v>
      </c>
      <c r="AC44" s="54">
        <v>7</v>
      </c>
      <c r="AD44" s="54">
        <v>10</v>
      </c>
      <c r="AE44" s="54">
        <v>5</v>
      </c>
      <c r="AF44" s="54">
        <v>4</v>
      </c>
      <c r="AG44" s="54">
        <v>0</v>
      </c>
      <c r="AK44" s="23">
        <f t="shared" si="54"/>
        <v>0.26923076923076922</v>
      </c>
      <c r="AL44" s="23">
        <f>AD44/$AA44</f>
        <v>0.38461538461538464</v>
      </c>
      <c r="AM44" s="23">
        <f t="shared" si="56"/>
        <v>0.19230769230769232</v>
      </c>
      <c r="AN44" s="23">
        <f t="shared" si="57"/>
        <v>0.15384615384615385</v>
      </c>
      <c r="AO44" s="23">
        <f t="shared" si="58"/>
        <v>0</v>
      </c>
      <c r="AQ44" s="8">
        <f t="shared" si="59"/>
        <v>1</v>
      </c>
      <c r="AR44" s="30">
        <v>46</v>
      </c>
      <c r="AS44" s="31">
        <v>2014</v>
      </c>
      <c r="AT44" s="32">
        <f t="shared" si="8"/>
        <v>1182</v>
      </c>
      <c r="AU44" s="10">
        <f t="shared" si="37"/>
        <v>0</v>
      </c>
      <c r="AV44" s="10">
        <f t="shared" si="19"/>
        <v>80.714732131779883</v>
      </c>
      <c r="AW44" s="10">
        <f t="shared" si="10"/>
        <v>327.8494116453752</v>
      </c>
      <c r="BA44" s="8"/>
      <c r="BB44" s="10"/>
    </row>
    <row r="45" spans="1:64" x14ac:dyDescent="0.2">
      <c r="A45" s="18">
        <v>2015</v>
      </c>
      <c r="B45" s="56">
        <v>228</v>
      </c>
      <c r="C45" s="56">
        <v>0</v>
      </c>
      <c r="D45" s="45">
        <v>0</v>
      </c>
      <c r="E45" s="45"/>
      <c r="F45" s="45">
        <v>0</v>
      </c>
      <c r="G45" s="9">
        <f>SUM(B45:D45)</f>
        <v>228</v>
      </c>
      <c r="H45" s="7">
        <f>G45/K45</f>
        <v>7.5873544093178036E-2</v>
      </c>
      <c r="I45" s="55">
        <v>2777</v>
      </c>
      <c r="K45" s="9">
        <f>G45+I45</f>
        <v>3005</v>
      </c>
      <c r="L45" s="55">
        <v>0</v>
      </c>
      <c r="O45" s="7">
        <f t="shared" si="3"/>
        <v>0</v>
      </c>
      <c r="P45" s="7">
        <f t="shared" si="4"/>
        <v>2777</v>
      </c>
      <c r="T45" s="9">
        <f t="shared" si="49"/>
        <v>0</v>
      </c>
      <c r="U45" s="9">
        <f t="shared" si="50"/>
        <v>1220.78125</v>
      </c>
      <c r="V45" s="9">
        <f t="shared" si="51"/>
        <v>1408.59375</v>
      </c>
      <c r="W45" s="9">
        <f t="shared" si="52"/>
        <v>375.625</v>
      </c>
      <c r="X45" s="9">
        <f t="shared" si="53"/>
        <v>0</v>
      </c>
      <c r="Z45" s="25">
        <f t="shared" si="45"/>
        <v>3005</v>
      </c>
      <c r="AA45" s="7">
        <f t="shared" si="60"/>
        <v>32</v>
      </c>
      <c r="AC45" s="54">
        <v>0</v>
      </c>
      <c r="AD45" s="54">
        <v>13</v>
      </c>
      <c r="AE45" s="54">
        <v>15</v>
      </c>
      <c r="AF45" s="54">
        <v>4</v>
      </c>
      <c r="AG45" s="54">
        <v>0</v>
      </c>
      <c r="AK45" s="23">
        <f t="shared" ref="AK45" si="62">AC45/$AA45</f>
        <v>0</v>
      </c>
      <c r="AL45" s="23">
        <f>AD45/$AA45</f>
        <v>0.40625</v>
      </c>
      <c r="AM45" s="23">
        <f t="shared" ref="AM45" si="63">AE45/$AA45</f>
        <v>0.46875</v>
      </c>
      <c r="AN45" s="23">
        <f t="shared" ref="AN45" si="64">AF45/$AA45</f>
        <v>0.125</v>
      </c>
      <c r="AO45" s="23">
        <f t="shared" ref="AO45" si="65">AG45/$AA45</f>
        <v>0</v>
      </c>
      <c r="AQ45" s="8">
        <f t="shared" si="59"/>
        <v>1</v>
      </c>
      <c r="AR45" s="30">
        <v>47</v>
      </c>
      <c r="AS45" s="31">
        <v>2015</v>
      </c>
      <c r="AT45" s="32">
        <f t="shared" si="8"/>
        <v>2777</v>
      </c>
      <c r="AU45" s="10">
        <f t="shared" si="37"/>
        <v>0</v>
      </c>
      <c r="AV45" s="10">
        <f t="shared" si="19"/>
        <v>88.978383278604952</v>
      </c>
      <c r="BA45" s="8"/>
    </row>
    <row r="46" spans="1:64" x14ac:dyDescent="0.2">
      <c r="A46" s="18">
        <v>2016</v>
      </c>
      <c r="B46" s="56">
        <v>272</v>
      </c>
      <c r="C46" s="56">
        <v>0</v>
      </c>
      <c r="D46" s="45">
        <v>0</v>
      </c>
      <c r="E46" s="45"/>
      <c r="F46" s="45"/>
      <c r="G46" s="9">
        <f t="shared" ref="G46:G48" si="66">SUM(B46:D46)</f>
        <v>272</v>
      </c>
      <c r="I46" s="55">
        <v>3434</v>
      </c>
      <c r="K46" s="9">
        <f t="shared" ref="K46:K48" si="67">G46+I46</f>
        <v>3706</v>
      </c>
      <c r="L46" s="55">
        <v>0</v>
      </c>
      <c r="P46" s="7">
        <f t="shared" si="4"/>
        <v>3434</v>
      </c>
      <c r="T46" s="9">
        <f t="shared" ref="T46:T48" si="68">AK46*$K46</f>
        <v>101.74448887087627</v>
      </c>
      <c r="U46" s="9">
        <f t="shared" ref="U46:U48" si="69">AL46*$K46</f>
        <v>374.88735561794527</v>
      </c>
      <c r="V46" s="9">
        <f t="shared" ref="V46:V48" si="70">AM46*$K46</f>
        <v>1088.2616055336405</v>
      </c>
      <c r="W46" s="9">
        <f t="shared" ref="W46:W48" si="71">AN46*$K46</f>
        <v>1798.2351053706727</v>
      </c>
      <c r="X46" s="9">
        <f t="shared" ref="X46:X48" si="72">AO46*$K46</f>
        <v>329.8562522372585</v>
      </c>
      <c r="Z46" s="25">
        <f t="shared" si="45"/>
        <v>3692.9848076303933</v>
      </c>
      <c r="AA46" s="7">
        <f t="shared" si="60"/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K46" s="26">
        <f t="shared" ref="AK46:AO48" si="73">AK$60</f>
        <v>2.7453990521013563E-2</v>
      </c>
      <c r="AL46" s="26">
        <f t="shared" si="73"/>
        <v>0.10115686875821513</v>
      </c>
      <c r="AM46" s="26">
        <f t="shared" si="73"/>
        <v>0.29364857137982742</v>
      </c>
      <c r="AN46" s="26">
        <f t="shared" si="73"/>
        <v>0.48522264041302554</v>
      </c>
      <c r="AO46" s="26">
        <f t="shared" si="73"/>
        <v>8.9006004381343359E-2</v>
      </c>
      <c r="AQ46" s="8">
        <f t="shared" si="59"/>
        <v>0.99648807545342499</v>
      </c>
      <c r="AR46" s="30">
        <v>48</v>
      </c>
      <c r="AS46" s="31">
        <v>2016</v>
      </c>
      <c r="AT46" s="32">
        <f t="shared" si="8"/>
        <v>3434</v>
      </c>
      <c r="AU46" s="10">
        <f t="shared" si="37"/>
        <v>0</v>
      </c>
      <c r="BA46" s="8"/>
    </row>
    <row r="47" spans="1:64" x14ac:dyDescent="0.2">
      <c r="A47" s="18">
        <v>2017</v>
      </c>
      <c r="B47" s="56">
        <v>340</v>
      </c>
      <c r="C47" s="56">
        <v>0</v>
      </c>
      <c r="D47" s="45">
        <v>0</v>
      </c>
      <c r="E47" s="45"/>
      <c r="F47" s="45"/>
      <c r="G47" s="9">
        <f t="shared" si="66"/>
        <v>340</v>
      </c>
      <c r="I47" s="55">
        <v>2600</v>
      </c>
      <c r="K47" s="9">
        <f t="shared" si="67"/>
        <v>2940</v>
      </c>
      <c r="L47" s="55">
        <v>0</v>
      </c>
      <c r="P47" s="7">
        <f t="shared" si="4"/>
        <v>2600</v>
      </c>
      <c r="T47" s="9">
        <f t="shared" si="68"/>
        <v>80.714732131779883</v>
      </c>
      <c r="U47" s="9">
        <f t="shared" si="69"/>
        <v>297.40119414915245</v>
      </c>
      <c r="V47" s="9">
        <f t="shared" si="70"/>
        <v>863.32679985669256</v>
      </c>
      <c r="W47" s="9">
        <f t="shared" si="71"/>
        <v>1426.5545628142952</v>
      </c>
      <c r="X47" s="9">
        <f t="shared" si="72"/>
        <v>261.67765288114947</v>
      </c>
      <c r="Z47" s="25">
        <f t="shared" si="45"/>
        <v>2929.6749418330701</v>
      </c>
      <c r="AA47" s="7">
        <f t="shared" si="60"/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K47" s="26">
        <f t="shared" si="73"/>
        <v>2.7453990521013563E-2</v>
      </c>
      <c r="AL47" s="26">
        <f t="shared" si="73"/>
        <v>0.10115686875821513</v>
      </c>
      <c r="AM47" s="26">
        <f t="shared" si="73"/>
        <v>0.29364857137982742</v>
      </c>
      <c r="AN47" s="26">
        <f t="shared" si="73"/>
        <v>0.48522264041302554</v>
      </c>
      <c r="AO47" s="26">
        <f t="shared" si="73"/>
        <v>8.9006004381343359E-2</v>
      </c>
      <c r="AQ47" s="8">
        <f t="shared" si="59"/>
        <v>0.99648807545342499</v>
      </c>
      <c r="AR47" s="30">
        <v>49</v>
      </c>
      <c r="AS47" s="31">
        <v>2017</v>
      </c>
      <c r="AT47" s="32">
        <f t="shared" si="8"/>
        <v>2600</v>
      </c>
      <c r="BA47" s="8"/>
    </row>
    <row r="48" spans="1:64" x14ac:dyDescent="0.2">
      <c r="A48" s="18">
        <v>2018</v>
      </c>
      <c r="B48" s="56">
        <v>86</v>
      </c>
      <c r="C48" s="56">
        <v>0</v>
      </c>
      <c r="D48" s="45">
        <v>0</v>
      </c>
      <c r="E48" s="45"/>
      <c r="F48" s="45"/>
      <c r="G48" s="9">
        <f t="shared" si="66"/>
        <v>86</v>
      </c>
      <c r="I48" s="55">
        <v>3155</v>
      </c>
      <c r="K48" s="9">
        <f t="shared" si="67"/>
        <v>3241</v>
      </c>
      <c r="L48" s="55">
        <v>0</v>
      </c>
      <c r="P48" s="7">
        <f t="shared" si="4"/>
        <v>3155</v>
      </c>
      <c r="T48" s="9">
        <f t="shared" si="68"/>
        <v>88.978383278604952</v>
      </c>
      <c r="U48" s="9">
        <f t="shared" si="69"/>
        <v>327.8494116453752</v>
      </c>
      <c r="V48" s="9">
        <f t="shared" si="70"/>
        <v>951.71501984202064</v>
      </c>
      <c r="W48" s="9">
        <f t="shared" si="71"/>
        <v>1572.6065775786158</v>
      </c>
      <c r="X48" s="9">
        <f t="shared" si="72"/>
        <v>288.46846019993382</v>
      </c>
      <c r="Z48" s="25">
        <f t="shared" si="45"/>
        <v>3229.6178525445507</v>
      </c>
      <c r="AA48" s="7">
        <f t="shared" si="60"/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K48" s="26">
        <f t="shared" si="73"/>
        <v>2.7453990521013563E-2</v>
      </c>
      <c r="AL48" s="26">
        <f t="shared" si="73"/>
        <v>0.10115686875821513</v>
      </c>
      <c r="AM48" s="26">
        <f t="shared" si="73"/>
        <v>0.29364857137982742</v>
      </c>
      <c r="AN48" s="26">
        <f t="shared" si="73"/>
        <v>0.48522264041302554</v>
      </c>
      <c r="AO48" s="26">
        <f t="shared" si="73"/>
        <v>8.9006004381343359E-2</v>
      </c>
      <c r="AQ48" s="8">
        <f t="shared" si="59"/>
        <v>0.99648807545342499</v>
      </c>
      <c r="AR48" s="30">
        <v>50</v>
      </c>
      <c r="AS48" s="31">
        <v>2018</v>
      </c>
      <c r="AT48" s="32">
        <f t="shared" si="8"/>
        <v>3155</v>
      </c>
      <c r="BA48" s="8"/>
    </row>
    <row r="49" spans="1:62" ht="12.75" x14ac:dyDescent="0.2">
      <c r="AR49" s="30">
        <v>51</v>
      </c>
      <c r="AS49" s="58">
        <v>2019</v>
      </c>
      <c r="BA49" s="8"/>
      <c r="BB49" t="s">
        <v>44</v>
      </c>
      <c r="BC49"/>
      <c r="BD49"/>
      <c r="BE49"/>
      <c r="BF49"/>
      <c r="BG49"/>
      <c r="BH49"/>
      <c r="BI49"/>
      <c r="BJ49"/>
    </row>
    <row r="50" spans="1:62" ht="13.5" thickBot="1" x14ac:dyDescent="0.25">
      <c r="A50" s="36"/>
      <c r="B50" s="36"/>
      <c r="C50" s="36"/>
      <c r="D50" s="36"/>
      <c r="E50" s="36"/>
      <c r="F50" s="64"/>
      <c r="G50" s="36"/>
      <c r="H50" s="37"/>
      <c r="I50" s="36"/>
      <c r="J50" s="36"/>
      <c r="K50" s="36"/>
      <c r="L50" s="39"/>
      <c r="M50" s="39"/>
      <c r="N50" s="39"/>
      <c r="O50" s="39"/>
      <c r="P50" s="39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BA50" s="8"/>
      <c r="BB50"/>
      <c r="BC50"/>
      <c r="BD50"/>
      <c r="BE50"/>
      <c r="BF50"/>
      <c r="BG50"/>
      <c r="BH50"/>
      <c r="BI50"/>
      <c r="BJ50"/>
    </row>
    <row r="51" spans="1:62" ht="12.75" x14ac:dyDescent="0.2">
      <c r="A51" s="65"/>
      <c r="B51" s="65"/>
      <c r="C51" s="65"/>
      <c r="D51" s="66"/>
      <c r="E51" s="65"/>
      <c r="F51" s="65"/>
      <c r="G51" s="65"/>
      <c r="H51" s="65"/>
      <c r="I51" s="65"/>
      <c r="J51" s="65"/>
      <c r="K51" s="65"/>
      <c r="L51" s="66"/>
      <c r="M51" s="67"/>
      <c r="N51" s="36"/>
      <c r="O51" s="39"/>
      <c r="P51" s="39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K51" s="7" t="s">
        <v>43</v>
      </c>
      <c r="BA51" s="8"/>
      <c r="BB51" s="89" t="s">
        <v>45</v>
      </c>
      <c r="BC51" s="89"/>
      <c r="BD51"/>
      <c r="BE51"/>
      <c r="BF51"/>
      <c r="BG51"/>
      <c r="BH51"/>
      <c r="BI51"/>
      <c r="BJ51"/>
    </row>
    <row r="52" spans="1:62" ht="12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8"/>
      <c r="L52" s="65"/>
      <c r="M52" s="65"/>
      <c r="N52" s="36"/>
      <c r="O52" s="69"/>
      <c r="P52" s="69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BA52" s="8"/>
      <c r="BB52" s="86" t="s">
        <v>46</v>
      </c>
      <c r="BC52" s="86">
        <v>0.30991457560213809</v>
      </c>
      <c r="BD52"/>
      <c r="BE52"/>
      <c r="BF52"/>
      <c r="BG52"/>
      <c r="BH52"/>
      <c r="BI52"/>
      <c r="BJ52"/>
    </row>
    <row r="53" spans="1:62" ht="12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7"/>
      <c r="L53" s="65"/>
      <c r="M53" s="65"/>
      <c r="N53" s="36"/>
      <c r="O53" s="39"/>
      <c r="P53" s="39"/>
      <c r="Q53" s="36"/>
      <c r="R53" s="36"/>
      <c r="S53" s="36"/>
      <c r="T53" s="39"/>
      <c r="U53" s="39"/>
      <c r="V53" s="39"/>
      <c r="W53" s="39"/>
      <c r="X53" s="39"/>
      <c r="Y53" s="39"/>
      <c r="Z53" s="36"/>
      <c r="AA53" s="36"/>
      <c r="AB53" s="36"/>
      <c r="AC53" s="47"/>
      <c r="AD53" s="47"/>
      <c r="AE53" s="47"/>
      <c r="AF53" s="47"/>
      <c r="AG53" s="47"/>
      <c r="AH53" s="47"/>
      <c r="BA53" s="8"/>
      <c r="BB53" s="86" t="s">
        <v>47</v>
      </c>
      <c r="BC53" s="86">
        <v>9.6047044170653365E-2</v>
      </c>
      <c r="BD53"/>
      <c r="BE53"/>
      <c r="BF53"/>
      <c r="BG53"/>
      <c r="BH53"/>
      <c r="BI53"/>
      <c r="BJ53"/>
    </row>
    <row r="54" spans="1:62" ht="12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7"/>
      <c r="L54" s="65"/>
      <c r="M54" s="65"/>
      <c r="N54" s="36"/>
      <c r="O54" s="39"/>
      <c r="P54" s="39"/>
      <c r="Q54" s="36"/>
      <c r="R54" s="36"/>
      <c r="S54" s="36"/>
      <c r="T54" s="39"/>
      <c r="U54" s="39"/>
      <c r="V54" s="39"/>
      <c r="W54" s="39"/>
      <c r="X54" s="39"/>
      <c r="Y54" s="39"/>
      <c r="Z54" s="36"/>
      <c r="AA54" s="36"/>
      <c r="AB54" s="36"/>
      <c r="AC54" s="47"/>
      <c r="AD54" s="47"/>
      <c r="AE54" s="47"/>
      <c r="AF54" s="47"/>
      <c r="AG54" s="47"/>
      <c r="AH54" s="47"/>
      <c r="AT54" s="36"/>
      <c r="AU54" s="36"/>
      <c r="AV54" s="36"/>
      <c r="AW54" s="36"/>
      <c r="AX54" s="36"/>
      <c r="AY54" s="36"/>
      <c r="AZ54" s="36"/>
      <c r="BA54" s="37"/>
      <c r="BB54" s="86" t="s">
        <v>48</v>
      </c>
      <c r="BC54" s="86">
        <v>6.9460192528613754E-2</v>
      </c>
      <c r="BD54"/>
      <c r="BE54"/>
      <c r="BF54"/>
      <c r="BG54"/>
      <c r="BH54"/>
      <c r="BI54"/>
      <c r="BJ54"/>
    </row>
    <row r="55" spans="1:62" ht="12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7"/>
      <c r="L55" s="65"/>
      <c r="M55" s="65"/>
      <c r="N55" s="36"/>
      <c r="O55" s="39"/>
      <c r="P55" s="39"/>
      <c r="Q55" s="36"/>
      <c r="R55" s="36"/>
      <c r="S55" s="36"/>
      <c r="T55" s="39"/>
      <c r="U55" s="39"/>
      <c r="V55" s="39"/>
      <c r="W55" s="39"/>
      <c r="X55" s="39"/>
      <c r="Y55" s="39"/>
      <c r="Z55" s="36"/>
      <c r="AA55" s="36"/>
      <c r="AB55" s="36"/>
      <c r="AC55" s="47"/>
      <c r="AD55" s="47"/>
      <c r="AE55" s="47"/>
      <c r="AF55" s="47"/>
      <c r="AG55" s="47"/>
      <c r="AH55" s="47"/>
      <c r="AT55" s="36"/>
      <c r="AU55" s="36"/>
      <c r="AV55" s="36"/>
      <c r="AW55" s="36"/>
      <c r="AX55" s="36"/>
      <c r="AY55" s="36"/>
      <c r="AZ55" s="36"/>
      <c r="BA55" s="37"/>
      <c r="BB55" s="86" t="s">
        <v>49</v>
      </c>
      <c r="BC55" s="86">
        <v>0.57579669751820128</v>
      </c>
      <c r="BD55"/>
      <c r="BE55"/>
      <c r="BF55"/>
      <c r="BG55"/>
      <c r="BH55"/>
      <c r="BI55"/>
      <c r="BJ55"/>
    </row>
    <row r="56" spans="1:62" ht="13.5" thickBo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7"/>
      <c r="L56" s="65"/>
      <c r="M56" s="65"/>
      <c r="N56" s="36"/>
      <c r="O56" s="39"/>
      <c r="P56" s="39"/>
      <c r="Q56" s="36"/>
      <c r="R56" s="36"/>
      <c r="S56" s="36"/>
      <c r="T56" s="39"/>
      <c r="U56" s="39"/>
      <c r="V56" s="39"/>
      <c r="W56" s="39"/>
      <c r="X56" s="39"/>
      <c r="Y56" s="39"/>
      <c r="Z56" s="36"/>
      <c r="AA56" s="36"/>
      <c r="AB56" s="36"/>
      <c r="AC56" s="47"/>
      <c r="AD56" s="47"/>
      <c r="AE56" s="47"/>
      <c r="AF56" s="47"/>
      <c r="AG56" s="47"/>
      <c r="AH56" s="47"/>
      <c r="AT56" s="71"/>
      <c r="AU56" s="36"/>
      <c r="AV56" s="37"/>
      <c r="AW56" s="37"/>
      <c r="AX56" s="37"/>
      <c r="AY56" s="37"/>
      <c r="AZ56" s="37"/>
      <c r="BA56" s="37"/>
      <c r="BB56" s="87" t="s">
        <v>50</v>
      </c>
      <c r="BC56" s="87">
        <v>36</v>
      </c>
      <c r="BD56"/>
      <c r="BE56"/>
      <c r="BF56"/>
      <c r="BG56"/>
      <c r="BH56"/>
      <c r="BI56"/>
      <c r="BJ56"/>
    </row>
    <row r="57" spans="1:62" ht="12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36"/>
      <c r="O57" s="70"/>
      <c r="P57" s="70"/>
      <c r="Q57" s="36"/>
      <c r="R57" s="36"/>
      <c r="S57" s="36"/>
      <c r="T57" s="39"/>
      <c r="U57" s="39"/>
      <c r="V57" s="39"/>
      <c r="W57" s="39"/>
      <c r="X57" s="39"/>
      <c r="Y57" s="39"/>
      <c r="Z57" s="36"/>
      <c r="AA57" s="36"/>
      <c r="AB57" s="36"/>
      <c r="AC57" s="47"/>
      <c r="AD57" s="47"/>
      <c r="AE57" s="47"/>
      <c r="AF57" s="47"/>
      <c r="AG57" s="47"/>
      <c r="AH57" s="47"/>
      <c r="AT57" s="71"/>
      <c r="AU57" s="36"/>
      <c r="AV57" s="37"/>
      <c r="AW57" s="37"/>
      <c r="AX57" s="37"/>
      <c r="AY57" s="37"/>
      <c r="AZ57" s="37"/>
      <c r="BA57" s="37"/>
      <c r="BB57"/>
      <c r="BC57"/>
      <c r="BD57"/>
      <c r="BE57"/>
      <c r="BF57"/>
      <c r="BG57"/>
      <c r="BH57"/>
      <c r="BI57"/>
      <c r="BJ57"/>
    </row>
    <row r="58" spans="1:62" ht="13.5" thickBo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36"/>
      <c r="O58" s="70"/>
      <c r="P58" s="70"/>
      <c r="Q58" s="36"/>
      <c r="R58" s="36"/>
      <c r="S58" s="36"/>
      <c r="T58" s="39"/>
      <c r="U58" s="39"/>
      <c r="V58" s="39"/>
      <c r="W58" s="39"/>
      <c r="X58" s="39"/>
      <c r="Y58" s="39"/>
      <c r="Z58" s="36"/>
      <c r="AA58" s="36"/>
      <c r="AB58" s="36"/>
      <c r="AC58" s="47"/>
      <c r="AD58" s="47"/>
      <c r="AE58" s="47"/>
      <c r="AF58" s="47"/>
      <c r="AG58" s="48"/>
      <c r="AH58" s="48"/>
      <c r="AT58" s="71"/>
      <c r="AU58" s="36"/>
      <c r="AV58" s="37"/>
      <c r="AW58" s="37"/>
      <c r="AX58" s="37"/>
      <c r="AY58" s="37"/>
      <c r="AZ58" s="37"/>
      <c r="BA58" s="37"/>
      <c r="BB58" t="s">
        <v>51</v>
      </c>
      <c r="BC58"/>
      <c r="BD58"/>
      <c r="BE58"/>
      <c r="BF58"/>
      <c r="BG58"/>
      <c r="BH58"/>
      <c r="BI58"/>
      <c r="BJ58"/>
    </row>
    <row r="59" spans="1:62" ht="12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36"/>
      <c r="O59" s="70"/>
      <c r="P59" s="70"/>
      <c r="Q59" s="36"/>
      <c r="R59" s="36"/>
      <c r="S59" s="36"/>
      <c r="T59" s="39"/>
      <c r="U59" s="39"/>
      <c r="V59" s="39"/>
      <c r="W59" s="39"/>
      <c r="X59" s="39"/>
      <c r="Y59" s="39"/>
      <c r="Z59" s="36"/>
      <c r="AA59" s="36"/>
      <c r="AB59" s="36"/>
      <c r="AC59" s="47"/>
      <c r="AD59" s="47"/>
      <c r="AE59" s="47"/>
      <c r="AF59" s="47"/>
      <c r="AG59" s="47"/>
      <c r="AH59" s="47"/>
      <c r="AT59" s="71"/>
      <c r="AU59" s="36"/>
      <c r="AV59" s="37"/>
      <c r="AW59" s="37"/>
      <c r="AX59" s="37"/>
      <c r="AY59" s="37"/>
      <c r="AZ59" s="37"/>
      <c r="BA59" s="37"/>
      <c r="BB59" s="88"/>
      <c r="BC59" s="88" t="s">
        <v>55</v>
      </c>
      <c r="BD59" s="88" t="s">
        <v>56</v>
      </c>
      <c r="BE59" s="88" t="s">
        <v>57</v>
      </c>
      <c r="BF59" s="88" t="s">
        <v>58</v>
      </c>
      <c r="BG59" s="88" t="s">
        <v>59</v>
      </c>
      <c r="BH59"/>
      <c r="BI59"/>
      <c r="BJ59"/>
    </row>
    <row r="60" spans="1:62" ht="12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36"/>
      <c r="O60" s="70"/>
      <c r="P60" s="70"/>
      <c r="Q60" s="36"/>
      <c r="R60" s="36"/>
      <c r="S60" s="36"/>
      <c r="T60" s="39"/>
      <c r="U60" s="39"/>
      <c r="V60" s="39"/>
      <c r="W60" s="39"/>
      <c r="X60" s="39"/>
      <c r="Y60" s="39"/>
      <c r="Z60" s="36"/>
      <c r="AA60" s="36"/>
      <c r="AB60" s="36"/>
      <c r="AC60" s="47"/>
      <c r="AD60" s="47"/>
      <c r="AE60" s="47"/>
      <c r="AF60" s="47"/>
      <c r="AG60" s="47"/>
      <c r="AH60" s="47"/>
      <c r="AK60" s="49">
        <f>AVERAGE(AK23:AK43)</f>
        <v>2.7453990521013563E-2</v>
      </c>
      <c r="AL60" s="49">
        <f t="shared" ref="AL60:AO60" si="74">AVERAGE(AL23:AL43)</f>
        <v>0.10115686875821513</v>
      </c>
      <c r="AM60" s="49">
        <f t="shared" si="74"/>
        <v>0.29364857137982742</v>
      </c>
      <c r="AN60" s="49">
        <f>AVERAGE(AN23:AN43)</f>
        <v>0.48522264041302554</v>
      </c>
      <c r="AO60" s="49">
        <f t="shared" si="74"/>
        <v>8.9006004381343359E-2</v>
      </c>
      <c r="AP60" s="50"/>
      <c r="AQ60" s="8"/>
      <c r="AR60" s="8"/>
      <c r="AT60" s="71"/>
      <c r="AU60" s="36"/>
      <c r="AV60" s="37"/>
      <c r="AW60" s="37"/>
      <c r="AX60" s="37"/>
      <c r="AY60" s="37"/>
      <c r="AZ60" s="37"/>
      <c r="BA60" s="51"/>
      <c r="BB60" s="86" t="s">
        <v>52</v>
      </c>
      <c r="BC60" s="86">
        <v>1</v>
      </c>
      <c r="BD60" s="86">
        <v>1.1977203573888424</v>
      </c>
      <c r="BE60" s="86">
        <v>1.1977203573888424</v>
      </c>
      <c r="BF60" s="86">
        <v>3.6125768279679287</v>
      </c>
      <c r="BG60" s="86">
        <v>6.5849563719015708E-2</v>
      </c>
      <c r="BH60"/>
      <c r="BI60"/>
      <c r="BJ60"/>
    </row>
    <row r="61" spans="1:62" ht="12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36"/>
      <c r="O61" s="70"/>
      <c r="P61" s="70"/>
      <c r="Q61" s="36"/>
      <c r="R61" s="36"/>
      <c r="S61" s="36"/>
      <c r="T61" s="39"/>
      <c r="U61" s="39"/>
      <c r="V61" s="39"/>
      <c r="W61" s="39"/>
      <c r="X61" s="39"/>
      <c r="Y61" s="39"/>
      <c r="Z61" s="36"/>
      <c r="AA61" s="36"/>
      <c r="AB61" s="36"/>
      <c r="AC61" s="48"/>
      <c r="AD61" s="48"/>
      <c r="AE61" s="47"/>
      <c r="AF61" s="47"/>
      <c r="AG61" s="47"/>
      <c r="AH61" s="47"/>
      <c r="AK61" s="35">
        <f>STDEV(AK23:AK37)</f>
        <v>1.4711296877807463E-2</v>
      </c>
      <c r="AL61" s="35">
        <f>STDEV(AL23:AL37)</f>
        <v>6.5591426313720183E-2</v>
      </c>
      <c r="AM61" s="35">
        <f>STDEV(AM23:AM37)</f>
        <v>0.12961485907509573</v>
      </c>
      <c r="AN61" s="35">
        <f>STDEV(AN23:AN37)</f>
        <v>0.13803247199517249</v>
      </c>
      <c r="AO61" s="35">
        <f>STDEV(AO23:AO37)</f>
        <v>7.4832411758422354E-2</v>
      </c>
      <c r="AP61" s="35"/>
      <c r="AQ61" s="8"/>
      <c r="AR61" s="8"/>
      <c r="AT61" s="71"/>
      <c r="AU61" s="36"/>
      <c r="AV61" s="37"/>
      <c r="AW61" s="37"/>
      <c r="AX61" s="37"/>
      <c r="AY61" s="37"/>
      <c r="AZ61" s="37"/>
      <c r="BA61" s="51"/>
      <c r="BB61" s="86" t="s">
        <v>53</v>
      </c>
      <c r="BC61" s="86">
        <v>34</v>
      </c>
      <c r="BD61" s="86">
        <v>11.272422453677478</v>
      </c>
      <c r="BE61" s="86">
        <v>0.33154183687286698</v>
      </c>
      <c r="BF61" s="86"/>
      <c r="BG61" s="86"/>
      <c r="BH61"/>
      <c r="BI61"/>
      <c r="BJ61"/>
    </row>
    <row r="62" spans="1:62" ht="13.5" thickBo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70"/>
      <c r="P62" s="70"/>
      <c r="Q62" s="36"/>
      <c r="R62" s="36"/>
      <c r="S62" s="36"/>
      <c r="T62" s="39"/>
      <c r="U62" s="39"/>
      <c r="V62" s="39"/>
      <c r="W62" s="39"/>
      <c r="X62" s="39"/>
      <c r="Y62" s="39"/>
      <c r="Z62" s="36"/>
      <c r="AA62" s="36"/>
      <c r="AB62" s="36"/>
      <c r="AC62" s="48"/>
      <c r="AD62" s="47"/>
      <c r="AE62" s="47"/>
      <c r="AF62" s="47"/>
      <c r="AG62" s="47"/>
      <c r="AH62" s="47"/>
      <c r="AT62" s="71"/>
      <c r="AU62" s="36"/>
      <c r="AV62" s="37"/>
      <c r="AW62" s="37"/>
      <c r="AX62" s="37"/>
      <c r="AY62" s="37"/>
      <c r="AZ62" s="37"/>
      <c r="BA62" s="37"/>
      <c r="BB62" s="87" t="s">
        <v>18</v>
      </c>
      <c r="BC62" s="87">
        <v>35</v>
      </c>
      <c r="BD62" s="87">
        <v>12.470142811066321</v>
      </c>
      <c r="BE62" s="87"/>
      <c r="BF62" s="87"/>
      <c r="BG62" s="87"/>
      <c r="BH62"/>
      <c r="BI62"/>
      <c r="BJ62"/>
    </row>
    <row r="63" spans="1:62" ht="13.5" thickBo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70"/>
      <c r="P63" s="70"/>
      <c r="Q63" s="36"/>
      <c r="R63" s="36"/>
      <c r="S63" s="36"/>
      <c r="T63" s="39"/>
      <c r="U63" s="39"/>
      <c r="V63" s="39"/>
      <c r="W63" s="39"/>
      <c r="X63" s="39"/>
      <c r="Y63" s="39"/>
      <c r="Z63" s="36"/>
      <c r="AA63" s="36"/>
      <c r="AB63" s="36"/>
      <c r="AC63" s="48"/>
      <c r="AD63" s="47"/>
      <c r="AE63" s="47"/>
      <c r="AF63" s="47"/>
      <c r="AG63" s="47"/>
      <c r="AH63" s="47"/>
      <c r="AT63" s="71"/>
      <c r="AU63" s="36"/>
      <c r="AV63" s="37"/>
      <c r="AW63" s="37"/>
      <c r="AX63" s="37"/>
      <c r="AY63" s="37"/>
      <c r="AZ63" s="37"/>
      <c r="BA63" s="36"/>
      <c r="BB63"/>
      <c r="BC63"/>
      <c r="BD63"/>
      <c r="BE63"/>
      <c r="BF63"/>
      <c r="BG63"/>
      <c r="BH63"/>
      <c r="BI63"/>
      <c r="BJ63"/>
    </row>
    <row r="64" spans="1:62" ht="12.75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70"/>
      <c r="P64" s="70"/>
      <c r="Q64" s="36"/>
      <c r="R64" s="36"/>
      <c r="S64" s="36"/>
      <c r="T64" s="39"/>
      <c r="U64" s="39"/>
      <c r="V64" s="39"/>
      <c r="W64" s="39"/>
      <c r="X64" s="39"/>
      <c r="Y64" s="39"/>
      <c r="Z64" s="36"/>
      <c r="AA64" s="36"/>
      <c r="AB64" s="36"/>
      <c r="AC64" s="48"/>
      <c r="AD64" s="47"/>
      <c r="AE64" s="47"/>
      <c r="AF64" s="47"/>
      <c r="AG64" s="47"/>
      <c r="AH64" s="47"/>
      <c r="AT64" s="71"/>
      <c r="AU64" s="36"/>
      <c r="AV64" s="37"/>
      <c r="AW64" s="37"/>
      <c r="AX64" s="37"/>
      <c r="AY64" s="37"/>
      <c r="AZ64" s="37"/>
      <c r="BA64" s="36"/>
      <c r="BB64" s="88"/>
      <c r="BC64" s="88" t="s">
        <v>60</v>
      </c>
      <c r="BD64" s="88" t="s">
        <v>49</v>
      </c>
      <c r="BE64" s="88" t="s">
        <v>61</v>
      </c>
      <c r="BF64" s="88" t="s">
        <v>62</v>
      </c>
      <c r="BG64" s="88" t="s">
        <v>63</v>
      </c>
      <c r="BH64" s="88" t="s">
        <v>64</v>
      </c>
      <c r="BI64" s="88" t="s">
        <v>65</v>
      </c>
      <c r="BJ64" s="88" t="s">
        <v>66</v>
      </c>
    </row>
    <row r="65" spans="1:62" ht="12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70"/>
      <c r="P65" s="70"/>
      <c r="Q65" s="36"/>
      <c r="R65" s="36"/>
      <c r="S65" s="36"/>
      <c r="T65" s="36"/>
      <c r="U65" s="39"/>
      <c r="V65" s="39"/>
      <c r="W65" s="39"/>
      <c r="X65" s="39"/>
      <c r="Y65" s="39"/>
      <c r="Z65" s="36"/>
      <c r="AA65" s="36"/>
      <c r="AB65" s="36"/>
      <c r="AC65" s="47"/>
      <c r="AD65" s="47"/>
      <c r="AE65" s="47"/>
      <c r="AF65" s="47"/>
      <c r="AG65" s="47"/>
      <c r="AH65" s="47"/>
      <c r="AT65" s="71"/>
      <c r="AU65" s="36"/>
      <c r="AV65" s="37"/>
      <c r="AW65" s="37"/>
      <c r="AX65" s="37"/>
      <c r="AY65" s="37"/>
      <c r="AZ65" s="37"/>
      <c r="BA65" s="36"/>
      <c r="BB65" s="86" t="s">
        <v>54</v>
      </c>
      <c r="BC65" s="91">
        <v>1.5763194193788199</v>
      </c>
      <c r="BD65" s="86">
        <v>0.22755583042083527</v>
      </c>
      <c r="BE65" s="86">
        <v>6.9271765810773545</v>
      </c>
      <c r="BF65" s="86">
        <v>5.5299795072081071E-8</v>
      </c>
      <c r="BG65" s="86">
        <v>1.1138703324428434</v>
      </c>
      <c r="BH65" s="86">
        <v>2.0387685063147964</v>
      </c>
      <c r="BI65" s="86">
        <v>1.1138703324428434</v>
      </c>
      <c r="BJ65" s="86">
        <v>2.0387685063147964</v>
      </c>
    </row>
    <row r="66" spans="1:62" ht="13.5" thickBo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70"/>
      <c r="P66" s="70"/>
      <c r="Q66" s="36"/>
      <c r="R66" s="36"/>
      <c r="S66" s="36"/>
      <c r="T66" s="36"/>
      <c r="U66" s="36"/>
      <c r="V66" s="39"/>
      <c r="W66" s="39"/>
      <c r="X66" s="39"/>
      <c r="Y66" s="39"/>
      <c r="Z66" s="36"/>
      <c r="AA66" s="36"/>
      <c r="AB66" s="36"/>
      <c r="AC66" s="36"/>
      <c r="AD66" s="36"/>
      <c r="AE66" s="47"/>
      <c r="AF66" s="47"/>
      <c r="AG66" s="47"/>
      <c r="AH66" s="47"/>
      <c r="AT66" s="71"/>
      <c r="AU66" s="36"/>
      <c r="AV66" s="37"/>
      <c r="AW66" s="37"/>
      <c r="AX66" s="37"/>
      <c r="AY66" s="37"/>
      <c r="AZ66" s="37"/>
      <c r="BA66" s="36"/>
      <c r="BB66" s="87" t="s">
        <v>15</v>
      </c>
      <c r="BC66" s="92">
        <v>-5.2588143018972349E-5</v>
      </c>
      <c r="BD66" s="87">
        <v>2.76680969895044E-5</v>
      </c>
      <c r="BE66" s="87">
        <v>-1.9006779916566399</v>
      </c>
      <c r="BF66" s="87">
        <v>6.5849563719016027E-2</v>
      </c>
      <c r="BG66" s="87">
        <v>-1.0881648120916278E-4</v>
      </c>
      <c r="BH66" s="87">
        <v>3.6401951712180803E-6</v>
      </c>
      <c r="BI66" s="87">
        <v>-1.0881648120916278E-4</v>
      </c>
      <c r="BJ66" s="87">
        <v>3.6401951712180803E-6</v>
      </c>
    </row>
    <row r="67" spans="1:62" ht="12.75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9"/>
      <c r="X67" s="39"/>
      <c r="Y67" s="39"/>
      <c r="Z67" s="36"/>
      <c r="AA67" s="36"/>
      <c r="AB67" s="36"/>
      <c r="AC67" s="36"/>
      <c r="AD67" s="36"/>
      <c r="AE67" s="36"/>
      <c r="AF67" s="47"/>
      <c r="AG67" s="47"/>
      <c r="AH67" s="47"/>
      <c r="AT67" s="71"/>
      <c r="AU67" s="36"/>
      <c r="AV67" s="37"/>
      <c r="AW67" s="37"/>
      <c r="AX67" s="37"/>
      <c r="AY67" s="37"/>
      <c r="AZ67" s="37"/>
      <c r="BA67" s="36"/>
      <c r="BB67"/>
      <c r="BC67"/>
      <c r="BD67"/>
      <c r="BE67"/>
      <c r="BF67"/>
      <c r="BG67"/>
      <c r="BH67"/>
      <c r="BI67"/>
      <c r="BJ67"/>
    </row>
    <row r="68" spans="1:62" ht="12.75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T68" s="71"/>
      <c r="AU68" s="36"/>
      <c r="AV68" s="37"/>
      <c r="AW68" s="37"/>
      <c r="AX68" s="37"/>
      <c r="AY68" s="37"/>
      <c r="AZ68" s="37"/>
      <c r="BA68" s="36"/>
      <c r="BB68"/>
      <c r="BC68"/>
      <c r="BD68"/>
      <c r="BE68"/>
      <c r="BF68"/>
      <c r="BG68"/>
      <c r="BH68"/>
      <c r="BI68"/>
      <c r="BJ68"/>
    </row>
    <row r="69" spans="1:62" ht="12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T69" s="71"/>
      <c r="AU69" s="36"/>
      <c r="AV69" s="37"/>
      <c r="AW69" s="36"/>
      <c r="AX69" s="36"/>
      <c r="AY69" s="36"/>
      <c r="AZ69" s="36"/>
      <c r="BA69" s="36"/>
      <c r="BB69"/>
      <c r="BC69"/>
      <c r="BD69"/>
      <c r="BE69"/>
      <c r="BF69"/>
      <c r="BG69"/>
      <c r="BH69"/>
      <c r="BI69"/>
      <c r="BJ69"/>
    </row>
    <row r="70" spans="1:62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T70" s="71"/>
      <c r="AU70" s="36"/>
      <c r="AV70" s="37"/>
      <c r="AW70" s="36"/>
      <c r="AX70" s="36"/>
      <c r="AY70" s="36"/>
      <c r="AZ70" s="36"/>
      <c r="BA70" s="36"/>
      <c r="BB70" s="36"/>
      <c r="BC70" s="36"/>
      <c r="BD70" s="36"/>
      <c r="BE70" s="36"/>
      <c r="BF70" s="36"/>
    </row>
    <row r="71" spans="1:62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T71" s="71"/>
      <c r="AU71" s="36"/>
      <c r="AV71" s="37"/>
      <c r="AW71" s="36"/>
      <c r="AX71" s="36"/>
      <c r="AY71" s="36"/>
      <c r="AZ71" s="36"/>
      <c r="BA71" s="36"/>
      <c r="BB71" s="36"/>
      <c r="BC71" s="36"/>
      <c r="BD71" s="36"/>
      <c r="BE71" s="36"/>
      <c r="BF71" s="36"/>
    </row>
    <row r="72" spans="1:62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T72" s="71"/>
      <c r="AU72" s="36"/>
      <c r="AV72" s="37"/>
      <c r="AW72" s="36"/>
      <c r="AX72" s="36"/>
      <c r="AY72" s="36"/>
      <c r="AZ72" s="36"/>
      <c r="BA72" s="36"/>
      <c r="BB72" s="36"/>
      <c r="BC72" s="36"/>
      <c r="BD72" s="36"/>
      <c r="BE72" s="36"/>
      <c r="BF72" s="36"/>
    </row>
    <row r="73" spans="1:62" x14ac:dyDescent="0.2">
      <c r="AT73" s="71"/>
      <c r="AU73" s="36"/>
      <c r="AV73" s="37"/>
      <c r="AW73" s="36"/>
      <c r="AX73" s="36"/>
      <c r="AY73" s="36"/>
      <c r="AZ73" s="36"/>
      <c r="BA73" s="36"/>
      <c r="BB73" s="36"/>
      <c r="BC73" s="36"/>
      <c r="BD73" s="36"/>
      <c r="BE73" s="36"/>
      <c r="BF73" s="36"/>
    </row>
    <row r="74" spans="1:62" x14ac:dyDescent="0.2">
      <c r="AT74" s="71"/>
      <c r="AU74" s="36"/>
      <c r="AV74" s="37"/>
      <c r="AW74" s="36"/>
      <c r="AX74" s="36"/>
      <c r="AY74" s="36"/>
      <c r="AZ74" s="36"/>
      <c r="BA74" s="36"/>
      <c r="BB74" s="36"/>
      <c r="BC74" s="36"/>
      <c r="BD74" s="36"/>
      <c r="BE74" s="36"/>
      <c r="BF74" s="36"/>
    </row>
    <row r="75" spans="1:62" x14ac:dyDescent="0.2"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</row>
    <row r="76" spans="1:62" x14ac:dyDescent="0.2">
      <c r="AT76" s="36"/>
      <c r="AU76" s="36"/>
      <c r="AV76" s="51"/>
      <c r="AW76" s="51"/>
      <c r="AX76" s="51"/>
      <c r="AY76" s="51"/>
      <c r="AZ76" s="51"/>
      <c r="BA76" s="36"/>
      <c r="BB76" s="36"/>
      <c r="BC76" s="36"/>
      <c r="BD76" s="36"/>
      <c r="BE76" s="36"/>
      <c r="BF76" s="36"/>
    </row>
    <row r="77" spans="1:62" x14ac:dyDescent="0.2">
      <c r="AT77" s="36"/>
      <c r="AU77" s="36"/>
      <c r="AV77" s="51"/>
      <c r="AW77" s="51"/>
      <c r="AX77" s="51"/>
      <c r="AY77" s="51"/>
      <c r="AZ77" s="51"/>
      <c r="BA77" s="36"/>
      <c r="BB77" s="36"/>
      <c r="BC77" s="36"/>
      <c r="BD77" s="36"/>
      <c r="BE77" s="36"/>
      <c r="BF77" s="36"/>
    </row>
    <row r="78" spans="1:62" x14ac:dyDescent="0.2">
      <c r="U78" s="10"/>
      <c r="AT78" s="36"/>
      <c r="AU78" s="36"/>
      <c r="AV78" s="36"/>
      <c r="AW78" s="37"/>
      <c r="AX78" s="37"/>
      <c r="AY78" s="37"/>
      <c r="AZ78" s="37"/>
      <c r="BA78" s="36"/>
      <c r="BB78" s="36"/>
      <c r="BC78" s="36"/>
      <c r="BD78" s="36"/>
      <c r="BE78" s="36"/>
      <c r="BF78" s="36"/>
    </row>
    <row r="79" spans="1:62" x14ac:dyDescent="0.2">
      <c r="U79" s="10"/>
      <c r="AT79" s="36"/>
      <c r="AU79" s="36"/>
      <c r="AV79" s="36"/>
      <c r="AW79" s="36"/>
      <c r="AX79" s="37"/>
      <c r="AY79" s="37"/>
      <c r="AZ79" s="36"/>
      <c r="BA79" s="36"/>
      <c r="BB79" s="36"/>
      <c r="BC79" s="36"/>
      <c r="BD79" s="36"/>
      <c r="BE79" s="36"/>
      <c r="BF79" s="36"/>
    </row>
    <row r="80" spans="1:62" x14ac:dyDescent="0.2">
      <c r="AT80" s="39"/>
      <c r="AU80" s="39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</row>
    <row r="86" spans="46:57" x14ac:dyDescent="0.2">
      <c r="AT86" s="52"/>
      <c r="AU86" s="52"/>
      <c r="AV86" s="52"/>
      <c r="AW86" s="52"/>
      <c r="AX86" s="53"/>
      <c r="AY86" s="53"/>
      <c r="AZ86" s="53"/>
      <c r="BA86" s="53"/>
      <c r="BB86" s="36"/>
      <c r="BC86" s="36"/>
      <c r="BD86" s="36"/>
      <c r="BE86" s="37"/>
    </row>
    <row r="87" spans="46:57" x14ac:dyDescent="0.2"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</row>
    <row r="88" spans="46:57" x14ac:dyDescent="0.2"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</row>
    <row r="89" spans="46:57" x14ac:dyDescent="0.2"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</row>
  </sheetData>
  <mergeCells count="3">
    <mergeCell ref="T4:Z4"/>
    <mergeCell ref="AK4:AQ4"/>
    <mergeCell ref="AV4:AZ4"/>
  </mergeCells>
  <pageMargins left="0.75" right="0.75" top="1" bottom="1" header="0.5" footer="0.5"/>
  <pageSetup scale="38" fitToWidth="2" orientation="landscape" r:id="rId1"/>
  <headerFooter alignWithMargins="0">
    <oddFooter>&amp;L&amp;F&amp;C&amp;A&amp;R&amp;D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/>
  <dimension ref="A2:K56"/>
  <sheetViews>
    <sheetView zoomScale="75" workbookViewId="0">
      <selection activeCell="Q16" sqref="Q16"/>
    </sheetView>
  </sheetViews>
  <sheetFormatPr defaultRowHeight="12.75" x14ac:dyDescent="0.2"/>
  <sheetData>
    <row r="2" spans="1:11" x14ac:dyDescent="0.2">
      <c r="A2" t="s">
        <v>0</v>
      </c>
      <c r="B2" t="s">
        <v>1</v>
      </c>
    </row>
    <row r="4" spans="1:11" ht="12.75" customHeight="1" x14ac:dyDescent="0.2">
      <c r="A4" s="74" t="s">
        <v>2</v>
      </c>
      <c r="B4" s="75"/>
      <c r="C4" s="75"/>
      <c r="D4" s="75"/>
      <c r="E4" s="75"/>
      <c r="F4" s="75"/>
      <c r="G4" s="75"/>
      <c r="H4" s="75"/>
      <c r="I4" s="75"/>
      <c r="J4" s="75"/>
      <c r="K4" s="76"/>
    </row>
    <row r="5" spans="1:11" ht="12.75" customHeight="1" x14ac:dyDescent="0.2">
      <c r="A5" s="77" t="s">
        <v>5</v>
      </c>
      <c r="B5" s="78"/>
      <c r="C5" s="78"/>
      <c r="D5" s="78"/>
      <c r="E5" s="78"/>
      <c r="F5" s="78"/>
      <c r="G5" s="78"/>
      <c r="H5" s="78"/>
      <c r="I5" s="78"/>
      <c r="J5" s="78"/>
      <c r="K5" s="79"/>
    </row>
    <row r="6" spans="1:11" ht="12.75" customHeight="1" x14ac:dyDescent="0.2">
      <c r="A6" s="80" t="s">
        <v>3</v>
      </c>
      <c r="B6" s="82" t="s">
        <v>6</v>
      </c>
      <c r="C6" s="83"/>
      <c r="D6" s="84" t="s">
        <v>7</v>
      </c>
      <c r="E6" s="85"/>
      <c r="F6" s="84" t="s">
        <v>8</v>
      </c>
      <c r="G6" s="85"/>
      <c r="H6" s="84" t="s">
        <v>9</v>
      </c>
      <c r="I6" s="85"/>
      <c r="J6" s="84" t="s">
        <v>10</v>
      </c>
      <c r="K6" s="85"/>
    </row>
    <row r="7" spans="1:11" ht="14.25" x14ac:dyDescent="0.25">
      <c r="A7" s="81"/>
      <c r="B7" s="2" t="s">
        <v>11</v>
      </c>
      <c r="C7" s="2" t="s">
        <v>12</v>
      </c>
      <c r="D7" s="3" t="s">
        <v>13</v>
      </c>
      <c r="E7" s="3" t="s">
        <v>14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</row>
    <row r="8" spans="1:11" x14ac:dyDescent="0.2">
      <c r="A8" s="4">
        <v>6</v>
      </c>
      <c r="B8" s="5">
        <v>0.61</v>
      </c>
      <c r="C8" s="5">
        <v>1.4</v>
      </c>
      <c r="D8" s="6"/>
      <c r="E8" s="6"/>
      <c r="F8" s="6"/>
      <c r="G8" s="6"/>
      <c r="H8" s="6"/>
      <c r="I8" s="6"/>
      <c r="J8" s="6"/>
      <c r="K8" s="6"/>
    </row>
    <row r="9" spans="1:11" x14ac:dyDescent="0.2">
      <c r="A9" s="4">
        <v>7</v>
      </c>
      <c r="B9" s="5">
        <v>0.7</v>
      </c>
      <c r="C9" s="5">
        <v>1.36</v>
      </c>
      <c r="D9" s="6">
        <v>0.47</v>
      </c>
      <c r="E9" s="6">
        <v>1.9</v>
      </c>
      <c r="F9" s="6"/>
      <c r="G9" s="6"/>
      <c r="H9" s="6"/>
      <c r="I9" s="6"/>
      <c r="J9" s="6"/>
      <c r="K9" s="6"/>
    </row>
    <row r="10" spans="1:11" x14ac:dyDescent="0.2">
      <c r="A10" s="4">
        <v>8</v>
      </c>
      <c r="B10" s="5">
        <v>0.76</v>
      </c>
      <c r="C10" s="5">
        <v>1.33</v>
      </c>
      <c r="D10" s="6">
        <v>0.56000000000000005</v>
      </c>
      <c r="E10" s="6">
        <v>1.78</v>
      </c>
      <c r="F10" s="6">
        <v>0.37</v>
      </c>
      <c r="G10" s="6">
        <v>2.29</v>
      </c>
      <c r="H10" s="6"/>
      <c r="I10" s="6"/>
      <c r="J10" s="6"/>
      <c r="K10" s="6"/>
    </row>
    <row r="11" spans="1:11" x14ac:dyDescent="0.2">
      <c r="A11" s="4">
        <v>9</v>
      </c>
      <c r="B11" s="5">
        <v>0.82</v>
      </c>
      <c r="C11" s="5">
        <v>1.32</v>
      </c>
      <c r="D11" s="6">
        <v>0.63</v>
      </c>
      <c r="E11" s="6">
        <v>1.7</v>
      </c>
      <c r="F11" s="6">
        <v>0.46</v>
      </c>
      <c r="G11" s="6">
        <v>2.13</v>
      </c>
      <c r="H11" s="6">
        <v>0.3</v>
      </c>
      <c r="I11" s="6">
        <v>2.59</v>
      </c>
      <c r="J11" s="6"/>
      <c r="K11" s="6"/>
    </row>
    <row r="12" spans="1:11" x14ac:dyDescent="0.2">
      <c r="A12" s="4">
        <v>10</v>
      </c>
      <c r="B12" s="5">
        <v>0.88</v>
      </c>
      <c r="C12" s="5">
        <v>1.32</v>
      </c>
      <c r="D12" s="6">
        <v>0.7</v>
      </c>
      <c r="E12" s="6">
        <v>1.64</v>
      </c>
      <c r="F12" s="6">
        <v>0.53</v>
      </c>
      <c r="G12" s="6">
        <v>2.02</v>
      </c>
      <c r="H12" s="6">
        <v>0.38</v>
      </c>
      <c r="I12" s="6">
        <v>2.41</v>
      </c>
      <c r="J12" s="6">
        <v>0.24</v>
      </c>
      <c r="K12" s="6">
        <v>2.82</v>
      </c>
    </row>
    <row r="13" spans="1:11" x14ac:dyDescent="0.2">
      <c r="A13" s="4">
        <v>11</v>
      </c>
      <c r="B13" s="5">
        <v>0.93</v>
      </c>
      <c r="C13" s="5">
        <v>1.32</v>
      </c>
      <c r="D13" s="6">
        <v>0.66</v>
      </c>
      <c r="E13" s="6">
        <v>1.6</v>
      </c>
      <c r="F13" s="6">
        <v>0.6</v>
      </c>
      <c r="G13" s="6">
        <v>1.93</v>
      </c>
      <c r="H13" s="6">
        <v>0.44</v>
      </c>
      <c r="I13" s="6">
        <v>2.2799999999999998</v>
      </c>
      <c r="J13" s="6">
        <v>0.32</v>
      </c>
      <c r="K13" s="6">
        <v>2.65</v>
      </c>
    </row>
    <row r="14" spans="1:11" x14ac:dyDescent="0.2">
      <c r="A14" s="4">
        <v>12</v>
      </c>
      <c r="B14" s="5">
        <v>0.97</v>
      </c>
      <c r="C14" s="5">
        <v>1.33</v>
      </c>
      <c r="D14" s="6">
        <v>0.81</v>
      </c>
      <c r="E14" s="6">
        <v>1.58</v>
      </c>
      <c r="F14" s="6">
        <v>0.66</v>
      </c>
      <c r="G14" s="6">
        <v>1.86</v>
      </c>
      <c r="H14" s="6">
        <v>0.51</v>
      </c>
      <c r="I14" s="6">
        <v>2.1800000000000002</v>
      </c>
      <c r="J14" s="6">
        <v>0.38</v>
      </c>
      <c r="K14" s="6">
        <v>2.5099999999999998</v>
      </c>
    </row>
    <row r="15" spans="1:11" x14ac:dyDescent="0.2">
      <c r="A15" s="4">
        <v>13</v>
      </c>
      <c r="B15" s="5">
        <v>1.01</v>
      </c>
      <c r="C15" s="5">
        <v>1.34</v>
      </c>
      <c r="D15" s="6">
        <v>0.86</v>
      </c>
      <c r="E15" s="6">
        <v>1.56</v>
      </c>
      <c r="F15" s="6">
        <v>0.72</v>
      </c>
      <c r="G15" s="6">
        <v>1.82</v>
      </c>
      <c r="H15" s="6">
        <v>0.56999999999999995</v>
      </c>
      <c r="I15" s="6">
        <v>2.09</v>
      </c>
      <c r="J15" s="6">
        <v>0.45</v>
      </c>
      <c r="K15" s="6">
        <v>2.39</v>
      </c>
    </row>
    <row r="16" spans="1:11" x14ac:dyDescent="0.2">
      <c r="A16" s="4">
        <v>14</v>
      </c>
      <c r="B16" s="5">
        <v>1.05</v>
      </c>
      <c r="C16" s="5">
        <v>1.35</v>
      </c>
      <c r="D16" s="6">
        <v>0.91</v>
      </c>
      <c r="E16" s="6">
        <v>1.55</v>
      </c>
      <c r="F16" s="6">
        <v>0.77</v>
      </c>
      <c r="G16" s="6">
        <v>1.78</v>
      </c>
      <c r="H16" s="6">
        <v>0.63</v>
      </c>
      <c r="I16" s="6">
        <v>2.0299999999999998</v>
      </c>
      <c r="J16" s="6">
        <v>0.51</v>
      </c>
      <c r="K16" s="6">
        <v>2.2999999999999998</v>
      </c>
    </row>
    <row r="17" spans="1:11" x14ac:dyDescent="0.2">
      <c r="A17" s="4">
        <v>15</v>
      </c>
      <c r="B17" s="5">
        <v>1.08</v>
      </c>
      <c r="C17" s="5">
        <v>1.36</v>
      </c>
      <c r="D17" s="6">
        <v>0.95</v>
      </c>
      <c r="E17" s="6">
        <v>1.54</v>
      </c>
      <c r="F17" s="6">
        <v>0.82</v>
      </c>
      <c r="G17" s="6">
        <v>1.75</v>
      </c>
      <c r="H17" s="6">
        <v>0.69</v>
      </c>
      <c r="I17" s="6">
        <v>1.97</v>
      </c>
      <c r="J17" s="6">
        <v>0.56000000000000005</v>
      </c>
      <c r="K17" s="6">
        <v>2.21</v>
      </c>
    </row>
    <row r="18" spans="1:11" x14ac:dyDescent="0.2">
      <c r="A18" s="4">
        <v>16</v>
      </c>
      <c r="B18" s="5">
        <v>1.1000000000000001</v>
      </c>
      <c r="C18" s="5">
        <v>1.37</v>
      </c>
      <c r="D18" s="6">
        <v>0.98</v>
      </c>
      <c r="E18" s="6">
        <v>1.54</v>
      </c>
      <c r="F18" s="6">
        <v>0.86</v>
      </c>
      <c r="G18" s="6">
        <v>1.73</v>
      </c>
      <c r="H18" s="6">
        <v>0.74</v>
      </c>
      <c r="I18" s="6">
        <v>1.93</v>
      </c>
      <c r="J18" s="6">
        <v>0.62</v>
      </c>
      <c r="K18" s="6">
        <v>2.15</v>
      </c>
    </row>
    <row r="19" spans="1:11" x14ac:dyDescent="0.2">
      <c r="A19" s="4">
        <v>17</v>
      </c>
      <c r="B19" s="5">
        <v>1.1299999999999999</v>
      </c>
      <c r="C19" s="5">
        <v>1.38</v>
      </c>
      <c r="D19" s="6">
        <v>1.02</v>
      </c>
      <c r="E19" s="6">
        <v>1.54</v>
      </c>
      <c r="F19" s="6">
        <v>0.9</v>
      </c>
      <c r="G19" s="6">
        <v>1.71</v>
      </c>
      <c r="H19" s="6">
        <v>0.78</v>
      </c>
      <c r="I19" s="6">
        <v>1.9</v>
      </c>
      <c r="J19" s="6">
        <v>0.67</v>
      </c>
      <c r="K19" s="6">
        <v>2.1</v>
      </c>
    </row>
    <row r="20" spans="1:11" x14ac:dyDescent="0.2">
      <c r="A20" s="4">
        <v>18</v>
      </c>
      <c r="B20" s="5">
        <v>1.1599999999999999</v>
      </c>
      <c r="C20" s="5">
        <v>1.39</v>
      </c>
      <c r="D20" s="6">
        <v>1.05</v>
      </c>
      <c r="E20" s="6">
        <v>1.53</v>
      </c>
      <c r="F20" s="6">
        <v>0.93</v>
      </c>
      <c r="G20" s="6">
        <v>1.69</v>
      </c>
      <c r="H20" s="6">
        <v>0.92</v>
      </c>
      <c r="I20" s="6">
        <v>1.87</v>
      </c>
      <c r="J20" s="6">
        <v>0.71</v>
      </c>
      <c r="K20" s="6">
        <v>2.06</v>
      </c>
    </row>
    <row r="21" spans="1:11" x14ac:dyDescent="0.2">
      <c r="A21" s="4">
        <v>19</v>
      </c>
      <c r="B21" s="5">
        <v>1.18</v>
      </c>
      <c r="C21" s="5">
        <v>1.4</v>
      </c>
      <c r="D21" s="6">
        <v>1.08</v>
      </c>
      <c r="E21" s="6">
        <v>1.53</v>
      </c>
      <c r="F21" s="6">
        <v>0.97</v>
      </c>
      <c r="G21" s="6">
        <v>1.68</v>
      </c>
      <c r="H21" s="6">
        <v>0.86</v>
      </c>
      <c r="I21" s="6">
        <v>1.85</v>
      </c>
      <c r="J21" s="6">
        <v>0.75</v>
      </c>
      <c r="K21" s="6">
        <v>2.02</v>
      </c>
    </row>
    <row r="22" spans="1:11" x14ac:dyDescent="0.2">
      <c r="A22" s="4">
        <v>20</v>
      </c>
      <c r="B22" s="5">
        <v>1.2</v>
      </c>
      <c r="C22" s="5">
        <v>1.41</v>
      </c>
      <c r="D22" s="6">
        <v>1.1000000000000001</v>
      </c>
      <c r="E22" s="6">
        <v>1.54</v>
      </c>
      <c r="F22" s="6">
        <v>1</v>
      </c>
      <c r="G22" s="6">
        <v>1.68</v>
      </c>
      <c r="H22" s="6">
        <v>0.9</v>
      </c>
      <c r="I22" s="6">
        <v>1.83</v>
      </c>
      <c r="J22" s="6">
        <v>0.79</v>
      </c>
      <c r="K22" s="6">
        <v>1.99</v>
      </c>
    </row>
    <row r="23" spans="1:11" x14ac:dyDescent="0.2">
      <c r="A23" s="4">
        <v>21</v>
      </c>
      <c r="B23" s="5">
        <v>1.22</v>
      </c>
      <c r="C23" s="5">
        <v>1.42</v>
      </c>
      <c r="D23" s="6">
        <v>1.1299999999999999</v>
      </c>
      <c r="E23" s="6">
        <v>1.54</v>
      </c>
      <c r="F23" s="6">
        <v>1.03</v>
      </c>
      <c r="G23" s="6">
        <v>1.67</v>
      </c>
      <c r="H23" s="6">
        <v>0.93</v>
      </c>
      <c r="I23" s="6">
        <v>1.81</v>
      </c>
      <c r="J23" s="6">
        <v>0.83</v>
      </c>
      <c r="K23" s="6">
        <v>1.96</v>
      </c>
    </row>
    <row r="24" spans="1:11" x14ac:dyDescent="0.2">
      <c r="A24" s="4">
        <v>22</v>
      </c>
      <c r="B24" s="5">
        <v>1.24</v>
      </c>
      <c r="C24" s="5">
        <v>1.43</v>
      </c>
      <c r="D24" s="6">
        <v>1.1499999999999999</v>
      </c>
      <c r="E24" s="6">
        <v>1.54</v>
      </c>
      <c r="F24" s="6">
        <v>1.05</v>
      </c>
      <c r="G24" s="6">
        <v>1.66</v>
      </c>
      <c r="H24" s="6">
        <v>0.96</v>
      </c>
      <c r="I24" s="6">
        <v>1.8</v>
      </c>
      <c r="J24" s="6">
        <v>0.96</v>
      </c>
      <c r="K24" s="6">
        <v>1.94</v>
      </c>
    </row>
    <row r="25" spans="1:11" x14ac:dyDescent="0.2">
      <c r="A25" s="4">
        <v>23</v>
      </c>
      <c r="B25" s="5">
        <v>1.26</v>
      </c>
      <c r="C25" s="5">
        <v>1.44</v>
      </c>
      <c r="D25" s="6">
        <v>1.17</v>
      </c>
      <c r="E25" s="6">
        <v>1.54</v>
      </c>
      <c r="F25" s="6">
        <v>1.08</v>
      </c>
      <c r="G25" s="6">
        <v>1.66</v>
      </c>
      <c r="H25" s="6">
        <v>0.99</v>
      </c>
      <c r="I25" s="6">
        <v>1.79</v>
      </c>
      <c r="J25" s="6">
        <v>0.9</v>
      </c>
      <c r="K25" s="6">
        <v>1.92</v>
      </c>
    </row>
    <row r="26" spans="1:11" x14ac:dyDescent="0.2">
      <c r="A26" s="4">
        <v>24</v>
      </c>
      <c r="B26" s="5">
        <v>1.27</v>
      </c>
      <c r="C26" s="5">
        <v>1.45</v>
      </c>
      <c r="D26" s="6">
        <v>1.19</v>
      </c>
      <c r="E26" s="6">
        <v>1.55</v>
      </c>
      <c r="F26" s="6">
        <v>1.1000000000000001</v>
      </c>
      <c r="G26" s="6">
        <v>1.66</v>
      </c>
      <c r="H26" s="6">
        <v>1.01</v>
      </c>
      <c r="I26" s="6">
        <v>1.78</v>
      </c>
      <c r="J26" s="6">
        <v>0.93</v>
      </c>
      <c r="K26" s="6">
        <v>1.9</v>
      </c>
    </row>
    <row r="27" spans="1:11" x14ac:dyDescent="0.2">
      <c r="A27" s="4">
        <v>25</v>
      </c>
      <c r="B27" s="5">
        <v>1.29</v>
      </c>
      <c r="C27" s="5">
        <v>1.45</v>
      </c>
      <c r="D27" s="6">
        <v>1.21</v>
      </c>
      <c r="E27" s="6">
        <v>1.55</v>
      </c>
      <c r="F27" s="6">
        <v>1.1200000000000001</v>
      </c>
      <c r="G27" s="6">
        <v>1.66</v>
      </c>
      <c r="H27" s="6">
        <v>1.04</v>
      </c>
      <c r="I27" s="6">
        <v>1.77</v>
      </c>
      <c r="J27" s="6">
        <v>0.95</v>
      </c>
      <c r="K27" s="6">
        <v>1.89</v>
      </c>
    </row>
    <row r="28" spans="1:11" x14ac:dyDescent="0.2">
      <c r="A28" s="4">
        <v>26</v>
      </c>
      <c r="B28" s="5">
        <v>1.3</v>
      </c>
      <c r="C28" s="5">
        <v>1.46</v>
      </c>
      <c r="D28" s="6">
        <v>1.22</v>
      </c>
      <c r="E28" s="6">
        <v>1.55</v>
      </c>
      <c r="F28" s="6">
        <v>1.1399999999999999</v>
      </c>
      <c r="G28" s="6">
        <v>1.65</v>
      </c>
      <c r="H28" s="6">
        <v>1.06</v>
      </c>
      <c r="I28" s="6">
        <v>1.76</v>
      </c>
      <c r="J28" s="6">
        <v>0.98</v>
      </c>
      <c r="K28" s="6">
        <v>1.88</v>
      </c>
    </row>
    <row r="29" spans="1:11" x14ac:dyDescent="0.2">
      <c r="A29" s="4">
        <v>27</v>
      </c>
      <c r="B29" s="5">
        <v>1.32</v>
      </c>
      <c r="C29" s="5">
        <v>1.47</v>
      </c>
      <c r="D29" s="6">
        <v>1.24</v>
      </c>
      <c r="E29" s="6">
        <v>1.56</v>
      </c>
      <c r="F29" s="6">
        <v>1.1599999999999999</v>
      </c>
      <c r="G29" s="6">
        <v>1.65</v>
      </c>
      <c r="H29" s="6">
        <v>1.08</v>
      </c>
      <c r="I29" s="6">
        <v>1.76</v>
      </c>
      <c r="J29" s="6">
        <v>1.01</v>
      </c>
      <c r="K29" s="6">
        <v>1.86</v>
      </c>
    </row>
    <row r="30" spans="1:11" x14ac:dyDescent="0.2">
      <c r="A30" s="4">
        <v>28</v>
      </c>
      <c r="B30" s="5">
        <v>1.33</v>
      </c>
      <c r="C30" s="5">
        <v>1.48</v>
      </c>
      <c r="D30" s="6">
        <v>1.26</v>
      </c>
      <c r="E30" s="6">
        <v>1.56</v>
      </c>
      <c r="F30" s="6">
        <v>1.18</v>
      </c>
      <c r="G30" s="6">
        <v>1.65</v>
      </c>
      <c r="H30" s="6">
        <v>1.1000000000000001</v>
      </c>
      <c r="I30" s="6">
        <v>1.75</v>
      </c>
      <c r="J30" s="6">
        <v>1.03</v>
      </c>
      <c r="K30" s="6">
        <v>1.85</v>
      </c>
    </row>
    <row r="31" spans="1:11" x14ac:dyDescent="0.2">
      <c r="A31" s="4">
        <v>29</v>
      </c>
      <c r="B31" s="5">
        <v>1.34</v>
      </c>
      <c r="C31" s="5">
        <v>1.48</v>
      </c>
      <c r="D31" s="6">
        <v>1.27</v>
      </c>
      <c r="E31" s="6">
        <v>1.56</v>
      </c>
      <c r="F31" s="6">
        <v>1.2</v>
      </c>
      <c r="G31" s="6">
        <v>1.65</v>
      </c>
      <c r="H31" s="6">
        <v>1.1200000000000001</v>
      </c>
      <c r="I31" s="6">
        <v>1.74</v>
      </c>
      <c r="J31" s="6">
        <v>1.05</v>
      </c>
      <c r="K31" s="6">
        <v>1.84</v>
      </c>
    </row>
    <row r="32" spans="1:11" x14ac:dyDescent="0.2">
      <c r="A32" s="4">
        <v>30</v>
      </c>
      <c r="B32" s="5">
        <v>1.35</v>
      </c>
      <c r="C32" s="5">
        <v>1.49</v>
      </c>
      <c r="D32" s="6">
        <v>1.28</v>
      </c>
      <c r="E32" s="6">
        <v>1.57</v>
      </c>
      <c r="F32" s="6">
        <v>1.21</v>
      </c>
      <c r="G32" s="6">
        <v>1.65</v>
      </c>
      <c r="H32" s="6">
        <v>1.1399999999999999</v>
      </c>
      <c r="I32" s="6">
        <v>1.74</v>
      </c>
      <c r="J32" s="6">
        <v>1.07</v>
      </c>
      <c r="K32" s="6">
        <v>1.83</v>
      </c>
    </row>
    <row r="33" spans="1:11" x14ac:dyDescent="0.2">
      <c r="A33" s="4">
        <v>31</v>
      </c>
      <c r="B33" s="5">
        <v>1.36</v>
      </c>
      <c r="C33" s="5">
        <v>1.5</v>
      </c>
      <c r="D33" s="6">
        <v>1.3</v>
      </c>
      <c r="E33" s="6">
        <v>1.57</v>
      </c>
      <c r="F33" s="6">
        <v>1.23</v>
      </c>
      <c r="G33" s="6">
        <v>1.65</v>
      </c>
      <c r="H33" s="6">
        <v>1.1599999999999999</v>
      </c>
      <c r="I33" s="6">
        <v>1.74</v>
      </c>
      <c r="J33" s="6">
        <v>1.0900000000000001</v>
      </c>
      <c r="K33" s="6">
        <v>1.83</v>
      </c>
    </row>
    <row r="34" spans="1:11" x14ac:dyDescent="0.2">
      <c r="A34" s="4">
        <v>32</v>
      </c>
      <c r="B34" s="5">
        <v>1.37</v>
      </c>
      <c r="C34" s="5">
        <v>1.5</v>
      </c>
      <c r="D34" s="6">
        <v>1.31</v>
      </c>
      <c r="E34" s="6">
        <v>1.57</v>
      </c>
      <c r="F34" s="6">
        <v>1.24</v>
      </c>
      <c r="G34" s="6">
        <v>1.65</v>
      </c>
      <c r="H34" s="6">
        <v>1.18</v>
      </c>
      <c r="I34" s="6">
        <v>1.73</v>
      </c>
      <c r="J34" s="6">
        <v>1.1100000000000001</v>
      </c>
      <c r="K34" s="6">
        <v>1.82</v>
      </c>
    </row>
    <row r="35" spans="1:11" x14ac:dyDescent="0.2">
      <c r="A35" s="4">
        <v>33</v>
      </c>
      <c r="B35" s="5">
        <v>1.38</v>
      </c>
      <c r="C35" s="5">
        <v>1.51</v>
      </c>
      <c r="D35" s="6">
        <v>1.32</v>
      </c>
      <c r="E35" s="6">
        <v>1.58</v>
      </c>
      <c r="F35" s="6">
        <v>1.26</v>
      </c>
      <c r="G35" s="6">
        <v>1.65</v>
      </c>
      <c r="H35" s="6">
        <v>1.19</v>
      </c>
      <c r="I35" s="6">
        <v>1.73</v>
      </c>
      <c r="J35" s="6">
        <v>1.1299999999999999</v>
      </c>
      <c r="K35" s="6">
        <v>1.81</v>
      </c>
    </row>
    <row r="36" spans="1:11" x14ac:dyDescent="0.2">
      <c r="A36" s="4">
        <v>34</v>
      </c>
      <c r="B36" s="5">
        <v>1.39</v>
      </c>
      <c r="C36" s="5">
        <v>1.51</v>
      </c>
      <c r="D36" s="6">
        <v>1.33</v>
      </c>
      <c r="E36" s="6">
        <v>1.58</v>
      </c>
      <c r="F36" s="6">
        <v>1.27</v>
      </c>
      <c r="G36" s="6">
        <v>1.65</v>
      </c>
      <c r="H36" s="6">
        <v>1.21</v>
      </c>
      <c r="I36" s="6">
        <v>1.73</v>
      </c>
      <c r="J36" s="6">
        <v>1.1499999999999999</v>
      </c>
      <c r="K36" s="6">
        <v>1.81</v>
      </c>
    </row>
    <row r="37" spans="1:11" x14ac:dyDescent="0.2">
      <c r="A37" s="4">
        <v>35</v>
      </c>
      <c r="B37" s="5">
        <v>1.4</v>
      </c>
      <c r="C37" s="5">
        <v>1.52</v>
      </c>
      <c r="D37" s="6">
        <v>1.34</v>
      </c>
      <c r="E37" s="6">
        <v>1.58</v>
      </c>
      <c r="F37" s="6">
        <v>1.28</v>
      </c>
      <c r="G37" s="6">
        <v>1.65</v>
      </c>
      <c r="H37" s="6">
        <v>1.22</v>
      </c>
      <c r="I37" s="6">
        <v>1.73</v>
      </c>
      <c r="J37" s="6">
        <v>1.1599999999999999</v>
      </c>
      <c r="K37" s="6">
        <v>1.8</v>
      </c>
    </row>
    <row r="38" spans="1:11" x14ac:dyDescent="0.2">
      <c r="A38" s="4">
        <v>36</v>
      </c>
      <c r="B38" s="5">
        <v>1.41</v>
      </c>
      <c r="C38" s="5">
        <v>1.52</v>
      </c>
      <c r="D38" s="6">
        <v>1.35</v>
      </c>
      <c r="E38" s="6">
        <v>1.59</v>
      </c>
      <c r="F38" s="6">
        <v>1.29</v>
      </c>
      <c r="G38" s="6">
        <v>1.65</v>
      </c>
      <c r="H38" s="6">
        <v>1.24</v>
      </c>
      <c r="I38" s="6">
        <v>1.73</v>
      </c>
      <c r="J38" s="6">
        <v>1.18</v>
      </c>
      <c r="K38" s="6">
        <v>1.8</v>
      </c>
    </row>
    <row r="39" spans="1:11" x14ac:dyDescent="0.2">
      <c r="A39" s="4">
        <v>37</v>
      </c>
      <c r="B39" s="5">
        <v>1.42</v>
      </c>
      <c r="C39" s="5">
        <v>1.53</v>
      </c>
      <c r="D39" s="6">
        <v>1.36</v>
      </c>
      <c r="E39" s="6">
        <v>1.59</v>
      </c>
      <c r="F39" s="6">
        <v>1.31</v>
      </c>
      <c r="G39" s="6">
        <v>1.66</v>
      </c>
      <c r="H39" s="6">
        <v>1.25</v>
      </c>
      <c r="I39" s="6">
        <v>1.72</v>
      </c>
      <c r="J39" s="6">
        <v>1.19</v>
      </c>
      <c r="K39" s="6">
        <v>1.8</v>
      </c>
    </row>
    <row r="40" spans="1:11" x14ac:dyDescent="0.2">
      <c r="A40" s="4">
        <v>38</v>
      </c>
      <c r="B40" s="5">
        <v>1.43</v>
      </c>
      <c r="C40" s="5">
        <v>1.54</v>
      </c>
      <c r="D40" s="6">
        <v>1.37</v>
      </c>
      <c r="E40" s="6">
        <v>1.59</v>
      </c>
      <c r="F40" s="6">
        <v>1.32</v>
      </c>
      <c r="G40" s="6">
        <v>1.66</v>
      </c>
      <c r="H40" s="6">
        <v>1.26</v>
      </c>
      <c r="I40" s="6">
        <v>1.72</v>
      </c>
      <c r="J40" s="6">
        <v>1.21</v>
      </c>
      <c r="K40" s="6">
        <v>1.79</v>
      </c>
    </row>
    <row r="41" spans="1:11" x14ac:dyDescent="0.2">
      <c r="A41" s="4">
        <v>39</v>
      </c>
      <c r="B41" s="5">
        <v>1.43</v>
      </c>
      <c r="C41" s="5">
        <v>1.54</v>
      </c>
      <c r="D41" s="6">
        <v>1.38</v>
      </c>
      <c r="E41" s="6">
        <v>1.6</v>
      </c>
      <c r="F41" s="6">
        <v>1.33</v>
      </c>
      <c r="G41" s="6">
        <v>1.66</v>
      </c>
      <c r="H41" s="6">
        <v>1.27</v>
      </c>
      <c r="I41" s="6">
        <v>1.72</v>
      </c>
      <c r="J41" s="6">
        <v>1.22</v>
      </c>
      <c r="K41" s="6">
        <v>1.79</v>
      </c>
    </row>
    <row r="42" spans="1:11" x14ac:dyDescent="0.2">
      <c r="A42" s="4">
        <v>40</v>
      </c>
      <c r="B42" s="5">
        <v>1.44</v>
      </c>
      <c r="C42" s="5">
        <v>1.54</v>
      </c>
      <c r="D42" s="6">
        <v>1.39</v>
      </c>
      <c r="E42" s="6">
        <v>1.6</v>
      </c>
      <c r="F42" s="6">
        <v>1.34</v>
      </c>
      <c r="G42" s="6">
        <v>1.66</v>
      </c>
      <c r="H42" s="6">
        <v>1.29</v>
      </c>
      <c r="I42" s="6">
        <v>1.72</v>
      </c>
      <c r="J42" s="6">
        <v>1.23</v>
      </c>
      <c r="K42" s="6">
        <v>1.79</v>
      </c>
    </row>
    <row r="43" spans="1:11" x14ac:dyDescent="0.2">
      <c r="A43" s="4">
        <v>45</v>
      </c>
      <c r="B43" s="5">
        <v>1.48</v>
      </c>
      <c r="C43" s="5">
        <v>1.57</v>
      </c>
      <c r="D43" s="6" t="s">
        <v>4</v>
      </c>
      <c r="E43" s="6">
        <v>1.62</v>
      </c>
      <c r="F43" s="6">
        <v>1.38</v>
      </c>
      <c r="G43" s="6">
        <v>1.67</v>
      </c>
      <c r="H43" s="6">
        <v>1.34</v>
      </c>
      <c r="I43" s="6">
        <v>1.72</v>
      </c>
      <c r="J43" s="6">
        <v>1.29</v>
      </c>
      <c r="K43" s="6">
        <v>1.78</v>
      </c>
    </row>
    <row r="44" spans="1:11" x14ac:dyDescent="0.2">
      <c r="A44" s="4">
        <v>50</v>
      </c>
      <c r="B44" s="5">
        <v>1.5</v>
      </c>
      <c r="C44" s="5">
        <v>1.59</v>
      </c>
      <c r="D44" s="6">
        <v>1.46</v>
      </c>
      <c r="E44" s="6">
        <v>1.63</v>
      </c>
      <c r="F44" s="6">
        <v>1.42</v>
      </c>
      <c r="G44" s="6">
        <v>1.67</v>
      </c>
      <c r="H44" s="6">
        <v>1.38</v>
      </c>
      <c r="I44" s="6">
        <v>1.72</v>
      </c>
      <c r="J44" s="6">
        <v>1.34</v>
      </c>
      <c r="K44" s="6">
        <v>1.77</v>
      </c>
    </row>
    <row r="45" spans="1:11" x14ac:dyDescent="0.2">
      <c r="A45" s="4">
        <v>55</v>
      </c>
      <c r="B45" s="5">
        <v>1.53</v>
      </c>
      <c r="C45" s="5">
        <v>1.6</v>
      </c>
      <c r="D45" s="6">
        <v>1.49</v>
      </c>
      <c r="E45" s="6">
        <v>1.64</v>
      </c>
      <c r="F45" s="6">
        <v>1.45</v>
      </c>
      <c r="G45" s="6">
        <v>1.68</v>
      </c>
      <c r="H45" s="6">
        <v>1.41</v>
      </c>
      <c r="I45" s="6">
        <v>1.72</v>
      </c>
      <c r="J45" s="6">
        <v>1.38</v>
      </c>
      <c r="K45" s="6">
        <v>1.77</v>
      </c>
    </row>
    <row r="46" spans="1:11" x14ac:dyDescent="0.2">
      <c r="A46" s="4">
        <v>60</v>
      </c>
      <c r="B46" s="5">
        <v>1.55</v>
      </c>
      <c r="C46" s="5">
        <v>1.62</v>
      </c>
      <c r="D46" s="6">
        <v>1.51</v>
      </c>
      <c r="E46" s="6">
        <v>1.65</v>
      </c>
      <c r="F46" s="6">
        <v>1.48</v>
      </c>
      <c r="G46" s="6">
        <v>1.69</v>
      </c>
      <c r="H46" s="6">
        <v>1.44</v>
      </c>
      <c r="I46" s="6">
        <v>1.73</v>
      </c>
      <c r="J46" s="6">
        <v>1.41</v>
      </c>
      <c r="K46" s="6">
        <v>1.77</v>
      </c>
    </row>
    <row r="47" spans="1:11" x14ac:dyDescent="0.2">
      <c r="A47" s="4">
        <v>65</v>
      </c>
      <c r="B47" s="5">
        <v>1.57</v>
      </c>
      <c r="C47" s="5">
        <v>1.63</v>
      </c>
      <c r="D47" s="6">
        <v>1.54</v>
      </c>
      <c r="E47" s="6">
        <v>1.66</v>
      </c>
      <c r="F47" s="6">
        <v>1.5</v>
      </c>
      <c r="G47" s="6">
        <v>1.7</v>
      </c>
      <c r="H47" s="6">
        <v>1.47</v>
      </c>
      <c r="I47" s="6">
        <v>1.73</v>
      </c>
      <c r="J47" s="6">
        <v>1.44</v>
      </c>
      <c r="K47" s="6">
        <v>1.77</v>
      </c>
    </row>
    <row r="48" spans="1:11" x14ac:dyDescent="0.2">
      <c r="A48" s="4">
        <v>70</v>
      </c>
      <c r="B48" s="5">
        <v>1.58</v>
      </c>
      <c r="C48" s="5">
        <v>1.64</v>
      </c>
      <c r="D48" s="6">
        <v>1.55</v>
      </c>
      <c r="E48" s="6">
        <v>1.67</v>
      </c>
      <c r="F48" s="6">
        <v>1.52</v>
      </c>
      <c r="G48" s="6">
        <v>1.7</v>
      </c>
      <c r="H48" s="6">
        <v>1.49</v>
      </c>
      <c r="I48" s="6">
        <v>1.74</v>
      </c>
      <c r="J48" s="6">
        <v>1.46</v>
      </c>
      <c r="K48" s="6">
        <v>1.77</v>
      </c>
    </row>
    <row r="49" spans="1:11" x14ac:dyDescent="0.2">
      <c r="A49" s="4">
        <v>75</v>
      </c>
      <c r="B49" s="5">
        <v>1.6</v>
      </c>
      <c r="C49" s="5">
        <v>1.65</v>
      </c>
      <c r="D49" s="6">
        <v>1.57</v>
      </c>
      <c r="E49" s="6">
        <v>1.68</v>
      </c>
      <c r="F49" s="6">
        <v>1.54</v>
      </c>
      <c r="G49" s="6">
        <v>1.71</v>
      </c>
      <c r="H49" s="6">
        <v>1.51</v>
      </c>
      <c r="I49" s="6">
        <v>1.74</v>
      </c>
      <c r="J49" s="6">
        <v>1.49</v>
      </c>
      <c r="K49" s="6">
        <v>1.77</v>
      </c>
    </row>
    <row r="50" spans="1:11" x14ac:dyDescent="0.2">
      <c r="A50" s="4">
        <v>80</v>
      </c>
      <c r="B50" s="5">
        <v>1.61</v>
      </c>
      <c r="C50" s="5">
        <v>1.66</v>
      </c>
      <c r="D50" s="6">
        <v>1.59</v>
      </c>
      <c r="E50" s="6">
        <v>1.69</v>
      </c>
      <c r="F50" s="6">
        <v>1.56</v>
      </c>
      <c r="G50" s="6">
        <v>1.72</v>
      </c>
      <c r="H50" s="6">
        <v>1.53</v>
      </c>
      <c r="I50" s="6">
        <v>1.74</v>
      </c>
      <c r="J50" s="6">
        <v>1.51</v>
      </c>
      <c r="K50" s="6">
        <v>1.77</v>
      </c>
    </row>
    <row r="51" spans="1:11" x14ac:dyDescent="0.2">
      <c r="A51" s="4">
        <v>85</v>
      </c>
      <c r="B51" s="5">
        <v>1.62</v>
      </c>
      <c r="C51" s="5">
        <v>1.67</v>
      </c>
      <c r="D51" s="6">
        <v>1.6</v>
      </c>
      <c r="E51" s="6">
        <v>1.7</v>
      </c>
      <c r="F51" s="6">
        <v>1.57</v>
      </c>
      <c r="G51" s="6">
        <v>1.72</v>
      </c>
      <c r="H51" s="6">
        <v>1.55</v>
      </c>
      <c r="I51" s="6">
        <v>1.75</v>
      </c>
      <c r="J51" s="6">
        <v>1.52</v>
      </c>
      <c r="K51" s="6">
        <v>1.77</v>
      </c>
    </row>
    <row r="52" spans="1:11" x14ac:dyDescent="0.2">
      <c r="A52" s="4">
        <v>90</v>
      </c>
      <c r="B52" s="5">
        <v>1.63</v>
      </c>
      <c r="C52" s="5">
        <v>1.68</v>
      </c>
      <c r="D52" s="6">
        <v>1.61</v>
      </c>
      <c r="E52" s="6">
        <v>1.7</v>
      </c>
      <c r="F52" s="6">
        <v>1.59</v>
      </c>
      <c r="G52" s="6">
        <v>1.73</v>
      </c>
      <c r="H52" s="6">
        <v>1.57</v>
      </c>
      <c r="I52" s="6">
        <v>1.75</v>
      </c>
      <c r="J52" s="6">
        <v>1.54</v>
      </c>
      <c r="K52" s="6">
        <v>1.78</v>
      </c>
    </row>
    <row r="53" spans="1:11" x14ac:dyDescent="0.2">
      <c r="A53" s="4">
        <v>95</v>
      </c>
      <c r="B53" s="5">
        <v>1.64</v>
      </c>
      <c r="C53" s="5">
        <v>1.69</v>
      </c>
      <c r="D53" s="6">
        <v>1.62</v>
      </c>
      <c r="E53" s="6">
        <v>1.71</v>
      </c>
      <c r="F53" s="6">
        <v>1.6</v>
      </c>
      <c r="G53" s="6">
        <v>1.73</v>
      </c>
      <c r="H53" s="6">
        <v>1.58</v>
      </c>
      <c r="I53" s="6">
        <v>1.75</v>
      </c>
      <c r="J53" s="6">
        <v>1.56</v>
      </c>
      <c r="K53" s="6">
        <v>1.78</v>
      </c>
    </row>
    <row r="54" spans="1:11" x14ac:dyDescent="0.2">
      <c r="A54" s="4">
        <v>100</v>
      </c>
      <c r="B54" s="5">
        <v>1.65</v>
      </c>
      <c r="C54" s="5">
        <v>1.69</v>
      </c>
      <c r="D54" s="6">
        <v>1.63</v>
      </c>
      <c r="E54" s="6">
        <v>1.72</v>
      </c>
      <c r="F54" s="6">
        <v>1.61</v>
      </c>
      <c r="G54" s="6">
        <v>1.74</v>
      </c>
      <c r="H54" s="6">
        <v>1.59</v>
      </c>
      <c r="I54" s="6">
        <v>1.76</v>
      </c>
      <c r="J54" s="6">
        <v>1.57</v>
      </c>
      <c r="K54" s="6">
        <v>1.78</v>
      </c>
    </row>
    <row r="55" spans="1:11" x14ac:dyDescent="0.2">
      <c r="A55" s="4">
        <v>150</v>
      </c>
      <c r="B55" s="5">
        <v>1.72</v>
      </c>
      <c r="C55" s="5">
        <v>1.75</v>
      </c>
      <c r="D55" s="6">
        <v>1.71</v>
      </c>
      <c r="E55" s="6">
        <v>1.76</v>
      </c>
      <c r="F55" s="6">
        <v>1.69</v>
      </c>
      <c r="G55" s="6">
        <v>1.77</v>
      </c>
      <c r="H55" s="6">
        <v>1.68</v>
      </c>
      <c r="I55" s="6">
        <v>1.79</v>
      </c>
      <c r="J55" s="6">
        <v>1.66</v>
      </c>
      <c r="K55" s="6">
        <v>1.8</v>
      </c>
    </row>
    <row r="56" spans="1:11" x14ac:dyDescent="0.2">
      <c r="A56" s="4">
        <v>200</v>
      </c>
      <c r="B56" s="5">
        <v>1.76</v>
      </c>
      <c r="C56" s="5">
        <v>1.78</v>
      </c>
      <c r="D56" s="6">
        <v>1.75</v>
      </c>
      <c r="E56" s="6">
        <v>1.79</v>
      </c>
      <c r="F56" s="6">
        <v>1.74</v>
      </c>
      <c r="G56" s="6">
        <v>1.8</v>
      </c>
      <c r="H56" s="6">
        <v>1.73</v>
      </c>
      <c r="I56" s="6">
        <v>1.81</v>
      </c>
      <c r="J56" s="6">
        <v>1.72</v>
      </c>
      <c r="K56" s="6">
        <v>1.82</v>
      </c>
    </row>
  </sheetData>
  <mergeCells count="8">
    <mergeCell ref="A4:K4"/>
    <mergeCell ref="A5:K5"/>
    <mergeCell ref="A6:A7"/>
    <mergeCell ref="B6:C6"/>
    <mergeCell ref="D6:E6"/>
    <mergeCell ref="F6:G6"/>
    <mergeCell ref="H6:I6"/>
    <mergeCell ref="J6:K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brood</vt:lpstr>
      <vt:lpstr>DW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Ricker Estimation Lab</dc:title>
  <dc:subject>Escapement Goal Short Course</dc:subject>
  <dc:creator>Steve Fleischman, Toshihide Hamazaki</dc:creator>
  <dc:description>Uses simple linear regression to fit a Ricker model to stock recruit data.  Regression residuals are bootstrapped to assess uncertainty.</dc:description>
  <cp:lastModifiedBy>Hamazaki, Hamachan (DFG)</cp:lastModifiedBy>
  <cp:lastPrinted>2010-06-04T20:36:10Z</cp:lastPrinted>
  <dcterms:created xsi:type="dcterms:W3CDTF">2008-10-31T19:47:20Z</dcterms:created>
  <dcterms:modified xsi:type="dcterms:W3CDTF">2019-02-14T00:49:00Z</dcterms:modified>
</cp:coreProperties>
</file>